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0" yWindow="0" windowWidth="13950" windowHeight="6360" activeTab="1"/>
  </bookViews>
  <sheets>
    <sheet name="Summary-Charts" sheetId="39" r:id="rId1"/>
    <sheet name="Summary-Results" sheetId="40" r:id="rId2"/>
    <sheet name="Input Assumptions" sheetId="30" r:id="rId3"/>
    <sheet name="Non-Price Factors" sheetId="45" r:id="rId4"/>
    <sheet name="Retail Rates" sheetId="16" r:id="rId5"/>
    <sheet name="Wholesale Price" sheetId="50" r:id="rId6"/>
    <sheet name="Inflation" sheetId="37" r:id="rId7"/>
    <sheet name="Total Resource Cost" sheetId="51" r:id="rId8"/>
    <sheet name="Utility Cost" sheetId="49" r:id="rId9"/>
    <sheet name="Consumer Cost" sheetId="29" r:id="rId10"/>
    <sheet name="Net Reduction in Gas" sheetId="48" r:id="rId11"/>
    <sheet name="Energy Usage" sheetId="25" r:id="rId12"/>
    <sheet name="Water Heater Stock" sheetId="21" r:id="rId13"/>
    <sheet name="Water Heaters Retired" sheetId="34" r:id="rId14"/>
    <sheet name="Water Heaters Purchased" sheetId="33" r:id="rId15"/>
    <sheet name="Average Market Share" sheetId="46" r:id="rId16"/>
    <sheet name="Marginal Market Share" sheetId="23" r:id="rId17"/>
    <sheet name="Total Allocation Weight" sheetId="32" r:id="rId18"/>
    <sheet name="Marginal Allocation Weight" sheetId="31" r:id="rId19"/>
    <sheet name="Levelized Costs" sheetId="14" r:id="rId20"/>
    <sheet name="Fuel Cost" sheetId="15" r:id="rId21"/>
    <sheet name="Device Energy Use" sheetId="4" r:id="rId22"/>
    <sheet name="Capital Cost" sheetId="42" r:id="rId23"/>
    <sheet name="O&amp;M Cost" sheetId="43" r:id="rId24"/>
  </sheets>
  <definedNames>
    <definedName name="_Order1" hidden="1">255</definedName>
    <definedName name="CapitalChargeRate">'Input Assumptions'!$B$16</definedName>
    <definedName name="CBWorkbookPriority" hidden="1">-1631902449</definedName>
    <definedName name="ConvertMMBTU">'Input Assumptions'!$B$18</definedName>
    <definedName name="DiscountRate">'Input Assumptions'!$B$15</definedName>
    <definedName name="HeatRate">'Input Assumptions'!$B$17</definedName>
    <definedName name="Households">'Input Assumptions'!$B$13</definedName>
    <definedName name="Lifetime">'Input Assumptions'!$B$14</definedName>
    <definedName name="SpaceHeat">'Input Assumptions'!$B$10</definedName>
    <definedName name="StartWH">'Input Assumptions'!$B$11</definedName>
    <definedName name="State">'Input Assumptions'!$B$9</definedName>
    <definedName name="TankSize">'Input Assumptions'!$B$12</definedName>
    <definedName name="VarianceFactor">'Input Assumptions'!$B$19</definedName>
  </definedNames>
  <calcPr calcId="125725" calcOnSave="0"/>
</workbook>
</file>

<file path=xl/calcChain.xml><?xml version="1.0" encoding="utf-8"?>
<calcChain xmlns="http://schemas.openxmlformats.org/spreadsheetml/2006/main">
  <c r="D10" i="45"/>
  <c r="A1" i="30"/>
  <c r="E10" i="45" l="1"/>
  <c r="A1" i="43"/>
  <c r="A1" i="42"/>
  <c r="A1" i="4"/>
  <c r="A1" i="15"/>
  <c r="A1" i="14"/>
  <c r="A1" i="31"/>
  <c r="A1" i="32"/>
  <c r="A1" i="23"/>
  <c r="A1" i="46"/>
  <c r="A1" i="33"/>
  <c r="A1" i="34"/>
  <c r="A1" i="21"/>
  <c r="A1" i="25"/>
  <c r="A1" i="48"/>
  <c r="A1" i="29"/>
  <c r="A1" i="49"/>
  <c r="A1" i="51"/>
  <c r="A1" i="37"/>
  <c r="A1" i="50"/>
  <c r="A1" i="16"/>
  <c r="A1" i="45"/>
  <c r="B41" i="40"/>
  <c r="B35"/>
  <c r="B27"/>
  <c r="B19"/>
  <c r="B11"/>
  <c r="B3"/>
  <c r="A1"/>
  <c r="B57" i="39"/>
  <c r="B21"/>
  <c r="B39"/>
  <c r="B3"/>
  <c r="A1"/>
  <c r="F10" i="45" l="1"/>
  <c r="D9" i="49"/>
  <c r="E9"/>
  <c r="F9"/>
  <c r="G9"/>
  <c r="H9"/>
  <c r="I9"/>
  <c r="J9"/>
  <c r="K9"/>
  <c r="L9"/>
  <c r="M9"/>
  <c r="N9"/>
  <c r="O9"/>
  <c r="P9"/>
  <c r="Q9"/>
  <c r="R9"/>
  <c r="S9"/>
  <c r="T9"/>
  <c r="U9"/>
  <c r="V9"/>
  <c r="W9"/>
  <c r="D12" i="48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G10" i="45" l="1"/>
  <c r="B75" i="39"/>
  <c r="B45" i="40"/>
  <c r="B44"/>
  <c r="B43"/>
  <c r="B9" i="49"/>
  <c r="C9"/>
  <c r="C12" i="48"/>
  <c r="B12"/>
  <c r="C16" i="34"/>
  <c r="C17"/>
  <c r="C18"/>
  <c r="C19"/>
  <c r="C7"/>
  <c r="C8"/>
  <c r="C9"/>
  <c r="C10"/>
  <c r="B6" i="21"/>
  <c r="C6" i="34" s="1"/>
  <c r="B15" i="21"/>
  <c r="C15" i="34" s="1"/>
  <c r="H10" i="45" l="1"/>
  <c r="A25" i="30"/>
  <c r="A34"/>
  <c r="C42" i="40"/>
  <c r="I10" i="45" l="1"/>
  <c r="D20"/>
  <c r="E20"/>
  <c r="F20"/>
  <c r="G20"/>
  <c r="H20"/>
  <c r="I20"/>
  <c r="C20"/>
  <c r="B22"/>
  <c r="B23"/>
  <c r="B24"/>
  <c r="B21"/>
  <c r="B20"/>
  <c r="J10" l="1"/>
  <c r="A18"/>
  <c r="A8"/>
  <c r="B19"/>
  <c r="C19"/>
  <c r="D19"/>
  <c r="E19"/>
  <c r="F19"/>
  <c r="G19"/>
  <c r="H19"/>
  <c r="I19"/>
  <c r="J19"/>
  <c r="K19"/>
  <c r="L19"/>
  <c r="M19"/>
  <c r="N19"/>
  <c r="O19"/>
  <c r="P19"/>
  <c r="Q19"/>
  <c r="R19"/>
  <c r="S19"/>
  <c r="T19"/>
  <c r="U19"/>
  <c r="V19"/>
  <c r="W19"/>
  <c r="K10" l="1"/>
  <c r="J20"/>
  <c r="A12" i="46"/>
  <c r="A4"/>
  <c r="C14" i="45"/>
  <c r="C13"/>
  <c r="C12"/>
  <c r="C22" s="1"/>
  <c r="C11"/>
  <c r="C23" l="1"/>
  <c r="C24"/>
  <c r="C21"/>
  <c r="L10"/>
  <c r="K20"/>
  <c r="D14"/>
  <c r="D13"/>
  <c r="D12"/>
  <c r="D22" s="1"/>
  <c r="D11"/>
  <c r="A9"/>
  <c r="A19" s="1"/>
  <c r="M10" l="1"/>
  <c r="L20"/>
  <c r="D21"/>
  <c r="D23"/>
  <c r="D24"/>
  <c r="E11"/>
  <c r="E12"/>
  <c r="E22" s="1"/>
  <c r="E13"/>
  <c r="E14"/>
  <c r="E24" l="1"/>
  <c r="E23"/>
  <c r="E21"/>
  <c r="N10"/>
  <c r="M20"/>
  <c r="F14"/>
  <c r="F13"/>
  <c r="F12"/>
  <c r="F22" s="1"/>
  <c r="F11"/>
  <c r="D9" i="42"/>
  <c r="C9"/>
  <c r="B9"/>
  <c r="D8"/>
  <c r="C8"/>
  <c r="B8"/>
  <c r="D7"/>
  <c r="C7"/>
  <c r="B7"/>
  <c r="D6"/>
  <c r="C6"/>
  <c r="B6"/>
  <c r="D5"/>
  <c r="C5"/>
  <c r="B5"/>
  <c r="C4"/>
  <c r="B4"/>
  <c r="C9" i="43"/>
  <c r="B9"/>
  <c r="C8"/>
  <c r="B8"/>
  <c r="C7"/>
  <c r="B7"/>
  <c r="C6"/>
  <c r="B6"/>
  <c r="D6" s="1"/>
  <c r="C5"/>
  <c r="B5"/>
  <c r="B4"/>
  <c r="B4" i="4"/>
  <c r="C4"/>
  <c r="B5"/>
  <c r="C5"/>
  <c r="B6"/>
  <c r="C6"/>
  <c r="B7"/>
  <c r="C7"/>
  <c r="B8"/>
  <c r="C8"/>
  <c r="B9"/>
  <c r="C9"/>
  <c r="D6"/>
  <c r="D7"/>
  <c r="D8"/>
  <c r="D9"/>
  <c r="D5"/>
  <c r="A9" i="43"/>
  <c r="A8"/>
  <c r="A7"/>
  <c r="A6"/>
  <c r="A5"/>
  <c r="A9" i="42"/>
  <c r="A8"/>
  <c r="A7"/>
  <c r="A6"/>
  <c r="A5"/>
  <c r="O10" i="45" l="1"/>
  <c r="N20"/>
  <c r="F21"/>
  <c r="F23"/>
  <c r="F24"/>
  <c r="D5" i="43"/>
  <c r="B31" i="29" s="1"/>
  <c r="D9" i="43"/>
  <c r="B72" i="29" s="1"/>
  <c r="E6" i="42"/>
  <c r="B23" i="29" s="1"/>
  <c r="D8" i="43"/>
  <c r="B71" i="29" s="1"/>
  <c r="B69"/>
  <c r="B32"/>
  <c r="G11" i="45"/>
  <c r="G12"/>
  <c r="G22" s="1"/>
  <c r="G13"/>
  <c r="G14"/>
  <c r="E8" i="42"/>
  <c r="E5"/>
  <c r="E9"/>
  <c r="D7" i="43"/>
  <c r="E7" i="42"/>
  <c r="G21" i="45" l="1"/>
  <c r="G24"/>
  <c r="G23"/>
  <c r="P10"/>
  <c r="O20"/>
  <c r="B60" i="29"/>
  <c r="B35"/>
  <c r="B68"/>
  <c r="B34"/>
  <c r="B25"/>
  <c r="B62"/>
  <c r="B59"/>
  <c r="B22"/>
  <c r="B26"/>
  <c r="B63"/>
  <c r="B24"/>
  <c r="B61"/>
  <c r="B70"/>
  <c r="B33"/>
  <c r="H14" i="45"/>
  <c r="H13"/>
  <c r="H12"/>
  <c r="H22" s="1"/>
  <c r="H11"/>
  <c r="E9" i="4"/>
  <c r="A9"/>
  <c r="E8"/>
  <c r="A8"/>
  <c r="E7"/>
  <c r="A7"/>
  <c r="E6"/>
  <c r="A6"/>
  <c r="E5"/>
  <c r="A5"/>
  <c r="E4"/>
  <c r="A4" i="15"/>
  <c r="A4" i="14"/>
  <c r="A4" i="31"/>
  <c r="A4" i="32"/>
  <c r="A12" i="23"/>
  <c r="A4"/>
  <c r="W13" i="33"/>
  <c r="V13"/>
  <c r="V57" i="29" s="1"/>
  <c r="V48" s="1"/>
  <c r="U13" i="33"/>
  <c r="U57" i="29" s="1"/>
  <c r="U48" s="1"/>
  <c r="T13" i="33"/>
  <c r="T57" i="29" s="1"/>
  <c r="T48" s="1"/>
  <c r="S13" i="33"/>
  <c r="S57" i="29" s="1"/>
  <c r="S48" s="1"/>
  <c r="R13" i="33"/>
  <c r="R57" i="29" s="1"/>
  <c r="R48" s="1"/>
  <c r="Q13" i="33"/>
  <c r="Q57" i="29" s="1"/>
  <c r="Q48" s="1"/>
  <c r="P13" i="33"/>
  <c r="O13"/>
  <c r="O57" i="29" s="1"/>
  <c r="O48" s="1"/>
  <c r="N13" i="33"/>
  <c r="N57" i="29" s="1"/>
  <c r="N48" s="1"/>
  <c r="M13" i="33"/>
  <c r="M57" i="29" s="1"/>
  <c r="M48" s="1"/>
  <c r="L13" i="33"/>
  <c r="L57" i="29" s="1"/>
  <c r="L48" s="1"/>
  <c r="K13" i="33"/>
  <c r="K57" i="29" s="1"/>
  <c r="K48" s="1"/>
  <c r="J13" i="33"/>
  <c r="J57" i="29" s="1"/>
  <c r="J48" s="1"/>
  <c r="I13" i="33"/>
  <c r="I57" i="29" s="1"/>
  <c r="I48" s="1"/>
  <c r="H13" i="33"/>
  <c r="H57" i="29" s="1"/>
  <c r="H48" s="1"/>
  <c r="G13" i="33"/>
  <c r="G57" i="29" s="1"/>
  <c r="G48" s="1"/>
  <c r="F13" i="33"/>
  <c r="F57" i="29" s="1"/>
  <c r="F48" s="1"/>
  <c r="E13" i="33"/>
  <c r="E57" i="29" s="1"/>
  <c r="E48" s="1"/>
  <c r="D13" i="33"/>
  <c r="D57" i="29" s="1"/>
  <c r="D48" s="1"/>
  <c r="C13" i="33"/>
  <c r="C57" i="29" s="1"/>
  <c r="C48" s="1"/>
  <c r="B13" i="33"/>
  <c r="B57" i="29" s="1"/>
  <c r="B48" s="1"/>
  <c r="A13" i="33"/>
  <c r="A57" i="29" s="1"/>
  <c r="A48" s="1"/>
  <c r="W4" i="33"/>
  <c r="W20" i="29" s="1"/>
  <c r="W11" s="1"/>
  <c r="V4" i="33"/>
  <c r="V20" i="29" s="1"/>
  <c r="V11" s="1"/>
  <c r="U4" i="33"/>
  <c r="U20" i="29" s="1"/>
  <c r="U11" s="1"/>
  <c r="T4" i="33"/>
  <c r="T20" i="29" s="1"/>
  <c r="T11" s="1"/>
  <c r="S4" i="33"/>
  <c r="S20" i="29" s="1"/>
  <c r="S11" s="1"/>
  <c r="R4" i="33"/>
  <c r="R20" i="29" s="1"/>
  <c r="R11" s="1"/>
  <c r="Q4" i="33"/>
  <c r="Q20" i="29" s="1"/>
  <c r="Q11" s="1"/>
  <c r="P4" i="33"/>
  <c r="P20" i="29" s="1"/>
  <c r="P11" s="1"/>
  <c r="O4" i="33"/>
  <c r="O20" i="29" s="1"/>
  <c r="O11" s="1"/>
  <c r="N4" i="33"/>
  <c r="N20" i="29" s="1"/>
  <c r="N11" s="1"/>
  <c r="M4" i="33"/>
  <c r="M20" i="29" s="1"/>
  <c r="M11" s="1"/>
  <c r="L4" i="33"/>
  <c r="L20" i="29" s="1"/>
  <c r="L11" s="1"/>
  <c r="K4" i="33"/>
  <c r="K20" i="29" s="1"/>
  <c r="K11" s="1"/>
  <c r="J4" i="33"/>
  <c r="J20" i="29" s="1"/>
  <c r="J11" s="1"/>
  <c r="I4" i="33"/>
  <c r="I20" i="29" s="1"/>
  <c r="I11" s="1"/>
  <c r="H4" i="33"/>
  <c r="H20" i="29" s="1"/>
  <c r="H11" s="1"/>
  <c r="G4" i="33"/>
  <c r="G20" i="29" s="1"/>
  <c r="G11" s="1"/>
  <c r="F4" i="33"/>
  <c r="F20" i="29" s="1"/>
  <c r="F11" s="1"/>
  <c r="E4" i="33"/>
  <c r="E20" i="29" s="1"/>
  <c r="E11" s="1"/>
  <c r="D4" i="33"/>
  <c r="D20" i="29" s="1"/>
  <c r="D11" s="1"/>
  <c r="C4" i="33"/>
  <c r="C20" i="29" s="1"/>
  <c r="C11" s="1"/>
  <c r="B4" i="33"/>
  <c r="B20" i="29" s="1"/>
  <c r="B11" s="1"/>
  <c r="A4" i="33"/>
  <c r="A20" i="29" s="1"/>
  <c r="A11" s="1"/>
  <c r="W13" i="34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B13"/>
  <c r="A13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B4"/>
  <c r="A4"/>
  <c r="A13" i="21"/>
  <c r="A66" i="29" s="1"/>
  <c r="A4" i="21"/>
  <c r="W62" i="25"/>
  <c r="V62"/>
  <c r="U62"/>
  <c r="T62"/>
  <c r="S62"/>
  <c r="R62"/>
  <c r="Q62"/>
  <c r="P62"/>
  <c r="O62"/>
  <c r="N62"/>
  <c r="M62"/>
  <c r="L62"/>
  <c r="K62"/>
  <c r="J62"/>
  <c r="I62"/>
  <c r="H62"/>
  <c r="G62"/>
  <c r="F62"/>
  <c r="E62"/>
  <c r="D62"/>
  <c r="C62"/>
  <c r="B62"/>
  <c r="A62"/>
  <c r="W53"/>
  <c r="V53"/>
  <c r="U53"/>
  <c r="T53"/>
  <c r="S53"/>
  <c r="R53"/>
  <c r="Q53"/>
  <c r="P53"/>
  <c r="O53"/>
  <c r="N53"/>
  <c r="M53"/>
  <c r="L53"/>
  <c r="K53"/>
  <c r="J53"/>
  <c r="I53"/>
  <c r="H53"/>
  <c r="G53"/>
  <c r="F53"/>
  <c r="E53"/>
  <c r="D53"/>
  <c r="C53"/>
  <c r="B53"/>
  <c r="A53"/>
  <c r="W44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D44"/>
  <c r="C44"/>
  <c r="B44"/>
  <c r="A44"/>
  <c r="W35"/>
  <c r="V35"/>
  <c r="U35"/>
  <c r="T35"/>
  <c r="S35"/>
  <c r="R35"/>
  <c r="Q35"/>
  <c r="P35"/>
  <c r="O35"/>
  <c r="N35"/>
  <c r="M35"/>
  <c r="L35"/>
  <c r="K35"/>
  <c r="J35"/>
  <c r="I35"/>
  <c r="H35"/>
  <c r="G35"/>
  <c r="F35"/>
  <c r="E35"/>
  <c r="D35"/>
  <c r="C35"/>
  <c r="B35"/>
  <c r="A35"/>
  <c r="W25"/>
  <c r="W75" i="29" s="1"/>
  <c r="V25" i="25"/>
  <c r="V38" i="29" s="1"/>
  <c r="U25" i="25"/>
  <c r="U75" i="29" s="1"/>
  <c r="T25" i="25"/>
  <c r="T38" i="29" s="1"/>
  <c r="S25" i="25"/>
  <c r="R25"/>
  <c r="R38" i="29" s="1"/>
  <c r="Q25" i="25"/>
  <c r="P25"/>
  <c r="O25"/>
  <c r="O75" i="29" s="1"/>
  <c r="N25" i="25"/>
  <c r="M25"/>
  <c r="L25"/>
  <c r="L75" i="29" s="1"/>
  <c r="K25" i="25"/>
  <c r="K38" i="29" s="1"/>
  <c r="J25" i="25"/>
  <c r="J75" i="29" s="1"/>
  <c r="I25" i="25"/>
  <c r="H25"/>
  <c r="G25"/>
  <c r="G75" i="29" s="1"/>
  <c r="F25" i="25"/>
  <c r="F75" i="29" s="1"/>
  <c r="E25" i="25"/>
  <c r="D25"/>
  <c r="D38" i="29" s="1"/>
  <c r="C25" i="25"/>
  <c r="B25"/>
  <c r="B75" i="29" s="1"/>
  <c r="A25" i="25"/>
  <c r="A75" i="29" s="1"/>
  <c r="W16" i="25"/>
  <c r="W4" s="1"/>
  <c r="V16"/>
  <c r="V4" s="1"/>
  <c r="U16"/>
  <c r="U4" s="1"/>
  <c r="T16"/>
  <c r="T4" s="1"/>
  <c r="S16"/>
  <c r="S4" s="1"/>
  <c r="R16"/>
  <c r="R4" s="1"/>
  <c r="Q16"/>
  <c r="Q4" s="1"/>
  <c r="P16"/>
  <c r="P4" s="1"/>
  <c r="O16"/>
  <c r="O4" s="1"/>
  <c r="N16"/>
  <c r="N4" s="1"/>
  <c r="N5" s="1"/>
  <c r="N10" i="48" s="1"/>
  <c r="N7" i="49" s="1"/>
  <c r="N11" i="51" s="1"/>
  <c r="M16" i="25"/>
  <c r="M4" s="1"/>
  <c r="L16"/>
  <c r="L4" s="1"/>
  <c r="K16"/>
  <c r="K4" s="1"/>
  <c r="J16"/>
  <c r="J4" s="1"/>
  <c r="I16"/>
  <c r="I4" s="1"/>
  <c r="H16"/>
  <c r="H4" s="1"/>
  <c r="G16"/>
  <c r="G4" s="1"/>
  <c r="G5" s="1"/>
  <c r="G10" i="48" s="1"/>
  <c r="G7" i="49" s="1"/>
  <c r="G11" i="51" s="1"/>
  <c r="F16" i="25"/>
  <c r="F4" s="1"/>
  <c r="E16"/>
  <c r="E4" s="1"/>
  <c r="D16"/>
  <c r="D4" s="1"/>
  <c r="C16"/>
  <c r="C4" s="1"/>
  <c r="B16"/>
  <c r="B4" s="1"/>
  <c r="A16"/>
  <c r="W66" i="29"/>
  <c r="V66"/>
  <c r="U66"/>
  <c r="T66"/>
  <c r="S66"/>
  <c r="R66"/>
  <c r="Q66"/>
  <c r="P66"/>
  <c r="O66"/>
  <c r="N66"/>
  <c r="M66"/>
  <c r="L66"/>
  <c r="K66"/>
  <c r="J66"/>
  <c r="I66"/>
  <c r="H66"/>
  <c r="G66"/>
  <c r="F66"/>
  <c r="E66"/>
  <c r="D66"/>
  <c r="C66"/>
  <c r="B66"/>
  <c r="W57"/>
  <c r="W48" s="1"/>
  <c r="P57"/>
  <c r="P48" s="1"/>
  <c r="A4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B29"/>
  <c r="W4" i="15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B4"/>
  <c r="B4" i="14" s="1"/>
  <c r="B12" i="46" s="1"/>
  <c r="A3" i="16"/>
  <c r="H24" i="45" l="1"/>
  <c r="Q10"/>
  <c r="P20"/>
  <c r="H21"/>
  <c r="H23"/>
  <c r="A29" i="29"/>
  <c r="A13" i="45"/>
  <c r="A23" s="1"/>
  <c r="A8" i="46"/>
  <c r="B24" i="40" s="1"/>
  <c r="A16" i="46"/>
  <c r="B32" i="40" s="1"/>
  <c r="A12" i="45"/>
  <c r="A22" s="1"/>
  <c r="A15" i="46"/>
  <c r="B31" i="40" s="1"/>
  <c r="A7" i="46"/>
  <c r="B23" i="40" s="1"/>
  <c r="A10" i="45"/>
  <c r="A20" s="1"/>
  <c r="A13" i="46"/>
  <c r="B29" i="40" s="1"/>
  <c r="A5" i="46"/>
  <c r="B21" i="40" s="1"/>
  <c r="A11" i="45"/>
  <c r="A21" s="1"/>
  <c r="A14" i="46"/>
  <c r="B30" i="40" s="1"/>
  <c r="A6" i="46"/>
  <c r="B22" i="40" s="1"/>
  <c r="A14" i="45"/>
  <c r="A24" s="1"/>
  <c r="A9" i="46"/>
  <c r="B25" i="40" s="1"/>
  <c r="A17" i="46"/>
  <c r="B33" i="40" s="1"/>
  <c r="A21" i="25"/>
  <c r="A34" i="29" s="1"/>
  <c r="B21"/>
  <c r="A38"/>
  <c r="I11" i="45"/>
  <c r="I12"/>
  <c r="I22" s="1"/>
  <c r="I13"/>
  <c r="I14"/>
  <c r="B4" i="31"/>
  <c r="B4" i="23" s="1"/>
  <c r="B12"/>
  <c r="L5" i="15"/>
  <c r="E5"/>
  <c r="E5" i="14" s="1"/>
  <c r="E5" i="31" s="1"/>
  <c r="M5" i="15"/>
  <c r="U5"/>
  <c r="U5" i="14" s="1"/>
  <c r="V4"/>
  <c r="V4" i="31" s="1"/>
  <c r="P4" i="14"/>
  <c r="P12" i="46" s="1"/>
  <c r="I4" i="14"/>
  <c r="Q4"/>
  <c r="Q12" i="46" s="1"/>
  <c r="G4" i="14"/>
  <c r="J4"/>
  <c r="J12" i="46" s="1"/>
  <c r="R4" i="14"/>
  <c r="U4"/>
  <c r="F4"/>
  <c r="H4"/>
  <c r="M10" i="25"/>
  <c r="M4" i="48" s="1"/>
  <c r="B38" i="29"/>
  <c r="U38"/>
  <c r="T10" i="25"/>
  <c r="T4" i="48" s="1"/>
  <c r="B5" i="25"/>
  <c r="B10" i="48" s="1"/>
  <c r="B7" i="49" s="1"/>
  <c r="B11" i="51" s="1"/>
  <c r="J38" i="29"/>
  <c r="A49" i="25"/>
  <c r="A6" i="15"/>
  <c r="A20" i="25"/>
  <c r="A33" i="29" s="1"/>
  <c r="A58" i="25"/>
  <c r="A67"/>
  <c r="I5" i="15"/>
  <c r="I5" i="14" s="1"/>
  <c r="I5" i="31" s="1"/>
  <c r="A18" i="21"/>
  <c r="A18" i="34" s="1"/>
  <c r="A7" i="21"/>
  <c r="A7" i="33" s="1"/>
  <c r="A23" i="29" s="1"/>
  <c r="A14" s="1"/>
  <c r="A8" i="23"/>
  <c r="B8" i="40" s="1"/>
  <c r="A16" i="23"/>
  <c r="A30" i="25"/>
  <c r="A43" i="29" s="1"/>
  <c r="A19" i="25"/>
  <c r="A32" i="29" s="1"/>
  <c r="A40" i="25"/>
  <c r="A9" i="21"/>
  <c r="A9" i="33" s="1"/>
  <c r="A25" i="29" s="1"/>
  <c r="A16" s="1"/>
  <c r="A15" i="23"/>
  <c r="A16" i="21"/>
  <c r="A69" i="29" s="1"/>
  <c r="J5" i="15"/>
  <c r="J5" i="14" s="1"/>
  <c r="J5" i="31" s="1"/>
  <c r="Q5" i="15"/>
  <c r="Q5" i="14" s="1"/>
  <c r="G38" i="29"/>
  <c r="F38"/>
  <c r="A28" i="25"/>
  <c r="A38"/>
  <c r="A6" i="23"/>
  <c r="A6" i="14"/>
  <c r="A56" i="25"/>
  <c r="A14" i="23"/>
  <c r="A47" i="25"/>
  <c r="R75" i="29"/>
  <c r="A65" i="25"/>
  <c r="O38" i="29"/>
  <c r="W38"/>
  <c r="V75"/>
  <c r="D5" i="15"/>
  <c r="D5" i="14" s="1"/>
  <c r="D5" i="31" s="1"/>
  <c r="U5" i="25"/>
  <c r="U10" i="48" s="1"/>
  <c r="U7" i="49" s="1"/>
  <c r="U11" i="51" s="1"/>
  <c r="U10" i="25"/>
  <c r="U4" i="48" s="1"/>
  <c r="K75" i="29"/>
  <c r="A41" i="25"/>
  <c r="L38" i="29"/>
  <c r="N4" i="14"/>
  <c r="A9"/>
  <c r="D5" i="25"/>
  <c r="D10" i="48" s="1"/>
  <c r="D7" i="49" s="1"/>
  <c r="D11" i="51" s="1"/>
  <c r="F10" i="25"/>
  <c r="F4" i="48" s="1"/>
  <c r="R5" i="15"/>
  <c r="R5" i="14" s="1"/>
  <c r="R10" i="25"/>
  <c r="R4" i="48" s="1"/>
  <c r="B5" i="15"/>
  <c r="T5"/>
  <c r="T5" i="14" s="1"/>
  <c r="J5" i="25"/>
  <c r="J10" i="48" s="1"/>
  <c r="J7" i="49" s="1"/>
  <c r="J11" i="51" s="1"/>
  <c r="J10" i="25"/>
  <c r="J4" i="48" s="1"/>
  <c r="D4" i="14"/>
  <c r="L4"/>
  <c r="L12" i="46" s="1"/>
  <c r="T4" i="14"/>
  <c r="A15" i="21"/>
  <c r="A27" i="25"/>
  <c r="A18"/>
  <c r="A31" i="29" s="1"/>
  <c r="A5" i="15"/>
  <c r="A5" i="14"/>
  <c r="A5" i="23"/>
  <c r="B5" i="40" s="1"/>
  <c r="A64" i="25"/>
  <c r="A13" i="23"/>
  <c r="A46" i="25"/>
  <c r="A17" i="23"/>
  <c r="A22" i="25"/>
  <c r="A35" i="29" s="1"/>
  <c r="A10" i="21"/>
  <c r="A10" i="33" s="1"/>
  <c r="A26" i="29" s="1"/>
  <c r="A17" s="1"/>
  <c r="A19" i="21"/>
  <c r="A68" i="25"/>
  <c r="A59"/>
  <c r="A9" i="15"/>
  <c r="A9" i="23"/>
  <c r="W4" i="14"/>
  <c r="D75" i="29"/>
  <c r="R5" i="25"/>
  <c r="R10" i="48" s="1"/>
  <c r="R7" i="49" s="1"/>
  <c r="R11" i="51" s="1"/>
  <c r="B10" i="25"/>
  <c r="B4" i="48" s="1"/>
  <c r="C75" i="29"/>
  <c r="C38"/>
  <c r="S75"/>
  <c r="S38"/>
  <c r="A55" i="25"/>
  <c r="A50"/>
  <c r="F5"/>
  <c r="F10" i="48" s="1"/>
  <c r="F7" i="49" s="1"/>
  <c r="F11" i="51" s="1"/>
  <c r="O4" i="14"/>
  <c r="I38" i="29"/>
  <c r="I75"/>
  <c r="A6" i="21"/>
  <c r="A6" i="33" s="1"/>
  <c r="A22" i="29" s="1"/>
  <c r="A13" s="1"/>
  <c r="A37" i="25"/>
  <c r="A7" i="23"/>
  <c r="A57" i="25"/>
  <c r="A48"/>
  <c r="A39"/>
  <c r="A29"/>
  <c r="A17" i="21"/>
  <c r="A17" i="33" s="1"/>
  <c r="A61" i="29" s="1"/>
  <c r="A52" s="1"/>
  <c r="V10" i="25"/>
  <c r="V4" i="48" s="1"/>
  <c r="A66" i="25"/>
  <c r="T75" i="29"/>
  <c r="Q10" i="25"/>
  <c r="Q4" i="48" s="1"/>
  <c r="P75" i="29"/>
  <c r="P38"/>
  <c r="A31" i="25"/>
  <c r="M4" i="14"/>
  <c r="E4"/>
  <c r="W10" i="25"/>
  <c r="W4" i="48" s="1"/>
  <c r="W5" i="25"/>
  <c r="W10" i="48" s="1"/>
  <c r="W7" i="49" s="1"/>
  <c r="W11" i="51" s="1"/>
  <c r="G10" i="25"/>
  <c r="G4" i="48" s="1"/>
  <c r="H75" i="29"/>
  <c r="H38"/>
  <c r="U8" i="15"/>
  <c r="U8" i="14" s="1"/>
  <c r="O8" i="15"/>
  <c r="O8" i="14" s="1"/>
  <c r="H8" i="15"/>
  <c r="H8" i="14" s="1"/>
  <c r="T8" i="15"/>
  <c r="T8" i="14" s="1"/>
  <c r="P8" i="15"/>
  <c r="P8" i="14" s="1"/>
  <c r="G8" i="15"/>
  <c r="G8" i="14" s="1"/>
  <c r="E5" i="25"/>
  <c r="E10" i="48" s="1"/>
  <c r="E7" i="49" s="1"/>
  <c r="E11" i="51" s="1"/>
  <c r="E10" i="25"/>
  <c r="E4" i="48" s="1"/>
  <c r="Q5" i="25"/>
  <c r="Q10" i="48" s="1"/>
  <c r="Q7" i="49" s="1"/>
  <c r="Q11" i="51" s="1"/>
  <c r="H10" i="25"/>
  <c r="H4" i="48" s="1"/>
  <c r="H5" i="25"/>
  <c r="H10" i="48" s="1"/>
  <c r="H7" i="49" s="1"/>
  <c r="H11" i="51" s="1"/>
  <c r="I10" i="25"/>
  <c r="I4" i="48" s="1"/>
  <c r="I5" i="25"/>
  <c r="I10" i="48" s="1"/>
  <c r="I7" i="49" s="1"/>
  <c r="I11" i="51" s="1"/>
  <c r="P5" i="25"/>
  <c r="P10" i="48" s="1"/>
  <c r="P7" i="49" s="1"/>
  <c r="P11" i="51" s="1"/>
  <c r="P10" i="25"/>
  <c r="P4" i="48" s="1"/>
  <c r="L5" i="25"/>
  <c r="L10" i="48" s="1"/>
  <c r="L7" i="49" s="1"/>
  <c r="L11" i="51" s="1"/>
  <c r="L10" i="25"/>
  <c r="L4" i="48" s="1"/>
  <c r="T5" i="25"/>
  <c r="T10" i="48" s="1"/>
  <c r="T7" i="49" s="1"/>
  <c r="T11" i="51" s="1"/>
  <c r="O10" i="25"/>
  <c r="O4" i="48" s="1"/>
  <c r="T9" i="15"/>
  <c r="T9" i="14" s="1"/>
  <c r="L9" i="15"/>
  <c r="L9" i="14" s="1"/>
  <c r="D9" i="15"/>
  <c r="D9" i="14" s="1"/>
  <c r="S9" i="15"/>
  <c r="S9" i="14" s="1"/>
  <c r="K9" i="15"/>
  <c r="K9" i="14" s="1"/>
  <c r="C9" i="15"/>
  <c r="C9" i="14" s="1"/>
  <c r="R9" i="15"/>
  <c r="R9" i="14" s="1"/>
  <c r="J9" i="15"/>
  <c r="J9" i="14" s="1"/>
  <c r="B9" i="15"/>
  <c r="W9"/>
  <c r="W9" i="14" s="1"/>
  <c r="O9" i="15"/>
  <c r="O9" i="14" s="1"/>
  <c r="G9" i="15"/>
  <c r="G9" i="14" s="1"/>
  <c r="M9" i="15"/>
  <c r="M9" i="14" s="1"/>
  <c r="I9" i="15"/>
  <c r="I9" i="14" s="1"/>
  <c r="H9" i="15"/>
  <c r="H9" i="14" s="1"/>
  <c r="F9" i="15"/>
  <c r="F9" i="14" s="1"/>
  <c r="E9" i="15"/>
  <c r="E9" i="14" s="1"/>
  <c r="E9" i="31" s="1"/>
  <c r="Q9" i="15"/>
  <c r="Q9" i="14" s="1"/>
  <c r="V9" i="15"/>
  <c r="V9" i="14" s="1"/>
  <c r="U9" i="15"/>
  <c r="U9" i="14" s="1"/>
  <c r="P9" i="15"/>
  <c r="P9" i="14" s="1"/>
  <c r="N9" i="15"/>
  <c r="N9" i="14" s="1"/>
  <c r="S10" i="25"/>
  <c r="S4" i="48" s="1"/>
  <c r="S5" i="25"/>
  <c r="S10" i="48" s="1"/>
  <c r="S7" i="49" s="1"/>
  <c r="S11" i="51" s="1"/>
  <c r="E75" i="29"/>
  <c r="E38"/>
  <c r="M38"/>
  <c r="M75"/>
  <c r="O5" i="25"/>
  <c r="O10" i="48" s="1"/>
  <c r="O7" i="49" s="1"/>
  <c r="O11" i="51" s="1"/>
  <c r="C10" i="25"/>
  <c r="C4" i="48" s="1"/>
  <c r="C5" i="25"/>
  <c r="C10" i="48" s="1"/>
  <c r="C7" i="49" s="1"/>
  <c r="C11" i="51" s="1"/>
  <c r="K10" i="25"/>
  <c r="K4" i="48" s="1"/>
  <c r="K5" i="25"/>
  <c r="K10" i="48" s="1"/>
  <c r="K7" i="49" s="1"/>
  <c r="K11" i="51" s="1"/>
  <c r="D10" i="25"/>
  <c r="D4" i="48" s="1"/>
  <c r="N38" i="29"/>
  <c r="N75"/>
  <c r="N10" i="25"/>
  <c r="N4" i="48" s="1"/>
  <c r="V5" i="25"/>
  <c r="V10" i="48" s="1"/>
  <c r="V7" i="49" s="1"/>
  <c r="V11" i="51" s="1"/>
  <c r="Q38" i="29"/>
  <c r="Q75"/>
  <c r="C4" i="14"/>
  <c r="S4"/>
  <c r="M5" i="25"/>
  <c r="M10" i="48" s="1"/>
  <c r="M7" i="49" s="1"/>
  <c r="M11" i="51" s="1"/>
  <c r="K4" i="14"/>
  <c r="A8" i="15"/>
  <c r="A7"/>
  <c r="A8" i="21"/>
  <c r="S8" i="15"/>
  <c r="S8" i="14" s="1"/>
  <c r="K8" i="15"/>
  <c r="K8" i="14" s="1"/>
  <c r="C8" i="15"/>
  <c r="C8" i="14" s="1"/>
  <c r="R8" i="15"/>
  <c r="R8" i="14" s="1"/>
  <c r="J8" i="15"/>
  <c r="J8" i="14" s="1"/>
  <c r="B8" i="15"/>
  <c r="Q8"/>
  <c r="Q8" i="14" s="1"/>
  <c r="I8" i="15"/>
  <c r="I8" i="14" s="1"/>
  <c r="V8" i="15"/>
  <c r="V8" i="14" s="1"/>
  <c r="N8" i="15"/>
  <c r="N8" i="14" s="1"/>
  <c r="F8" i="15"/>
  <c r="F8" i="14" s="1"/>
  <c r="M8" i="15"/>
  <c r="M8" i="14" s="1"/>
  <c r="L8" i="15"/>
  <c r="L8" i="14" s="1"/>
  <c r="A7"/>
  <c r="A8"/>
  <c r="D8" i="15"/>
  <c r="D8" i="14" s="1"/>
  <c r="W8" i="15"/>
  <c r="W8" i="14" s="1"/>
  <c r="E8" i="15"/>
  <c r="E8" i="14" s="1"/>
  <c r="E8" i="31" s="1"/>
  <c r="P5" i="15"/>
  <c r="P5" i="14" s="1"/>
  <c r="P5" i="31" s="1"/>
  <c r="H5" i="15"/>
  <c r="H5" i="14" s="1"/>
  <c r="H5" i="31" s="1"/>
  <c r="W5" i="15"/>
  <c r="W5" i="14" s="1"/>
  <c r="O5" i="15"/>
  <c r="O5" i="14" s="1"/>
  <c r="O5" i="31" s="1"/>
  <c r="G5" i="15"/>
  <c r="G5" i="14" s="1"/>
  <c r="G5" i="31" s="1"/>
  <c r="V5" i="15"/>
  <c r="V5" i="14" s="1"/>
  <c r="N5" i="15"/>
  <c r="N5" i="14" s="1"/>
  <c r="N5" i="31" s="1"/>
  <c r="F5" i="15"/>
  <c r="F5" i="14" s="1"/>
  <c r="F5" i="31" s="1"/>
  <c r="S5" i="15"/>
  <c r="S5" i="14" s="1"/>
  <c r="K5" i="15"/>
  <c r="K5" i="14" s="1"/>
  <c r="K5" i="31" s="1"/>
  <c r="C5" i="15"/>
  <c r="C5" i="14" s="1"/>
  <c r="C5" i="31" s="1"/>
  <c r="D8" l="1"/>
  <c r="H9"/>
  <c r="C9"/>
  <c r="H8"/>
  <c r="D9"/>
  <c r="G8"/>
  <c r="F8"/>
  <c r="C8"/>
  <c r="G9"/>
  <c r="F9"/>
  <c r="I24" i="45"/>
  <c r="I9" i="31"/>
  <c r="I23" i="45"/>
  <c r="I8" i="31"/>
  <c r="I21" i="45"/>
  <c r="R10"/>
  <c r="Q5" i="31"/>
  <c r="Q20" i="45"/>
  <c r="L5" i="14"/>
  <c r="L5" i="31" s="1"/>
  <c r="B8" i="14"/>
  <c r="B9"/>
  <c r="M5"/>
  <c r="M5" i="31" s="1"/>
  <c r="B5" i="14"/>
  <c r="B5" i="31" s="1"/>
  <c r="J13" i="45"/>
  <c r="J14"/>
  <c r="J12"/>
  <c r="J22" s="1"/>
  <c r="J11"/>
  <c r="V4" i="46"/>
  <c r="U12" i="23"/>
  <c r="U12" i="46"/>
  <c r="R12" i="23"/>
  <c r="R12" i="46"/>
  <c r="O12" i="23"/>
  <c r="O12" i="46"/>
  <c r="G12" i="23"/>
  <c r="G12" i="46"/>
  <c r="M12" i="23"/>
  <c r="M12" i="46"/>
  <c r="D12" i="23"/>
  <c r="D12" i="46"/>
  <c r="S12" i="23"/>
  <c r="S12" i="46"/>
  <c r="N12" i="23"/>
  <c r="N12" i="46"/>
  <c r="C12" i="23"/>
  <c r="C12" i="46"/>
  <c r="E12" i="23"/>
  <c r="E12" i="46"/>
  <c r="I12" i="23"/>
  <c r="I12" i="46"/>
  <c r="K12" i="23"/>
  <c r="K12" i="46"/>
  <c r="W12" i="23"/>
  <c r="W12" i="46"/>
  <c r="T12" i="23"/>
  <c r="T12" i="46"/>
  <c r="H12" i="23"/>
  <c r="H12" i="46"/>
  <c r="B4"/>
  <c r="F12" i="23"/>
  <c r="F12" i="46"/>
  <c r="V12" i="23"/>
  <c r="V12" i="46"/>
  <c r="G4" i="31"/>
  <c r="U4"/>
  <c r="U4" i="23" s="1"/>
  <c r="A7" i="34"/>
  <c r="L4" i="31"/>
  <c r="L12" i="23"/>
  <c r="J4" i="31"/>
  <c r="J12" i="23"/>
  <c r="Q4" i="31"/>
  <c r="Q12" i="23"/>
  <c r="P4" i="31"/>
  <c r="P12" i="23"/>
  <c r="F4" i="31"/>
  <c r="H4"/>
  <c r="I4"/>
  <c r="R4"/>
  <c r="A16" i="34"/>
  <c r="A18" i="33"/>
  <c r="A62" i="29" s="1"/>
  <c r="A53" s="1"/>
  <c r="A71"/>
  <c r="A16" i="33"/>
  <c r="A60" i="29" s="1"/>
  <c r="A51" s="1"/>
  <c r="A70"/>
  <c r="A9" i="34"/>
  <c r="A80" i="29"/>
  <c r="B13" i="40"/>
  <c r="B14"/>
  <c r="B16"/>
  <c r="B15"/>
  <c r="B17"/>
  <c r="A5" i="32"/>
  <c r="A5" i="31" s="1"/>
  <c r="A8" i="32"/>
  <c r="A8" i="31" s="1"/>
  <c r="B4" i="32"/>
  <c r="A17" i="34"/>
  <c r="V4" i="23"/>
  <c r="A6" i="32"/>
  <c r="A6" i="31" s="1"/>
  <c r="B6" i="40"/>
  <c r="A78" i="29"/>
  <c r="A41"/>
  <c r="N4" i="31"/>
  <c r="A6" i="34"/>
  <c r="A10"/>
  <c r="A72" i="29"/>
  <c r="A19" i="34"/>
  <c r="A19" i="33"/>
  <c r="A63" i="29" s="1"/>
  <c r="A54" s="1"/>
  <c r="D4" i="31"/>
  <c r="M4"/>
  <c r="W4"/>
  <c r="A77" i="29"/>
  <c r="A40"/>
  <c r="A81"/>
  <c r="A44"/>
  <c r="O4" i="31"/>
  <c r="A9" i="32"/>
  <c r="A9" i="31" s="1"/>
  <c r="B9" i="40"/>
  <c r="A15" i="33"/>
  <c r="A59" i="29" s="1"/>
  <c r="A50" s="1"/>
  <c r="A68"/>
  <c r="A67" s="1"/>
  <c r="A15" i="34"/>
  <c r="T4" i="31"/>
  <c r="E4"/>
  <c r="A7" i="32"/>
  <c r="A7" i="31" s="1"/>
  <c r="B7" i="40"/>
  <c r="A79" i="29"/>
  <c r="A42"/>
  <c r="K4" i="31"/>
  <c r="A8" i="34"/>
  <c r="A8" i="33"/>
  <c r="A24" i="29" s="1"/>
  <c r="A15" s="1"/>
  <c r="Q6" i="15"/>
  <c r="Q6" i="14" s="1"/>
  <c r="Q13" s="1"/>
  <c r="I6" i="15"/>
  <c r="I6" i="14" s="1"/>
  <c r="I13" s="1"/>
  <c r="P6" i="15"/>
  <c r="P6" i="14" s="1"/>
  <c r="P13" s="1"/>
  <c r="H6" i="15"/>
  <c r="H6" i="14" s="1"/>
  <c r="W6" i="15"/>
  <c r="W6" i="14" s="1"/>
  <c r="W13" s="1"/>
  <c r="O6" i="15"/>
  <c r="O6" i="14" s="1"/>
  <c r="O13" s="1"/>
  <c r="G6" i="15"/>
  <c r="G6" i="14" s="1"/>
  <c r="T6" i="15"/>
  <c r="T6" i="14" s="1"/>
  <c r="T13" s="1"/>
  <c r="L6" i="15"/>
  <c r="L6" i="14" s="1"/>
  <c r="L13" s="1"/>
  <c r="D6" i="15"/>
  <c r="D6" i="14" s="1"/>
  <c r="S6" i="15"/>
  <c r="S6" i="14" s="1"/>
  <c r="S13" s="1"/>
  <c r="C6" i="15"/>
  <c r="C6" i="14" s="1"/>
  <c r="R6" i="15"/>
  <c r="R6" i="14" s="1"/>
  <c r="R13" s="1"/>
  <c r="B6" i="15"/>
  <c r="M6"/>
  <c r="M6" i="14" s="1"/>
  <c r="M13" s="1"/>
  <c r="K6" i="15"/>
  <c r="K6" i="14" s="1"/>
  <c r="K13" s="1"/>
  <c r="J6" i="15"/>
  <c r="J6" i="14" s="1"/>
  <c r="J13" s="1"/>
  <c r="V6" i="15"/>
  <c r="V6" i="14" s="1"/>
  <c r="V13" s="1"/>
  <c r="N6" i="15"/>
  <c r="N6" i="14" s="1"/>
  <c r="N13" s="1"/>
  <c r="U6" i="15"/>
  <c r="U6" i="14" s="1"/>
  <c r="U13" s="1"/>
  <c r="F6" i="15"/>
  <c r="F6" i="14" s="1"/>
  <c r="E6" i="15"/>
  <c r="E6" i="14" s="1"/>
  <c r="S4" i="31"/>
  <c r="R7" i="15"/>
  <c r="R7" i="14" s="1"/>
  <c r="R7" i="31" s="1"/>
  <c r="J7" i="15"/>
  <c r="J7" i="14" s="1"/>
  <c r="J7" i="31" s="1"/>
  <c r="B7" i="15"/>
  <c r="Q7"/>
  <c r="Q7" i="14" s="1"/>
  <c r="Q7" i="31" s="1"/>
  <c r="I7" i="15"/>
  <c r="I7" i="14" s="1"/>
  <c r="I7" i="31" s="1"/>
  <c r="P7" i="15"/>
  <c r="P7" i="14" s="1"/>
  <c r="P7" i="31" s="1"/>
  <c r="H7" i="15"/>
  <c r="H7" i="14" s="1"/>
  <c r="H7" i="31" s="1"/>
  <c r="U7" i="15"/>
  <c r="U7" i="14" s="1"/>
  <c r="U7" i="31" s="1"/>
  <c r="M7" i="15"/>
  <c r="M7" i="14" s="1"/>
  <c r="E7" i="15"/>
  <c r="E7" i="14" s="1"/>
  <c r="E7" i="31" s="1"/>
  <c r="T7" i="15"/>
  <c r="T7" i="14" s="1"/>
  <c r="T7" i="31" s="1"/>
  <c r="D7" i="15"/>
  <c r="D7" i="14" s="1"/>
  <c r="D7" i="31" s="1"/>
  <c r="S7" i="15"/>
  <c r="S7" i="14" s="1"/>
  <c r="S7" i="31" s="1"/>
  <c r="C7" i="15"/>
  <c r="C7" i="14" s="1"/>
  <c r="C7" i="31" s="1"/>
  <c r="F7" i="15"/>
  <c r="F7" i="14" s="1"/>
  <c r="F7" i="31" s="1"/>
  <c r="W7" i="15"/>
  <c r="W7" i="14" s="1"/>
  <c r="W7" i="31" s="1"/>
  <c r="V7" i="15"/>
  <c r="V7" i="14" s="1"/>
  <c r="V7" i="31" s="1"/>
  <c r="L7" i="15"/>
  <c r="L7" i="14" s="1"/>
  <c r="N7" i="15"/>
  <c r="N7" i="14" s="1"/>
  <c r="N7" i="31" s="1"/>
  <c r="O7" i="15"/>
  <c r="O7" i="14" s="1"/>
  <c r="O7" i="31" s="1"/>
  <c r="K7" i="15"/>
  <c r="K7" i="14" s="1"/>
  <c r="K7" i="31" s="1"/>
  <c r="G7" i="15"/>
  <c r="G7" i="14" s="1"/>
  <c r="G7" i="31" s="1"/>
  <c r="C4"/>
  <c r="M7" l="1"/>
  <c r="I6"/>
  <c r="D13" i="14"/>
  <c r="D6" i="31"/>
  <c r="H13" i="14"/>
  <c r="H6" i="31"/>
  <c r="G13" i="14"/>
  <c r="G6" i="31"/>
  <c r="C13" i="14"/>
  <c r="C6" i="31"/>
  <c r="L7"/>
  <c r="E13" i="14"/>
  <c r="E6" i="31"/>
  <c r="B9"/>
  <c r="F13" i="14"/>
  <c r="F6" i="31"/>
  <c r="B8"/>
  <c r="J24" i="45"/>
  <c r="J9" i="31"/>
  <c r="J23" i="45"/>
  <c r="J8" i="31"/>
  <c r="S10" i="45"/>
  <c r="R5" i="31"/>
  <c r="R20" i="45"/>
  <c r="J21"/>
  <c r="J6" i="31"/>
  <c r="B7" i="14"/>
  <c r="B7" i="31" s="1"/>
  <c r="B6" i="14"/>
  <c r="K11" i="45"/>
  <c r="K12"/>
  <c r="K22" s="1"/>
  <c r="K14"/>
  <c r="K9" i="31" s="1"/>
  <c r="K13" i="45"/>
  <c r="K8" i="31" s="1"/>
  <c r="W4" i="46"/>
  <c r="I4"/>
  <c r="Q4" i="23"/>
  <c r="Q4" i="32" s="1"/>
  <c r="Q4" i="46"/>
  <c r="J4"/>
  <c r="U4"/>
  <c r="E4"/>
  <c r="G4"/>
  <c r="K4"/>
  <c r="G4" i="23"/>
  <c r="G4" i="32" s="1"/>
  <c r="F4" i="46"/>
  <c r="L4"/>
  <c r="C4"/>
  <c r="S4"/>
  <c r="T4"/>
  <c r="H4"/>
  <c r="O4"/>
  <c r="M4"/>
  <c r="N4"/>
  <c r="P4"/>
  <c r="R4"/>
  <c r="D4"/>
  <c r="P4" i="23"/>
  <c r="L4"/>
  <c r="L4" i="32" s="1"/>
  <c r="I4" i="23"/>
  <c r="I4" i="32" s="1"/>
  <c r="R4" i="23"/>
  <c r="R4" i="32" s="1"/>
  <c r="J4" i="23"/>
  <c r="H4"/>
  <c r="H4" i="32" s="1"/>
  <c r="F4" i="23"/>
  <c r="F4" i="32" s="1"/>
  <c r="V4"/>
  <c r="U4"/>
  <c r="S4" i="23"/>
  <c r="W4"/>
  <c r="D4"/>
  <c r="E4"/>
  <c r="O4"/>
  <c r="C4"/>
  <c r="T4"/>
  <c r="M4"/>
  <c r="K4"/>
  <c r="N4"/>
  <c r="B6" i="31" l="1"/>
  <c r="B7" i="32" s="1"/>
  <c r="B7" i="23" s="1"/>
  <c r="B13" i="14"/>
  <c r="T10" i="45"/>
  <c r="S5" i="31"/>
  <c r="S20" i="45"/>
  <c r="K21"/>
  <c r="K6" i="31"/>
  <c r="K24" i="45"/>
  <c r="K23"/>
  <c r="P4" i="32"/>
  <c r="L13" i="45"/>
  <c r="L8" i="31" s="1"/>
  <c r="L14" i="45"/>
  <c r="L9" i="31" s="1"/>
  <c r="L12" i="45"/>
  <c r="L11"/>
  <c r="L6" i="31" s="1"/>
  <c r="J4" i="32"/>
  <c r="I16" i="23"/>
  <c r="O17"/>
  <c r="R15"/>
  <c r="N16"/>
  <c r="H17"/>
  <c r="V15"/>
  <c r="W16"/>
  <c r="P13"/>
  <c r="C15"/>
  <c r="C17" i="33" s="1"/>
  <c r="M15" i="23"/>
  <c r="D7" i="32"/>
  <c r="D7" i="23" s="1"/>
  <c r="U14"/>
  <c r="S15"/>
  <c r="L15"/>
  <c r="F14"/>
  <c r="K15"/>
  <c r="J14"/>
  <c r="E15"/>
  <c r="F6" i="32"/>
  <c r="F6" i="23" s="1"/>
  <c r="G15"/>
  <c r="E4" i="32"/>
  <c r="T4"/>
  <c r="N4"/>
  <c r="C4"/>
  <c r="D4"/>
  <c r="S4"/>
  <c r="K4"/>
  <c r="O4"/>
  <c r="W4"/>
  <c r="M4"/>
  <c r="B6" l="1"/>
  <c r="B5"/>
  <c r="B5" i="23" s="1"/>
  <c r="C5" i="40" s="1"/>
  <c r="B6" i="23"/>
  <c r="C6" i="40" s="1"/>
  <c r="B8" i="32"/>
  <c r="B8" i="23" s="1"/>
  <c r="C8" i="40" s="1"/>
  <c r="B9" i="32"/>
  <c r="B9" i="23" s="1"/>
  <c r="C9" i="40" s="1"/>
  <c r="C61" i="29"/>
  <c r="U10" i="45"/>
  <c r="T5" i="31"/>
  <c r="T20" i="45"/>
  <c r="L23"/>
  <c r="L21"/>
  <c r="L22"/>
  <c r="L24"/>
  <c r="M14"/>
  <c r="M9" i="31" s="1"/>
  <c r="M11" i="45"/>
  <c r="M6" i="31" s="1"/>
  <c r="M13" i="45"/>
  <c r="M8" i="31" s="1"/>
  <c r="M12" i="45"/>
  <c r="C7" i="32"/>
  <c r="C7" i="23" s="1"/>
  <c r="C8" i="33" s="1"/>
  <c r="C7" i="40"/>
  <c r="C17" i="23"/>
  <c r="C19" i="33" s="1"/>
  <c r="C16" i="23"/>
  <c r="C18" i="33" s="1"/>
  <c r="C13" i="23"/>
  <c r="C15" i="33" s="1"/>
  <c r="C14" i="23"/>
  <c r="C16" i="33" s="1"/>
  <c r="O14" i="23"/>
  <c r="O15"/>
  <c r="R17"/>
  <c r="P14"/>
  <c r="O13"/>
  <c r="C8" i="32"/>
  <c r="C8" i="23" s="1"/>
  <c r="C5" i="32"/>
  <c r="C5" i="23" s="1"/>
  <c r="I13"/>
  <c r="I17"/>
  <c r="I15"/>
  <c r="I14"/>
  <c r="P17"/>
  <c r="N17"/>
  <c r="R14"/>
  <c r="O16"/>
  <c r="R13"/>
  <c r="C6" i="32"/>
  <c r="C6" i="23" s="1"/>
  <c r="C7" i="33" s="1"/>
  <c r="R16" i="23"/>
  <c r="C9" i="32"/>
  <c r="C9" i="23" s="1"/>
  <c r="C10" i="33" s="1"/>
  <c r="N13" i="23"/>
  <c r="E8" i="32"/>
  <c r="E8" i="23" s="1"/>
  <c r="D8" i="32"/>
  <c r="D8" i="23" s="1"/>
  <c r="F15"/>
  <c r="V17"/>
  <c r="H13"/>
  <c r="D9" i="32"/>
  <c r="D9" i="23" s="1"/>
  <c r="U15"/>
  <c r="N15"/>
  <c r="H16"/>
  <c r="V13"/>
  <c r="H14"/>
  <c r="N14"/>
  <c r="H15"/>
  <c r="V16"/>
  <c r="V14"/>
  <c r="P15"/>
  <c r="P16"/>
  <c r="W15"/>
  <c r="F7" i="32"/>
  <c r="F7" i="23" s="1"/>
  <c r="D5" i="32"/>
  <c r="D5" i="23" s="1"/>
  <c r="W13"/>
  <c r="F9" i="32"/>
  <c r="F9" i="23" s="1"/>
  <c r="D6" i="32"/>
  <c r="D6" i="23" s="1"/>
  <c r="W14"/>
  <c r="W17"/>
  <c r="E5" i="32"/>
  <c r="E5" i="23" s="1"/>
  <c r="K14"/>
  <c r="E7" i="32"/>
  <c r="E7" i="23" s="1"/>
  <c r="E6" i="32"/>
  <c r="E6" i="23" s="1"/>
  <c r="E9" i="32"/>
  <c r="E9" i="23" s="1"/>
  <c r="D16"/>
  <c r="D13"/>
  <c r="D17"/>
  <c r="Q17"/>
  <c r="Q13"/>
  <c r="Q16"/>
  <c r="G17"/>
  <c r="G16"/>
  <c r="G13"/>
  <c r="K17"/>
  <c r="K16"/>
  <c r="K13"/>
  <c r="G14"/>
  <c r="T13"/>
  <c r="T17"/>
  <c r="T16"/>
  <c r="L13"/>
  <c r="L17"/>
  <c r="L16"/>
  <c r="E13"/>
  <c r="E17"/>
  <c r="E16"/>
  <c r="Q15"/>
  <c r="F13"/>
  <c r="F16"/>
  <c r="F17"/>
  <c r="S13"/>
  <c r="S17"/>
  <c r="S16"/>
  <c r="D15"/>
  <c r="T15"/>
  <c r="D14"/>
  <c r="M14"/>
  <c r="F5" i="32"/>
  <c r="F5" i="23" s="1"/>
  <c r="E14"/>
  <c r="M13"/>
  <c r="M16"/>
  <c r="M17"/>
  <c r="J16"/>
  <c r="J17"/>
  <c r="J13"/>
  <c r="L14"/>
  <c r="Q14"/>
  <c r="F8" i="32"/>
  <c r="F8" i="23" s="1"/>
  <c r="S14"/>
  <c r="U13"/>
  <c r="U17"/>
  <c r="U16"/>
  <c r="J15"/>
  <c r="T14"/>
  <c r="G8" i="32"/>
  <c r="G8" i="23" s="1"/>
  <c r="G6" i="32"/>
  <c r="G6" i="23" s="1"/>
  <c r="G5" i="32"/>
  <c r="G5" i="23" s="1"/>
  <c r="G9" i="32"/>
  <c r="G9" i="23" s="1"/>
  <c r="G7" i="32"/>
  <c r="G7" i="23" s="1"/>
  <c r="C26" i="29" l="1"/>
  <c r="C23"/>
  <c r="C59"/>
  <c r="C63"/>
  <c r="C24"/>
  <c r="C60"/>
  <c r="C62"/>
  <c r="V10" i="45"/>
  <c r="U5" i="31"/>
  <c r="U20" i="45"/>
  <c r="M22"/>
  <c r="M23"/>
  <c r="M21"/>
  <c r="M24"/>
  <c r="N12"/>
  <c r="N13"/>
  <c r="N8" i="31" s="1"/>
  <c r="N11" i="45"/>
  <c r="N6" i="31" s="1"/>
  <c r="N14" i="45"/>
  <c r="N9" i="31" s="1"/>
  <c r="C14" i="33"/>
  <c r="C6"/>
  <c r="C9"/>
  <c r="H9" i="32"/>
  <c r="H9" i="23" s="1"/>
  <c r="H8" i="32"/>
  <c r="H8" i="23" s="1"/>
  <c r="H6" i="32"/>
  <c r="H6" i="23" s="1"/>
  <c r="H7" i="32"/>
  <c r="H7" i="23" s="1"/>
  <c r="H5" i="32"/>
  <c r="H5" i="23" s="1"/>
  <c r="C22" i="29" l="1"/>
  <c r="C58"/>
  <c r="C25"/>
  <c r="W10" i="45"/>
  <c r="V5" i="31"/>
  <c r="V20" i="45"/>
  <c r="N24"/>
  <c r="N21"/>
  <c r="N23"/>
  <c r="N22"/>
  <c r="O14"/>
  <c r="O9" i="31" s="1"/>
  <c r="O11" i="45"/>
  <c r="O6" i="31" s="1"/>
  <c r="O13" i="45"/>
  <c r="O8" i="31" s="1"/>
  <c r="O12" i="45"/>
  <c r="C5" i="33"/>
  <c r="B14" i="34"/>
  <c r="B5"/>
  <c r="I9" i="32"/>
  <c r="I9" i="23" s="1"/>
  <c r="I6" i="32"/>
  <c r="I6" i="23" s="1"/>
  <c r="I8" i="32"/>
  <c r="I8" i="23" s="1"/>
  <c r="I7" i="32"/>
  <c r="I7" i="23" s="1"/>
  <c r="I5" i="32"/>
  <c r="I5" i="23" s="1"/>
  <c r="C21" i="29" l="1"/>
  <c r="W5" i="31"/>
  <c r="W20" i="45"/>
  <c r="O22"/>
  <c r="O23"/>
  <c r="O21"/>
  <c r="O24"/>
  <c r="P12"/>
  <c r="P13"/>
  <c r="P8" i="31" s="1"/>
  <c r="P11" i="45"/>
  <c r="P6" i="31" s="1"/>
  <c r="P14" i="45"/>
  <c r="P9" i="31" s="1"/>
  <c r="B58" i="29"/>
  <c r="B14" i="33"/>
  <c r="B5"/>
  <c r="J8" i="32"/>
  <c r="J8" i="23" s="1"/>
  <c r="J9" i="32"/>
  <c r="J9" i="23" s="1"/>
  <c r="J5" i="32"/>
  <c r="J5" i="23" s="1"/>
  <c r="J7" i="32"/>
  <c r="J7" i="23" s="1"/>
  <c r="J6" i="32"/>
  <c r="J6" i="23" s="1"/>
  <c r="P22" i="45" l="1"/>
  <c r="Q14"/>
  <c r="Q9" i="31" s="1"/>
  <c r="P24" i="45"/>
  <c r="Q11"/>
  <c r="Q6" i="31" s="1"/>
  <c r="P21" i="45"/>
  <c r="Q13"/>
  <c r="Q8" i="31" s="1"/>
  <c r="P23" i="45"/>
  <c r="Q12"/>
  <c r="B67" i="25"/>
  <c r="B50"/>
  <c r="B27"/>
  <c r="B77" i="29" s="1"/>
  <c r="B64" i="25"/>
  <c r="B46"/>
  <c r="B29"/>
  <c r="B48"/>
  <c r="B66"/>
  <c r="B30"/>
  <c r="B80" i="29" s="1"/>
  <c r="B28" i="25"/>
  <c r="B78" i="29" s="1"/>
  <c r="B65" i="25"/>
  <c r="B47"/>
  <c r="B49"/>
  <c r="B31"/>
  <c r="B81" i="29" s="1"/>
  <c r="B68" i="25"/>
  <c r="B14" i="21"/>
  <c r="B41" i="25"/>
  <c r="B22"/>
  <c r="B44" i="29" s="1"/>
  <c r="B59" i="25"/>
  <c r="B56"/>
  <c r="B38"/>
  <c r="B19"/>
  <c r="B41" i="29" s="1"/>
  <c r="B55" i="25"/>
  <c r="B37"/>
  <c r="B18"/>
  <c r="B40" i="29" s="1"/>
  <c r="B5" i="21"/>
  <c r="B40" i="25"/>
  <c r="B58"/>
  <c r="B21"/>
  <c r="B43" i="29" s="1"/>
  <c r="B20" i="25"/>
  <c r="B42" i="29" s="1"/>
  <c r="B57" i="25"/>
  <c r="B39"/>
  <c r="K6" i="32"/>
  <c r="K6" i="23" s="1"/>
  <c r="K8" i="32"/>
  <c r="K8" i="23" s="1"/>
  <c r="K7" i="32"/>
  <c r="K7" i="23" s="1"/>
  <c r="K9" i="32"/>
  <c r="K9" i="23" s="1"/>
  <c r="K5" i="32"/>
  <c r="K5" i="23" s="1"/>
  <c r="B14" i="29" l="1"/>
  <c r="B17"/>
  <c r="B15"/>
  <c r="B16"/>
  <c r="B13"/>
  <c r="R12" i="45"/>
  <c r="Q22"/>
  <c r="B79" i="29"/>
  <c r="B14" i="46"/>
  <c r="B15"/>
  <c r="B16"/>
  <c r="B17"/>
  <c r="B13"/>
  <c r="B8"/>
  <c r="C16" i="40" s="1"/>
  <c r="B9" i="46"/>
  <c r="C17" i="40" s="1"/>
  <c r="B6" i="46"/>
  <c r="C14" i="40" s="1"/>
  <c r="B7" i="46"/>
  <c r="C15" i="40" s="1"/>
  <c r="B5" i="46"/>
  <c r="C13" i="40" s="1"/>
  <c r="R13" i="45"/>
  <c r="R8" i="31" s="1"/>
  <c r="Q23" i="45"/>
  <c r="Q21"/>
  <c r="R11"/>
  <c r="Q24"/>
  <c r="R14"/>
  <c r="R9" i="31" s="1"/>
  <c r="C15" i="21"/>
  <c r="C16"/>
  <c r="B54" i="29"/>
  <c r="B53"/>
  <c r="B67"/>
  <c r="C14" i="34"/>
  <c r="C19" i="21"/>
  <c r="B7" i="25"/>
  <c r="B36"/>
  <c r="B63"/>
  <c r="B45"/>
  <c r="B30" i="29"/>
  <c r="B26" i="25"/>
  <c r="B51" i="29"/>
  <c r="B50"/>
  <c r="B17" i="25"/>
  <c r="B6"/>
  <c r="B54"/>
  <c r="C5" i="34"/>
  <c r="L7" i="32"/>
  <c r="L7" i="23" s="1"/>
  <c r="L6" i="32"/>
  <c r="L6" i="23" s="1"/>
  <c r="L9" i="32"/>
  <c r="L9" i="23" s="1"/>
  <c r="L8" i="32"/>
  <c r="L8" i="23" s="1"/>
  <c r="L5" i="32"/>
  <c r="L5" i="23" s="1"/>
  <c r="B52" i="29" l="1"/>
  <c r="B49" s="1"/>
  <c r="R21" i="45"/>
  <c r="R6" i="31"/>
  <c r="C69" i="29"/>
  <c r="D16" i="34"/>
  <c r="C68" i="29"/>
  <c r="D15" i="34"/>
  <c r="C72" i="29"/>
  <c r="D19" i="34"/>
  <c r="S13" i="45"/>
  <c r="R23"/>
  <c r="S14"/>
  <c r="S9" i="31" s="1"/>
  <c r="S11" i="45"/>
  <c r="S6" i="31" s="1"/>
  <c r="S12" i="45"/>
  <c r="R22"/>
  <c r="B11" i="25"/>
  <c r="B76" i="29"/>
  <c r="R24" i="45"/>
  <c r="B12" i="25"/>
  <c r="B12" i="29"/>
  <c r="C17" i="21"/>
  <c r="C18"/>
  <c r="C64" i="25"/>
  <c r="C46"/>
  <c r="C27"/>
  <c r="C65"/>
  <c r="C28"/>
  <c r="C47"/>
  <c r="C50"/>
  <c r="C68"/>
  <c r="C31"/>
  <c r="B39" i="29"/>
  <c r="C6" i="21"/>
  <c r="C10"/>
  <c r="C9"/>
  <c r="C7"/>
  <c r="B8" i="25"/>
  <c r="C8" i="21"/>
  <c r="M6" i="32"/>
  <c r="M6" i="23" s="1"/>
  <c r="M7" i="32"/>
  <c r="M7" i="23" s="1"/>
  <c r="M9" i="32"/>
  <c r="M9" i="23" s="1"/>
  <c r="M5" i="32"/>
  <c r="M5" i="23" s="1"/>
  <c r="M8" i="32"/>
  <c r="M8" i="23" s="1"/>
  <c r="C81" i="29" l="1"/>
  <c r="C54" s="1"/>
  <c r="C78"/>
  <c r="C51" s="1"/>
  <c r="C77"/>
  <c r="S23" i="45"/>
  <c r="S8" i="31"/>
  <c r="B13" i="51"/>
  <c r="B11" i="48"/>
  <c r="B13" s="1"/>
  <c r="C34" i="29"/>
  <c r="D9" i="34"/>
  <c r="C35" i="29"/>
  <c r="D10" i="34"/>
  <c r="C31" i="29"/>
  <c r="D6" i="34"/>
  <c r="C33" i="29"/>
  <c r="D8" i="34"/>
  <c r="C71" i="29"/>
  <c r="D18" i="34"/>
  <c r="C32" i="29"/>
  <c r="D7" i="34"/>
  <c r="C70" i="29"/>
  <c r="D17" i="34"/>
  <c r="T12" i="45"/>
  <c r="S22"/>
  <c r="T11"/>
  <c r="T6" i="31" s="1"/>
  <c r="S21" i="45"/>
  <c r="T14"/>
  <c r="T9" i="31" s="1"/>
  <c r="S24" i="45"/>
  <c r="T13"/>
  <c r="T8" i="31" s="1"/>
  <c r="B13" i="25"/>
  <c r="B5" i="48" s="1"/>
  <c r="C29" i="25"/>
  <c r="C66"/>
  <c r="C49"/>
  <c r="C48"/>
  <c r="C30"/>
  <c r="C67"/>
  <c r="C14" i="21"/>
  <c r="C5"/>
  <c r="C7" i="46" s="1"/>
  <c r="C57" i="25"/>
  <c r="C39"/>
  <c r="C20"/>
  <c r="C59"/>
  <c r="C22"/>
  <c r="C41"/>
  <c r="C56"/>
  <c r="C19"/>
  <c r="C38"/>
  <c r="C21"/>
  <c r="C40"/>
  <c r="C58"/>
  <c r="C55"/>
  <c r="C18"/>
  <c r="C37"/>
  <c r="N5" i="32"/>
  <c r="N5" i="23" s="1"/>
  <c r="N7" i="32"/>
  <c r="N7" i="23" s="1"/>
  <c r="N9" i="32"/>
  <c r="N9" i="23" s="1"/>
  <c r="N6" i="32"/>
  <c r="N6" i="23" s="1"/>
  <c r="N8" i="32"/>
  <c r="N8" i="23" s="1"/>
  <c r="C80" i="29" l="1"/>
  <c r="C53" s="1"/>
  <c r="C79"/>
  <c r="C52" s="1"/>
  <c r="C40"/>
  <c r="C43"/>
  <c r="C41"/>
  <c r="C14" s="1"/>
  <c r="C44"/>
  <c r="C17" s="1"/>
  <c r="C42"/>
  <c r="C15" s="1"/>
  <c r="T21" i="45"/>
  <c r="B8" i="49"/>
  <c r="B10" s="1"/>
  <c r="B6" i="48"/>
  <c r="B7" s="1"/>
  <c r="C67" i="29"/>
  <c r="C16"/>
  <c r="C30"/>
  <c r="U13" i="45"/>
  <c r="U8" i="31" s="1"/>
  <c r="U12" i="45"/>
  <c r="T22"/>
  <c r="U14"/>
  <c r="U9" i="31" s="1"/>
  <c r="T23" i="45"/>
  <c r="T24"/>
  <c r="U11"/>
  <c r="C13" i="29"/>
  <c r="C23" i="40"/>
  <c r="U23" i="45"/>
  <c r="C8" i="46"/>
  <c r="C9"/>
  <c r="C5"/>
  <c r="C6"/>
  <c r="C63" i="25"/>
  <c r="C14" i="46"/>
  <c r="C30" i="40" s="1"/>
  <c r="C13" i="46"/>
  <c r="C29" i="40" s="1"/>
  <c r="C17" i="46"/>
  <c r="C33" i="40" s="1"/>
  <c r="C16" i="46"/>
  <c r="C32" i="40" s="1"/>
  <c r="C15" i="46"/>
  <c r="C31" i="40" s="1"/>
  <c r="D15" i="33"/>
  <c r="D18"/>
  <c r="D16"/>
  <c r="D14" i="34"/>
  <c r="D17" i="33"/>
  <c r="D19"/>
  <c r="C26" i="25"/>
  <c r="C45"/>
  <c r="C7"/>
  <c r="C36"/>
  <c r="C54"/>
  <c r="C17"/>
  <c r="C6"/>
  <c r="D6" i="33"/>
  <c r="D10"/>
  <c r="D9"/>
  <c r="D8"/>
  <c r="D7"/>
  <c r="C50" i="29"/>
  <c r="D5" i="34"/>
  <c r="O5" i="32"/>
  <c r="O5" i="23" s="1"/>
  <c r="O9" i="32"/>
  <c r="O9" i="23" s="1"/>
  <c r="O7" i="32"/>
  <c r="O7" i="23" s="1"/>
  <c r="O8" i="32"/>
  <c r="O8" i="23" s="1"/>
  <c r="O6" i="32"/>
  <c r="O6" i="23" s="1"/>
  <c r="C76" i="29" l="1"/>
  <c r="C39"/>
  <c r="D24"/>
  <c r="D26"/>
  <c r="D63"/>
  <c r="D59"/>
  <c r="B12" i="51"/>
  <c r="D23" i="29"/>
  <c r="D25"/>
  <c r="D22"/>
  <c r="D61"/>
  <c r="D60"/>
  <c r="D62"/>
  <c r="U21" i="45"/>
  <c r="U6" i="31"/>
  <c r="V14" i="45"/>
  <c r="V9" i="31" s="1"/>
  <c r="U24" i="45"/>
  <c r="V12"/>
  <c r="U22"/>
  <c r="V11"/>
  <c r="V6" i="31" s="1"/>
  <c r="V13" i="45"/>
  <c r="V8" i="31" s="1"/>
  <c r="C11" i="25"/>
  <c r="C24" i="40"/>
  <c r="C25"/>
  <c r="C22"/>
  <c r="C21"/>
  <c r="C12" i="25"/>
  <c r="D15" i="21"/>
  <c r="D18"/>
  <c r="D16"/>
  <c r="D19"/>
  <c r="D14" i="33"/>
  <c r="D17" i="21"/>
  <c r="C12" i="29"/>
  <c r="C49"/>
  <c r="D8" i="21"/>
  <c r="D9"/>
  <c r="C8" i="25"/>
  <c r="C11" i="48" s="1"/>
  <c r="D10" i="21"/>
  <c r="D7"/>
  <c r="D6"/>
  <c r="D5" i="33"/>
  <c r="P5" i="32"/>
  <c r="P5" i="23" s="1"/>
  <c r="P9" i="32"/>
  <c r="P9" i="23" s="1"/>
  <c r="P8" i="32"/>
  <c r="P8" i="23" s="1"/>
  <c r="P6" i="32"/>
  <c r="P6" i="23" s="1"/>
  <c r="P7" i="32"/>
  <c r="P7" i="23" s="1"/>
  <c r="D21" i="29" l="1"/>
  <c r="E15" i="34"/>
  <c r="E18"/>
  <c r="D58" i="29"/>
  <c r="C13" i="48"/>
  <c r="C8" i="49" s="1"/>
  <c r="B14" i="51"/>
  <c r="V23" i="45"/>
  <c r="V24"/>
  <c r="C13" i="51"/>
  <c r="D34" i="29"/>
  <c r="E9" i="34"/>
  <c r="D33" i="29"/>
  <c r="E8" i="34"/>
  <c r="D31" i="29"/>
  <c r="E6" i="34"/>
  <c r="D32" i="29"/>
  <c r="E7" i="34"/>
  <c r="D35" i="29"/>
  <c r="E10" i="34"/>
  <c r="D70" i="29"/>
  <c r="E17" i="34"/>
  <c r="D72" i="29"/>
  <c r="E19" i="34"/>
  <c r="D69" i="29"/>
  <c r="E16" i="34"/>
  <c r="W11" i="45"/>
  <c r="W6" i="31" s="1"/>
  <c r="V21" i="45"/>
  <c r="W12"/>
  <c r="V22"/>
  <c r="W13"/>
  <c r="W8" i="31" s="1"/>
  <c r="W14" i="45"/>
  <c r="W9" i="31" s="1"/>
  <c r="C13" i="25"/>
  <c r="C5" i="48" s="1"/>
  <c r="D49" i="25"/>
  <c r="D71" i="29"/>
  <c r="D64" i="25"/>
  <c r="D68" i="29"/>
  <c r="D27" i="25"/>
  <c r="D46"/>
  <c r="D30"/>
  <c r="D67"/>
  <c r="D47"/>
  <c r="D28"/>
  <c r="D65"/>
  <c r="D29"/>
  <c r="D31"/>
  <c r="D50"/>
  <c r="D68"/>
  <c r="D66"/>
  <c r="D14" i="21"/>
  <c r="D13" i="46" s="1"/>
  <c r="D48" i="25"/>
  <c r="D56"/>
  <c r="D19"/>
  <c r="D38"/>
  <c r="D22"/>
  <c r="D59"/>
  <c r="D41"/>
  <c r="D20"/>
  <c r="D57"/>
  <c r="D39"/>
  <c r="D55"/>
  <c r="D37"/>
  <c r="D18"/>
  <c r="D5" i="21"/>
  <c r="D9" i="46" s="1"/>
  <c r="D21" i="25"/>
  <c r="D40"/>
  <c r="D58"/>
  <c r="Q5" i="32"/>
  <c r="Q5" i="23" s="1"/>
  <c r="Q9" i="32"/>
  <c r="Q9" i="23" s="1"/>
  <c r="Q6" i="32"/>
  <c r="Q6" i="23" s="1"/>
  <c r="Q7" i="32"/>
  <c r="Q7" i="23" s="1"/>
  <c r="Q8" i="32"/>
  <c r="Q8" i="23" s="1"/>
  <c r="C6" i="48" l="1"/>
  <c r="D42" i="29"/>
  <c r="D15" s="1"/>
  <c r="D81"/>
  <c r="D80"/>
  <c r="D77"/>
  <c r="D50" s="1"/>
  <c r="D43"/>
  <c r="D16" s="1"/>
  <c r="D40"/>
  <c r="D44"/>
  <c r="D41"/>
  <c r="D79"/>
  <c r="D52" s="1"/>
  <c r="D78"/>
  <c r="D51" s="1"/>
  <c r="C37" i="40"/>
  <c r="C10" i="49"/>
  <c r="W21" i="45"/>
  <c r="W24"/>
  <c r="D17" i="29"/>
  <c r="D30"/>
  <c r="D13"/>
  <c r="W22" i="45"/>
  <c r="W23"/>
  <c r="D67" i="29"/>
  <c r="D5" i="46"/>
  <c r="D54" i="29"/>
  <c r="D16" i="46"/>
  <c r="D7"/>
  <c r="D53" i="29"/>
  <c r="D15" i="46"/>
  <c r="D6"/>
  <c r="D8"/>
  <c r="D17"/>
  <c r="D14"/>
  <c r="E16" i="33"/>
  <c r="D45" i="25"/>
  <c r="D26"/>
  <c r="D63"/>
  <c r="E17" i="33"/>
  <c r="E15"/>
  <c r="D7" i="25"/>
  <c r="E19" i="33"/>
  <c r="E14" i="34"/>
  <c r="E18" i="33"/>
  <c r="D36" i="25"/>
  <c r="D54"/>
  <c r="D17"/>
  <c r="D6"/>
  <c r="E10" i="33"/>
  <c r="E9"/>
  <c r="E8"/>
  <c r="E7"/>
  <c r="E5" i="34"/>
  <c r="E6" i="33"/>
  <c r="R5" i="32"/>
  <c r="R5" i="23" s="1"/>
  <c r="R8" i="32"/>
  <c r="R8" i="23" s="1"/>
  <c r="R7" i="32"/>
  <c r="R7" i="23" s="1"/>
  <c r="R9" i="32"/>
  <c r="R9" i="23" s="1"/>
  <c r="R6" i="32"/>
  <c r="R6" i="23" s="1"/>
  <c r="D39" i="29" l="1"/>
  <c r="D76"/>
  <c r="E22"/>
  <c r="E23"/>
  <c r="E25"/>
  <c r="E62"/>
  <c r="E63"/>
  <c r="E59"/>
  <c r="E24"/>
  <c r="E26"/>
  <c r="E61"/>
  <c r="E60"/>
  <c r="D14"/>
  <c r="C7" i="48"/>
  <c r="C38" i="40"/>
  <c r="C12" i="51"/>
  <c r="D11" i="25"/>
  <c r="D12"/>
  <c r="D49" i="29"/>
  <c r="E16" i="21"/>
  <c r="E17"/>
  <c r="E15"/>
  <c r="E19"/>
  <c r="E18"/>
  <c r="E14" i="33"/>
  <c r="E6" i="21"/>
  <c r="D8" i="25"/>
  <c r="D11" i="48" s="1"/>
  <c r="E9" i="21"/>
  <c r="E5" i="33"/>
  <c r="E7" i="21"/>
  <c r="E10"/>
  <c r="E8"/>
  <c r="S9" i="32"/>
  <c r="S9" i="23" s="1"/>
  <c r="S7" i="32"/>
  <c r="S7" i="23" s="1"/>
  <c r="S5" i="32"/>
  <c r="S5" i="23" s="1"/>
  <c r="S8" i="32"/>
  <c r="S8" i="23" s="1"/>
  <c r="S6" i="32"/>
  <c r="S6" i="23" s="1"/>
  <c r="E58" i="29" l="1"/>
  <c r="E21"/>
  <c r="D12"/>
  <c r="D13" i="51" s="1"/>
  <c r="D13" i="48"/>
  <c r="D8" i="49" s="1"/>
  <c r="C14" i="51"/>
  <c r="C39" i="40"/>
  <c r="E71" i="29"/>
  <c r="F18" i="34"/>
  <c r="E72" i="29"/>
  <c r="F19" i="34"/>
  <c r="E68" i="29"/>
  <c r="F15" i="34"/>
  <c r="E70" i="29"/>
  <c r="F17" i="34"/>
  <c r="E69" i="29"/>
  <c r="F16" i="34"/>
  <c r="E31" i="29"/>
  <c r="F6" i="34"/>
  <c r="E33" i="29"/>
  <c r="F8" i="34"/>
  <c r="E35" i="29"/>
  <c r="F10" i="34"/>
  <c r="E32" i="29"/>
  <c r="F7" i="34"/>
  <c r="E34" i="29"/>
  <c r="F9" i="34"/>
  <c r="D13" i="25"/>
  <c r="D5" i="48" s="1"/>
  <c r="E47" i="25"/>
  <c r="E65"/>
  <c r="E28"/>
  <c r="E29"/>
  <c r="E30"/>
  <c r="E48"/>
  <c r="E66"/>
  <c r="E49"/>
  <c r="E67"/>
  <c r="E64"/>
  <c r="E46"/>
  <c r="E27"/>
  <c r="E31"/>
  <c r="E50"/>
  <c r="E68"/>
  <c r="E14" i="21"/>
  <c r="E16" i="46" s="1"/>
  <c r="E37" i="25"/>
  <c r="E18"/>
  <c r="E55"/>
  <c r="E58"/>
  <c r="E5" i="21"/>
  <c r="E5" i="46" s="1"/>
  <c r="E21" i="25"/>
  <c r="E40"/>
  <c r="E22"/>
  <c r="E41"/>
  <c r="E59"/>
  <c r="E38"/>
  <c r="E56"/>
  <c r="E19"/>
  <c r="E20"/>
  <c r="E39"/>
  <c r="E57"/>
  <c r="T8" i="32"/>
  <c r="T8" i="23" s="1"/>
  <c r="T5" i="32"/>
  <c r="T5" i="23" s="1"/>
  <c r="T6" i="32"/>
  <c r="T6" i="23" s="1"/>
  <c r="T9" i="32"/>
  <c r="T9" i="23" s="1"/>
  <c r="T7" i="32"/>
  <c r="T7" i="23" s="1"/>
  <c r="D6" i="48" l="1"/>
  <c r="E81" i="29"/>
  <c r="E54" s="1"/>
  <c r="E80"/>
  <c r="E53" s="1"/>
  <c r="E78"/>
  <c r="D10" i="49"/>
  <c r="E41" i="29"/>
  <c r="E14" s="1"/>
  <c r="E42"/>
  <c r="E15" s="1"/>
  <c r="E44"/>
  <c r="E43"/>
  <c r="E16" s="1"/>
  <c r="E40"/>
  <c r="E13" s="1"/>
  <c r="E77"/>
  <c r="E50" s="1"/>
  <c r="E79"/>
  <c r="D7" i="48"/>
  <c r="E67" i="29"/>
  <c r="E17"/>
  <c r="E30"/>
  <c r="E6" i="46"/>
  <c r="E9"/>
  <c r="E7"/>
  <c r="E52" i="29"/>
  <c r="E8" i="46"/>
  <c r="E14"/>
  <c r="E51" i="29"/>
  <c r="E15" i="46"/>
  <c r="E13"/>
  <c r="E17"/>
  <c r="E45" i="25"/>
  <c r="F18" i="33"/>
  <c r="F19"/>
  <c r="F17"/>
  <c r="E63" i="25"/>
  <c r="F16" i="33"/>
  <c r="F14" i="34"/>
  <c r="F15" i="33"/>
  <c r="E7" i="25"/>
  <c r="E26"/>
  <c r="F10" i="33"/>
  <c r="E36" i="25"/>
  <c r="E54"/>
  <c r="F6" i="33"/>
  <c r="F5" i="34"/>
  <c r="E17" i="25"/>
  <c r="F9" i="33"/>
  <c r="F7"/>
  <c r="F8"/>
  <c r="E6" i="25"/>
  <c r="U9" i="32"/>
  <c r="U9" i="23" s="1"/>
  <c r="U6" i="32"/>
  <c r="U6" i="23" s="1"/>
  <c r="U8" i="32"/>
  <c r="U8" i="23" s="1"/>
  <c r="U5" i="32"/>
  <c r="U5" i="23" s="1"/>
  <c r="U7" i="32"/>
  <c r="U7" i="23" s="1"/>
  <c r="E76" i="29" l="1"/>
  <c r="E39"/>
  <c r="F23"/>
  <c r="F22"/>
  <c r="F59"/>
  <c r="F60"/>
  <c r="F61"/>
  <c r="F62"/>
  <c r="F24"/>
  <c r="F25"/>
  <c r="F26"/>
  <c r="F63"/>
  <c r="D12" i="51"/>
  <c r="E11" i="25"/>
  <c r="E12"/>
  <c r="E49" i="29"/>
  <c r="E12"/>
  <c r="F18" i="21"/>
  <c r="F16"/>
  <c r="F15"/>
  <c r="F19"/>
  <c r="F17"/>
  <c r="F14" i="33"/>
  <c r="F10" i="21"/>
  <c r="F9"/>
  <c r="F5" i="33"/>
  <c r="F8" i="21"/>
  <c r="E8" i="25"/>
  <c r="E11" i="48" s="1"/>
  <c r="F7" i="21"/>
  <c r="F6"/>
  <c r="V6" i="32"/>
  <c r="V6" i="23" s="1"/>
  <c r="V8" i="32"/>
  <c r="V8" i="23" s="1"/>
  <c r="V7" i="32"/>
  <c r="V7" i="23" s="1"/>
  <c r="V5" i="32"/>
  <c r="V5" i="23" s="1"/>
  <c r="V9" i="32"/>
  <c r="V9" i="23" s="1"/>
  <c r="F21" i="29" l="1"/>
  <c r="F58"/>
  <c r="E13" i="48"/>
  <c r="E6" s="1"/>
  <c r="G18" i="34"/>
  <c r="D14" i="51"/>
  <c r="E13"/>
  <c r="F70" i="29"/>
  <c r="G17" i="34"/>
  <c r="F72" i="29"/>
  <c r="G19" i="34"/>
  <c r="F68" i="29"/>
  <c r="G15" i="34"/>
  <c r="F69" i="29"/>
  <c r="G16" i="34"/>
  <c r="F35" i="29"/>
  <c r="G10" i="34"/>
  <c r="F31" i="29"/>
  <c r="G6" i="34"/>
  <c r="F32" i="29"/>
  <c r="G7" i="34"/>
  <c r="F33" i="29"/>
  <c r="G8" i="34"/>
  <c r="F34" i="29"/>
  <c r="G9" i="34"/>
  <c r="E13" i="25"/>
  <c r="E5" i="48" s="1"/>
  <c r="F49" i="25"/>
  <c r="F71" i="29"/>
  <c r="F67" i="25"/>
  <c r="F28"/>
  <c r="F47"/>
  <c r="F30"/>
  <c r="F65"/>
  <c r="F27"/>
  <c r="F64"/>
  <c r="F46"/>
  <c r="F50"/>
  <c r="F14" i="21"/>
  <c r="F15" i="46" s="1"/>
  <c r="F31" i="25"/>
  <c r="F68"/>
  <c r="F29"/>
  <c r="F48"/>
  <c r="F66"/>
  <c r="F41"/>
  <c r="F22"/>
  <c r="F59"/>
  <c r="F38"/>
  <c r="F58"/>
  <c r="F21"/>
  <c r="F40"/>
  <c r="F56"/>
  <c r="F18"/>
  <c r="F55"/>
  <c r="F5" i="21"/>
  <c r="F5" i="46" s="1"/>
  <c r="F37" i="25"/>
  <c r="F19"/>
  <c r="F20"/>
  <c r="F39"/>
  <c r="F57"/>
  <c r="W9" i="32"/>
  <c r="W9" i="23" s="1"/>
  <c r="W8" i="32"/>
  <c r="W8" i="23" s="1"/>
  <c r="W6" i="32"/>
  <c r="W6" i="23" s="1"/>
  <c r="W7" i="32"/>
  <c r="W7" i="23" s="1"/>
  <c r="W5" i="32"/>
  <c r="W5" i="23" s="1"/>
  <c r="E8" i="49" l="1"/>
  <c r="E10" s="1"/>
  <c r="F42" i="29"/>
  <c r="F15" s="1"/>
  <c r="F43"/>
  <c r="F16" s="1"/>
  <c r="F44"/>
  <c r="F79"/>
  <c r="F52" s="1"/>
  <c r="F81"/>
  <c r="F54" s="1"/>
  <c r="F41"/>
  <c r="F14" s="1"/>
  <c r="F40"/>
  <c r="F77"/>
  <c r="F50" s="1"/>
  <c r="F80"/>
  <c r="F53" s="1"/>
  <c r="F78"/>
  <c r="F51" s="1"/>
  <c r="E7" i="48"/>
  <c r="F17" i="29"/>
  <c r="F30"/>
  <c r="F67"/>
  <c r="F13"/>
  <c r="F14" i="46"/>
  <c r="F17"/>
  <c r="F7"/>
  <c r="F9"/>
  <c r="F6"/>
  <c r="F13"/>
  <c r="F8"/>
  <c r="F16"/>
  <c r="G14" i="34"/>
  <c r="F63" i="25"/>
  <c r="F45"/>
  <c r="G17" i="33"/>
  <c r="G16"/>
  <c r="G18"/>
  <c r="G19"/>
  <c r="G15"/>
  <c r="F26" i="25"/>
  <c r="F7"/>
  <c r="G5" i="34"/>
  <c r="D7" i="40"/>
  <c r="D6"/>
  <c r="E5"/>
  <c r="D8"/>
  <c r="D9"/>
  <c r="D5"/>
  <c r="E8"/>
  <c r="E7"/>
  <c r="E6"/>
  <c r="E9"/>
  <c r="G9" i="33"/>
  <c r="F36" i="25"/>
  <c r="G8" i="33"/>
  <c r="G6"/>
  <c r="F17" i="25"/>
  <c r="G7" i="33"/>
  <c r="G10"/>
  <c r="F6" i="25"/>
  <c r="F54"/>
  <c r="F39" i="29" l="1"/>
  <c r="F76"/>
  <c r="E12" i="51"/>
  <c r="E14" s="1"/>
  <c r="G22" i="29"/>
  <c r="G26"/>
  <c r="G24"/>
  <c r="G25"/>
  <c r="G59"/>
  <c r="G62"/>
  <c r="G61"/>
  <c r="G23"/>
  <c r="G63"/>
  <c r="G60"/>
  <c r="F11" i="25"/>
  <c r="F12"/>
  <c r="F49" i="29"/>
  <c r="G16" i="21"/>
  <c r="G17"/>
  <c r="G19"/>
  <c r="G14" i="33"/>
  <c r="G18" i="21"/>
  <c r="G15"/>
  <c r="F8" i="40"/>
  <c r="F9"/>
  <c r="F12" i="29"/>
  <c r="F5" i="40"/>
  <c r="F6"/>
  <c r="F7"/>
  <c r="G6" i="21"/>
  <c r="G8"/>
  <c r="G9"/>
  <c r="G10"/>
  <c r="G7"/>
  <c r="F8" i="25"/>
  <c r="F11" i="48" s="1"/>
  <c r="G5" i="33"/>
  <c r="G58" i="29" l="1"/>
  <c r="G21"/>
  <c r="F13" i="48"/>
  <c r="F6" s="1"/>
  <c r="F13" i="51"/>
  <c r="G68" i="29"/>
  <c r="H15" i="34"/>
  <c r="G71" i="29"/>
  <c r="H18" i="34"/>
  <c r="G72" i="29"/>
  <c r="H19" i="34"/>
  <c r="G70" i="29"/>
  <c r="H17" i="34"/>
  <c r="G69" i="29"/>
  <c r="H16" i="34"/>
  <c r="G35" i="29"/>
  <c r="H10" i="34"/>
  <c r="G34" i="29"/>
  <c r="H9" i="34"/>
  <c r="G33" i="29"/>
  <c r="H8" i="34"/>
  <c r="G31" i="29"/>
  <c r="H6" i="34"/>
  <c r="G32" i="29"/>
  <c r="H7" i="34"/>
  <c r="F13" i="25"/>
  <c r="F5" i="48" s="1"/>
  <c r="G21" i="25"/>
  <c r="G28"/>
  <c r="G47"/>
  <c r="G65"/>
  <c r="G67"/>
  <c r="G29"/>
  <c r="G66"/>
  <c r="G30"/>
  <c r="G49"/>
  <c r="G48"/>
  <c r="G68"/>
  <c r="G64"/>
  <c r="G31"/>
  <c r="G50"/>
  <c r="G27"/>
  <c r="G46"/>
  <c r="G14" i="21"/>
  <c r="G17" i="46" s="1"/>
  <c r="G40" i="25"/>
  <c r="G58"/>
  <c r="G39"/>
  <c r="G18"/>
  <c r="G22"/>
  <c r="G37"/>
  <c r="G57"/>
  <c r="G20"/>
  <c r="G55"/>
  <c r="G56"/>
  <c r="G41"/>
  <c r="G59"/>
  <c r="G5" i="21"/>
  <c r="G7" i="46" s="1"/>
  <c r="G19" i="25"/>
  <c r="G38"/>
  <c r="F8" i="49" l="1"/>
  <c r="F10" s="1"/>
  <c r="G40" i="29"/>
  <c r="G13" s="1"/>
  <c r="G77"/>
  <c r="G81"/>
  <c r="G43"/>
  <c r="G16" s="1"/>
  <c r="G41"/>
  <c r="G14" s="1"/>
  <c r="G42"/>
  <c r="G15" s="1"/>
  <c r="G44"/>
  <c r="G80"/>
  <c r="G53" s="1"/>
  <c r="G79"/>
  <c r="G52" s="1"/>
  <c r="G78"/>
  <c r="G51" s="1"/>
  <c r="F7" i="48"/>
  <c r="G67" i="29"/>
  <c r="G17"/>
  <c r="G30"/>
  <c r="G16" i="46"/>
  <c r="G6"/>
  <c r="G15"/>
  <c r="G9"/>
  <c r="G13"/>
  <c r="G5"/>
  <c r="G54" i="29"/>
  <c r="G8" i="46"/>
  <c r="G14"/>
  <c r="G63" i="25"/>
  <c r="G26"/>
  <c r="H14" i="34"/>
  <c r="G45" i="25"/>
  <c r="H16" i="33"/>
  <c r="H15"/>
  <c r="H19"/>
  <c r="H18"/>
  <c r="G7" i="25"/>
  <c r="H17" i="33"/>
  <c r="G54" i="25"/>
  <c r="H9" i="33"/>
  <c r="H5" i="34"/>
  <c r="G36" i="25"/>
  <c r="G17"/>
  <c r="G6"/>
  <c r="H8" i="33"/>
  <c r="H7"/>
  <c r="H6"/>
  <c r="H10"/>
  <c r="G50" i="29"/>
  <c r="G76" l="1"/>
  <c r="G39"/>
  <c r="H26"/>
  <c r="H23"/>
  <c r="H25"/>
  <c r="H61"/>
  <c r="H62"/>
  <c r="H22"/>
  <c r="H24"/>
  <c r="H63"/>
  <c r="H60"/>
  <c r="F12" i="51"/>
  <c r="G11" i="25"/>
  <c r="H15" i="21"/>
  <c r="H59" i="29"/>
  <c r="G12" i="25"/>
  <c r="G49" i="29"/>
  <c r="H16" i="21"/>
  <c r="H19"/>
  <c r="H17"/>
  <c r="H14" i="33"/>
  <c r="H18" i="21"/>
  <c r="G12" i="29"/>
  <c r="H9" i="21"/>
  <c r="H5" i="33"/>
  <c r="H6" i="21"/>
  <c r="H10"/>
  <c r="H7"/>
  <c r="H8"/>
  <c r="G8" i="25"/>
  <c r="G11" i="48" s="1"/>
  <c r="H21" i="29" l="1"/>
  <c r="G13" i="48"/>
  <c r="G8" i="49" s="1"/>
  <c r="F14" i="51"/>
  <c r="H58" i="29"/>
  <c r="G13" i="51"/>
  <c r="H71" i="29"/>
  <c r="I18" i="34"/>
  <c r="H68" i="29"/>
  <c r="I15" i="34"/>
  <c r="H70" i="29"/>
  <c r="I17" i="34"/>
  <c r="H72" i="29"/>
  <c r="I19" i="34"/>
  <c r="H69" i="29"/>
  <c r="I16" i="34"/>
  <c r="H34" i="29"/>
  <c r="I9" i="34"/>
  <c r="H33" i="29"/>
  <c r="I8" i="34"/>
  <c r="H32" i="29"/>
  <c r="I7" i="34"/>
  <c r="H35" i="29"/>
  <c r="I10" i="34"/>
  <c r="H31" i="29"/>
  <c r="I6" i="34"/>
  <c r="G13" i="25"/>
  <c r="G5" i="48" s="1"/>
  <c r="H64" i="25"/>
  <c r="H27"/>
  <c r="H46"/>
  <c r="H21"/>
  <c r="H47"/>
  <c r="H65"/>
  <c r="H28"/>
  <c r="H49"/>
  <c r="H30"/>
  <c r="H67"/>
  <c r="H29"/>
  <c r="H66"/>
  <c r="H50"/>
  <c r="H68"/>
  <c r="H31"/>
  <c r="H14" i="21"/>
  <c r="H13" i="46" s="1"/>
  <c r="D29" i="40" s="1"/>
  <c r="H48" i="25"/>
  <c r="H40"/>
  <c r="H58"/>
  <c r="H39"/>
  <c r="H56"/>
  <c r="H41"/>
  <c r="H18"/>
  <c r="H55"/>
  <c r="H38"/>
  <c r="H19"/>
  <c r="H20"/>
  <c r="H5" i="21"/>
  <c r="H7" i="46" s="1"/>
  <c r="H57" i="25"/>
  <c r="H22"/>
  <c r="H59"/>
  <c r="H37"/>
  <c r="G6" i="48" l="1"/>
  <c r="H44" i="29"/>
  <c r="H42"/>
  <c r="H40"/>
  <c r="H81"/>
  <c r="H79"/>
  <c r="H52" s="1"/>
  <c r="H80"/>
  <c r="H78"/>
  <c r="G10" i="49"/>
  <c r="H41" i="29"/>
  <c r="H39" s="1"/>
  <c r="H43"/>
  <c r="H16" s="1"/>
  <c r="H77"/>
  <c r="H50" s="1"/>
  <c r="G7" i="48"/>
  <c r="H30" i="29"/>
  <c r="H67"/>
  <c r="H17"/>
  <c r="H14" i="46"/>
  <c r="D30" i="40" s="1"/>
  <c r="D23"/>
  <c r="H5" i="46"/>
  <c r="H53" i="29"/>
  <c r="H16" i="46"/>
  <c r="D32" i="40" s="1"/>
  <c r="H8" i="46"/>
  <c r="H6"/>
  <c r="H17"/>
  <c r="D33" i="40" s="1"/>
  <c r="H9" i="46"/>
  <c r="H15"/>
  <c r="D31" i="40" s="1"/>
  <c r="H45" i="25"/>
  <c r="I19" i="33"/>
  <c r="H26" i="25"/>
  <c r="H63"/>
  <c r="H7"/>
  <c r="I17" i="33"/>
  <c r="I15"/>
  <c r="I16"/>
  <c r="I14" i="34"/>
  <c r="I18" i="33"/>
  <c r="H36" i="25"/>
  <c r="H17"/>
  <c r="H54"/>
  <c r="I7" i="33"/>
  <c r="H6" i="25"/>
  <c r="I5" i="34"/>
  <c r="I10" i="33"/>
  <c r="I9"/>
  <c r="I8"/>
  <c r="I6"/>
  <c r="H51" i="29"/>
  <c r="H54" l="1"/>
  <c r="H49" s="1"/>
  <c r="H13"/>
  <c r="H76"/>
  <c r="H15"/>
  <c r="H14"/>
  <c r="I59"/>
  <c r="I22"/>
  <c r="I25"/>
  <c r="I23"/>
  <c r="I62"/>
  <c r="I60"/>
  <c r="I61"/>
  <c r="I63"/>
  <c r="I24"/>
  <c r="I26"/>
  <c r="G12" i="51"/>
  <c r="H11" i="25"/>
  <c r="D25" i="40"/>
  <c r="D22"/>
  <c r="D24"/>
  <c r="D21"/>
  <c r="H12" i="25"/>
  <c r="I16" i="21"/>
  <c r="I19"/>
  <c r="I17"/>
  <c r="I15"/>
  <c r="I18"/>
  <c r="I14" i="33"/>
  <c r="I10" i="21"/>
  <c r="I7"/>
  <c r="H8" i="25"/>
  <c r="H11" i="48" s="1"/>
  <c r="I6" i="21"/>
  <c r="I5" i="33"/>
  <c r="I9" i="21"/>
  <c r="I8"/>
  <c r="H12" i="29" l="1"/>
  <c r="H13" i="51" s="1"/>
  <c r="I58" i="29"/>
  <c r="I21"/>
  <c r="H13" i="48"/>
  <c r="H8" i="49" s="1"/>
  <c r="G14" i="51"/>
  <c r="I70" i="29"/>
  <c r="J17" i="34"/>
  <c r="I72" i="29"/>
  <c r="J19" i="34"/>
  <c r="I69" i="29"/>
  <c r="J16" i="34"/>
  <c r="I71" i="29"/>
  <c r="J18" i="34"/>
  <c r="I68" i="29"/>
  <c r="J15" i="34"/>
  <c r="I31" i="29"/>
  <c r="J6" i="34"/>
  <c r="I32" i="29"/>
  <c r="J7" i="34"/>
  <c r="I35" i="29"/>
  <c r="J10" i="34"/>
  <c r="I33" i="29"/>
  <c r="J8" i="34"/>
  <c r="I34" i="29"/>
  <c r="J9" i="34"/>
  <c r="H13" i="25"/>
  <c r="H5" i="48" s="1"/>
  <c r="I68" i="25"/>
  <c r="I65"/>
  <c r="I47"/>
  <c r="I28"/>
  <c r="I46"/>
  <c r="I50"/>
  <c r="I48"/>
  <c r="I31"/>
  <c r="I29"/>
  <c r="I67"/>
  <c r="I66"/>
  <c r="I30"/>
  <c r="I49"/>
  <c r="I27"/>
  <c r="I64"/>
  <c r="I14" i="21"/>
  <c r="I17" i="46" s="1"/>
  <c r="I38" i="25"/>
  <c r="I55"/>
  <c r="I22"/>
  <c r="I59"/>
  <c r="I41"/>
  <c r="I37"/>
  <c r="I56"/>
  <c r="I19"/>
  <c r="I18"/>
  <c r="I21"/>
  <c r="I5" i="21"/>
  <c r="I6" i="46" s="1"/>
  <c r="I40" i="25"/>
  <c r="I58"/>
  <c r="I57"/>
  <c r="I39"/>
  <c r="I20"/>
  <c r="H6" i="48" l="1"/>
  <c r="I40" i="29"/>
  <c r="I13" s="1"/>
  <c r="I44"/>
  <c r="I79"/>
  <c r="I42"/>
  <c r="I15" s="1"/>
  <c r="I43"/>
  <c r="I41"/>
  <c r="I14" s="1"/>
  <c r="I77"/>
  <c r="I80"/>
  <c r="I53" s="1"/>
  <c r="I81"/>
  <c r="I54" s="1"/>
  <c r="I78"/>
  <c r="I51" s="1"/>
  <c r="D37" i="40"/>
  <c r="H10" i="49"/>
  <c r="H12" i="51" s="1"/>
  <c r="I16" i="29"/>
  <c r="I30"/>
  <c r="I67"/>
  <c r="I17"/>
  <c r="I14" i="46"/>
  <c r="I52" i="29"/>
  <c r="I8" i="46"/>
  <c r="I5"/>
  <c r="I7"/>
  <c r="I9"/>
  <c r="I13"/>
  <c r="I16"/>
  <c r="I15"/>
  <c r="J18" i="33"/>
  <c r="I45" i="25"/>
  <c r="J16" i="33"/>
  <c r="J14" i="34"/>
  <c r="J15" i="33"/>
  <c r="I63" i="25"/>
  <c r="I26"/>
  <c r="I7"/>
  <c r="J17" i="33"/>
  <c r="J19"/>
  <c r="J10"/>
  <c r="J6"/>
  <c r="J8"/>
  <c r="J5" i="34"/>
  <c r="I36" i="25"/>
  <c r="I54"/>
  <c r="I6"/>
  <c r="I17"/>
  <c r="J7" i="33"/>
  <c r="J9"/>
  <c r="I50" i="29"/>
  <c r="I76" l="1"/>
  <c r="I39"/>
  <c r="J23"/>
  <c r="J25"/>
  <c r="J22"/>
  <c r="J63"/>
  <c r="J62"/>
  <c r="J24"/>
  <c r="J26"/>
  <c r="J61"/>
  <c r="J59"/>
  <c r="J60"/>
  <c r="H14" i="51"/>
  <c r="H7" i="48"/>
  <c r="D38" i="40"/>
  <c r="I11" i="25"/>
  <c r="I12"/>
  <c r="J19" i="21"/>
  <c r="I49" i="29"/>
  <c r="J18" i="21"/>
  <c r="J16"/>
  <c r="J15"/>
  <c r="J17"/>
  <c r="J14" i="33"/>
  <c r="I12" i="29"/>
  <c r="J10" i="21"/>
  <c r="J6"/>
  <c r="J9"/>
  <c r="J8"/>
  <c r="I8" i="25"/>
  <c r="I11" i="48" s="1"/>
  <c r="J7" i="21"/>
  <c r="J5" i="33"/>
  <c r="J21" i="29" l="1"/>
  <c r="J58"/>
  <c r="I13" i="48"/>
  <c r="I8" i="49" s="1"/>
  <c r="D39" i="40"/>
  <c r="I13" i="51"/>
  <c r="J70" i="29"/>
  <c r="K17" i="34"/>
  <c r="J68" i="29"/>
  <c r="K15" i="34"/>
  <c r="J69" i="29"/>
  <c r="K16" i="34"/>
  <c r="J71" i="29"/>
  <c r="K18" i="34"/>
  <c r="J72" i="29"/>
  <c r="K19" i="34"/>
  <c r="J32" i="29"/>
  <c r="K7" i="34"/>
  <c r="J33" i="29"/>
  <c r="K8" i="34"/>
  <c r="J34" i="29"/>
  <c r="K9" i="34"/>
  <c r="J31" i="29"/>
  <c r="K6" i="34"/>
  <c r="J35" i="29"/>
  <c r="K10" i="34"/>
  <c r="I13" i="25"/>
  <c r="I5" i="48" s="1"/>
  <c r="J31" i="25"/>
  <c r="J50"/>
  <c r="J68"/>
  <c r="J28"/>
  <c r="J47"/>
  <c r="J65"/>
  <c r="J67"/>
  <c r="J30"/>
  <c r="J49"/>
  <c r="J46"/>
  <c r="J64"/>
  <c r="J27"/>
  <c r="J48"/>
  <c r="J29"/>
  <c r="J14" i="21"/>
  <c r="J16" i="46" s="1"/>
  <c r="J66" i="25"/>
  <c r="J41"/>
  <c r="J22"/>
  <c r="J59"/>
  <c r="J20"/>
  <c r="J58"/>
  <c r="J19"/>
  <c r="J21"/>
  <c r="J55"/>
  <c r="J40"/>
  <c r="J18"/>
  <c r="J37"/>
  <c r="J39"/>
  <c r="J57"/>
  <c r="J56"/>
  <c r="J5" i="21"/>
  <c r="J7" i="46" s="1"/>
  <c r="J38" i="25"/>
  <c r="I6" i="48" l="1"/>
  <c r="J81" i="29"/>
  <c r="J54" s="1"/>
  <c r="J43"/>
  <c r="J16" s="1"/>
  <c r="J40"/>
  <c r="J41"/>
  <c r="J14" s="1"/>
  <c r="J42"/>
  <c r="J15" s="1"/>
  <c r="J44"/>
  <c r="J17" s="1"/>
  <c r="J79"/>
  <c r="J77"/>
  <c r="J76" s="1"/>
  <c r="J80"/>
  <c r="J53" s="1"/>
  <c r="J78"/>
  <c r="J51" s="1"/>
  <c r="I10" i="49"/>
  <c r="I7" i="48"/>
  <c r="J30" i="29"/>
  <c r="J67"/>
  <c r="J13"/>
  <c r="J6" i="46"/>
  <c r="J52" i="29"/>
  <c r="J9" i="46"/>
  <c r="J14"/>
  <c r="J5"/>
  <c r="J8"/>
  <c r="J13"/>
  <c r="J17"/>
  <c r="J15"/>
  <c r="K19" i="33"/>
  <c r="J63" i="25"/>
  <c r="J45"/>
  <c r="K17" i="33"/>
  <c r="K14" i="34"/>
  <c r="K18" i="33"/>
  <c r="K15"/>
  <c r="K16"/>
  <c r="J26" i="25"/>
  <c r="J7"/>
  <c r="J6"/>
  <c r="K7" i="33"/>
  <c r="J36" i="25"/>
  <c r="J17"/>
  <c r="J54"/>
  <c r="K10" i="33"/>
  <c r="K5" i="34"/>
  <c r="K8" i="33"/>
  <c r="K6"/>
  <c r="K9"/>
  <c r="J39" i="29" l="1"/>
  <c r="J50"/>
  <c r="J49" s="1"/>
  <c r="K26"/>
  <c r="K25"/>
  <c r="K24"/>
  <c r="K23"/>
  <c r="K60"/>
  <c r="K62"/>
  <c r="K61"/>
  <c r="K22"/>
  <c r="K59"/>
  <c r="K63"/>
  <c r="I12" i="51"/>
  <c r="J11" i="25"/>
  <c r="J12"/>
  <c r="K19" i="21"/>
  <c r="K15"/>
  <c r="K17"/>
  <c r="K14" i="33"/>
  <c r="K16" i="21"/>
  <c r="K18"/>
  <c r="J8" i="25"/>
  <c r="J11" i="48" s="1"/>
  <c r="K6" i="21"/>
  <c r="K8"/>
  <c r="K7"/>
  <c r="J12" i="29"/>
  <c r="K10" i="21"/>
  <c r="K5" i="33"/>
  <c r="K9" i="21"/>
  <c r="K58" i="29" l="1"/>
  <c r="L19" i="34"/>
  <c r="I14" i="51"/>
  <c r="J13" i="48"/>
  <c r="J8" i="49" s="1"/>
  <c r="K21" i="29"/>
  <c r="J13" i="51"/>
  <c r="K71" i="29"/>
  <c r="L18" i="34"/>
  <c r="K69" i="29"/>
  <c r="L16" i="34"/>
  <c r="K70" i="29"/>
  <c r="L17" i="34"/>
  <c r="K68" i="29"/>
  <c r="L15" i="34"/>
  <c r="K34" i="29"/>
  <c r="L9" i="34"/>
  <c r="K35" i="29"/>
  <c r="L10" i="34"/>
  <c r="K32" i="29"/>
  <c r="L7" i="34"/>
  <c r="K33" i="29"/>
  <c r="L8" i="34"/>
  <c r="K31" i="29"/>
  <c r="L6" i="34"/>
  <c r="J13" i="25"/>
  <c r="J5" i="48" s="1"/>
  <c r="K31" i="25"/>
  <c r="K72" i="29"/>
  <c r="K59" i="25"/>
  <c r="K68"/>
  <c r="K29"/>
  <c r="K46"/>
  <c r="K27"/>
  <c r="K50"/>
  <c r="K67"/>
  <c r="K30"/>
  <c r="K66"/>
  <c r="K14" i="21"/>
  <c r="K16" i="46" s="1"/>
  <c r="K28" i="25"/>
  <c r="K64"/>
  <c r="K48"/>
  <c r="K65"/>
  <c r="K47"/>
  <c r="K49"/>
  <c r="K57"/>
  <c r="K56"/>
  <c r="K38"/>
  <c r="K19"/>
  <c r="K39"/>
  <c r="K18"/>
  <c r="K55"/>
  <c r="K37"/>
  <c r="K22"/>
  <c r="K20"/>
  <c r="K41"/>
  <c r="K5" i="21"/>
  <c r="K5" i="46" s="1"/>
  <c r="K21" i="25"/>
  <c r="K58"/>
  <c r="K40"/>
  <c r="J6" i="48" l="1"/>
  <c r="J7" s="1"/>
  <c r="K42" i="29"/>
  <c r="K15" s="1"/>
  <c r="K40"/>
  <c r="K13" s="1"/>
  <c r="K41"/>
  <c r="J10" i="49"/>
  <c r="J12" i="51" s="1"/>
  <c r="K43" i="29"/>
  <c r="K16" s="1"/>
  <c r="K44"/>
  <c r="K17" s="1"/>
  <c r="K78"/>
  <c r="K51" s="1"/>
  <c r="K77"/>
  <c r="K79"/>
  <c r="K52" s="1"/>
  <c r="K81"/>
  <c r="K54" s="1"/>
  <c r="K30"/>
  <c r="K67"/>
  <c r="K14"/>
  <c r="K80"/>
  <c r="K13" i="46"/>
  <c r="K6"/>
  <c r="K7"/>
  <c r="K9"/>
  <c r="K15"/>
  <c r="K8"/>
  <c r="K14"/>
  <c r="K17"/>
  <c r="K26" i="25"/>
  <c r="K63"/>
  <c r="K7"/>
  <c r="L15" i="33"/>
  <c r="L14" i="34"/>
  <c r="L19" i="33"/>
  <c r="L17"/>
  <c r="K45" i="25"/>
  <c r="L16" i="33"/>
  <c r="L18"/>
  <c r="K54" i="25"/>
  <c r="L6" i="33"/>
  <c r="K36" i="25"/>
  <c r="L8" i="33"/>
  <c r="L5" i="34"/>
  <c r="L10" i="33"/>
  <c r="L9"/>
  <c r="K6" i="25"/>
  <c r="K17"/>
  <c r="L7" i="33"/>
  <c r="K39" i="29" l="1"/>
  <c r="L24"/>
  <c r="L62"/>
  <c r="L63"/>
  <c r="L59"/>
  <c r="L25"/>
  <c r="L60"/>
  <c r="L61"/>
  <c r="K76"/>
  <c r="L23"/>
  <c r="L26"/>
  <c r="L22"/>
  <c r="J14" i="51"/>
  <c r="K11" i="25"/>
  <c r="K53" i="29"/>
  <c r="K12" i="25"/>
  <c r="L18" i="21"/>
  <c r="L15"/>
  <c r="L16"/>
  <c r="K50" i="29"/>
  <c r="L17" i="21"/>
  <c r="L19"/>
  <c r="L14" i="33"/>
  <c r="K12" i="29"/>
  <c r="L8" i="21"/>
  <c r="L9"/>
  <c r="L6"/>
  <c r="L5" i="33"/>
  <c r="K8" i="25"/>
  <c r="K11" i="48" s="1"/>
  <c r="L10" i="21"/>
  <c r="L7"/>
  <c r="L58" i="29" l="1"/>
  <c r="L21"/>
  <c r="K13" i="48"/>
  <c r="K8" i="49" s="1"/>
  <c r="L69" i="29"/>
  <c r="M16" i="34"/>
  <c r="L68" i="29"/>
  <c r="M15" i="34"/>
  <c r="L71" i="29"/>
  <c r="M18" i="34"/>
  <c r="L72" i="29"/>
  <c r="M19" i="34"/>
  <c r="L70" i="29"/>
  <c r="M17" i="34"/>
  <c r="L34" i="29"/>
  <c r="M9" i="34"/>
  <c r="L32" i="29"/>
  <c r="M7" i="34"/>
  <c r="L35" i="29"/>
  <c r="M10" i="34"/>
  <c r="L31" i="29"/>
  <c r="M6" i="34"/>
  <c r="L33" i="29"/>
  <c r="M8" i="34"/>
  <c r="K13" i="25"/>
  <c r="K5" i="48" s="1"/>
  <c r="K49" i="29"/>
  <c r="K13" i="51" s="1"/>
  <c r="L49" i="25"/>
  <c r="L67"/>
  <c r="L30"/>
  <c r="L64"/>
  <c r="L65"/>
  <c r="L28"/>
  <c r="L27"/>
  <c r="L46"/>
  <c r="L47"/>
  <c r="L50"/>
  <c r="L29"/>
  <c r="L14" i="21"/>
  <c r="L15" i="46" s="1"/>
  <c r="L48" i="25"/>
  <c r="L68"/>
  <c r="L66"/>
  <c r="L31"/>
  <c r="L55"/>
  <c r="L57"/>
  <c r="L37"/>
  <c r="L39"/>
  <c r="L20"/>
  <c r="L18"/>
  <c r="L21"/>
  <c r="L58"/>
  <c r="L40"/>
  <c r="L56"/>
  <c r="L59"/>
  <c r="L41"/>
  <c r="L22"/>
  <c r="L5" i="21"/>
  <c r="L7" i="46" s="1"/>
  <c r="L38" i="25"/>
  <c r="L19"/>
  <c r="K6" i="48" l="1"/>
  <c r="K7" s="1"/>
  <c r="L41" i="29"/>
  <c r="L14" s="1"/>
  <c r="L44"/>
  <c r="L17" s="1"/>
  <c r="L43"/>
  <c r="L42"/>
  <c r="L79"/>
  <c r="L52" s="1"/>
  <c r="L77"/>
  <c r="L50" s="1"/>
  <c r="L80"/>
  <c r="K10" i="49"/>
  <c r="K12" i="51" s="1"/>
  <c r="L40" i="29"/>
  <c r="L13" s="1"/>
  <c r="L81"/>
  <c r="L54" s="1"/>
  <c r="L78"/>
  <c r="L16"/>
  <c r="L67"/>
  <c r="L30"/>
  <c r="L13" i="46"/>
  <c r="L9"/>
  <c r="L6"/>
  <c r="L17"/>
  <c r="L5"/>
  <c r="L8"/>
  <c r="L53" i="29"/>
  <c r="L14" i="46"/>
  <c r="L16"/>
  <c r="L51" i="29"/>
  <c r="L45" i="25"/>
  <c r="L63"/>
  <c r="M17" i="33"/>
  <c r="M16"/>
  <c r="L7" i="25"/>
  <c r="M19" i="33"/>
  <c r="M14" i="34"/>
  <c r="M18" i="33"/>
  <c r="M15"/>
  <c r="L26" i="25"/>
  <c r="M5" i="34"/>
  <c r="L54" i="25"/>
  <c r="M8" i="33"/>
  <c r="M10"/>
  <c r="M9"/>
  <c r="M7"/>
  <c r="M6"/>
  <c r="L36" i="25"/>
  <c r="L6"/>
  <c r="L17"/>
  <c r="L76" i="29" l="1"/>
  <c r="L39"/>
  <c r="M22"/>
  <c r="M25"/>
  <c r="M24"/>
  <c r="M59"/>
  <c r="M61"/>
  <c r="K14" i="51"/>
  <c r="M23" i="29"/>
  <c r="M26"/>
  <c r="M62"/>
  <c r="M63"/>
  <c r="M60"/>
  <c r="L15"/>
  <c r="L12" s="1"/>
  <c r="L11" i="25"/>
  <c r="L12"/>
  <c r="L49" i="29"/>
  <c r="M16" i="21"/>
  <c r="M19"/>
  <c r="M17"/>
  <c r="M18"/>
  <c r="M15"/>
  <c r="M14" i="33"/>
  <c r="M9" i="21"/>
  <c r="M10"/>
  <c r="M6"/>
  <c r="M7"/>
  <c r="M8"/>
  <c r="M5" i="33"/>
  <c r="L8" i="25"/>
  <c r="L11" i="48" s="1"/>
  <c r="M21" i="29" l="1"/>
  <c r="M58"/>
  <c r="L13" i="48"/>
  <c r="L6" s="1"/>
  <c r="N16" i="34"/>
  <c r="L13" i="51"/>
  <c r="M68" i="29"/>
  <c r="N15" i="34"/>
  <c r="M71" i="29"/>
  <c r="N18" i="34"/>
  <c r="M70" i="29"/>
  <c r="N17" i="34"/>
  <c r="M72" i="29"/>
  <c r="N19" i="34"/>
  <c r="M34" i="29"/>
  <c r="N9" i="34"/>
  <c r="M33" i="29"/>
  <c r="N8" i="34"/>
  <c r="M32" i="29"/>
  <c r="N7" i="34"/>
  <c r="M31" i="29"/>
  <c r="N6" i="34"/>
  <c r="M35" i="29"/>
  <c r="N10" i="34"/>
  <c r="L13" i="25"/>
  <c r="L5" i="48" s="1"/>
  <c r="M47" i="25"/>
  <c r="M69" i="29"/>
  <c r="M65" i="25"/>
  <c r="M28"/>
  <c r="M27"/>
  <c r="M68"/>
  <c r="M31"/>
  <c r="M50"/>
  <c r="M67"/>
  <c r="M30"/>
  <c r="M66"/>
  <c r="M29"/>
  <c r="M48"/>
  <c r="M22"/>
  <c r="M46"/>
  <c r="M49"/>
  <c r="M14" i="21"/>
  <c r="M15" i="46" s="1"/>
  <c r="E31" i="40" s="1"/>
  <c r="M64" i="25"/>
  <c r="M59"/>
  <c r="M41"/>
  <c r="M40"/>
  <c r="M58"/>
  <c r="M39"/>
  <c r="M5" i="21"/>
  <c r="M6" i="46" s="1"/>
  <c r="M57" i="25"/>
  <c r="M20"/>
  <c r="M21"/>
  <c r="M37"/>
  <c r="M55"/>
  <c r="M18"/>
  <c r="M19"/>
  <c r="M56"/>
  <c r="M38"/>
  <c r="L8" i="49" l="1"/>
  <c r="M41" i="29"/>
  <c r="M14" s="1"/>
  <c r="M43"/>
  <c r="M16" s="1"/>
  <c r="M77"/>
  <c r="L10" i="49"/>
  <c r="M40" i="29"/>
  <c r="M39" s="1"/>
  <c r="M42"/>
  <c r="M15" s="1"/>
  <c r="M44"/>
  <c r="M80"/>
  <c r="M53" s="1"/>
  <c r="M78"/>
  <c r="M51" s="1"/>
  <c r="L7" i="48"/>
  <c r="M67" i="29"/>
  <c r="M30"/>
  <c r="M81"/>
  <c r="M79"/>
  <c r="E22" i="40"/>
  <c r="M5" i="46"/>
  <c r="M8"/>
  <c r="M9"/>
  <c r="M7"/>
  <c r="M16"/>
  <c r="E32" i="40" s="1"/>
  <c r="M13" i="46"/>
  <c r="E29" i="40" s="1"/>
  <c r="M17" i="46"/>
  <c r="E33" i="40" s="1"/>
  <c r="M14" i="46"/>
  <c r="E30" i="40" s="1"/>
  <c r="N17" i="33"/>
  <c r="M45" i="25"/>
  <c r="N15" i="33"/>
  <c r="N18"/>
  <c r="M63" i="25"/>
  <c r="M26"/>
  <c r="N14" i="34"/>
  <c r="M7" i="25"/>
  <c r="N16" i="33"/>
  <c r="N19"/>
  <c r="N6"/>
  <c r="M36" i="25"/>
  <c r="N10" i="33"/>
  <c r="N7"/>
  <c r="M54" i="25"/>
  <c r="N8" i="33"/>
  <c r="N5" i="34"/>
  <c r="N9" i="33"/>
  <c r="M6" i="25"/>
  <c r="M17"/>
  <c r="M50" i="29"/>
  <c r="M13" l="1"/>
  <c r="L12" i="51"/>
  <c r="L14" s="1"/>
  <c r="N25" i="29"/>
  <c r="N24"/>
  <c r="N23"/>
  <c r="N63"/>
  <c r="N62"/>
  <c r="M52"/>
  <c r="N26"/>
  <c r="N60"/>
  <c r="N59"/>
  <c r="N61"/>
  <c r="M54"/>
  <c r="M17"/>
  <c r="M11" i="25"/>
  <c r="N17" i="21"/>
  <c r="M76" i="29"/>
  <c r="N6" i="21"/>
  <c r="N22" i="29"/>
  <c r="E23" i="40"/>
  <c r="E25"/>
  <c r="E24"/>
  <c r="E21"/>
  <c r="M12" i="25"/>
  <c r="N19" i="21"/>
  <c r="N15"/>
  <c r="N16"/>
  <c r="M8" i="25"/>
  <c r="M11" i="48" s="1"/>
  <c r="N18" i="21"/>
  <c r="N14" i="33"/>
  <c r="N10" i="21"/>
  <c r="N7"/>
  <c r="N8"/>
  <c r="N9"/>
  <c r="N5" i="33"/>
  <c r="N58" i="29" l="1"/>
  <c r="M49"/>
  <c r="M13" i="51" s="1"/>
  <c r="M12" i="29"/>
  <c r="M13" i="48"/>
  <c r="M8" i="49" s="1"/>
  <c r="N72" i="29"/>
  <c r="O19" i="34"/>
  <c r="N71" i="29"/>
  <c r="O18" i="34"/>
  <c r="N70" i="29"/>
  <c r="O17" i="34"/>
  <c r="N69" i="29"/>
  <c r="O16" i="34"/>
  <c r="N68" i="29"/>
  <c r="O15" i="34"/>
  <c r="N33" i="29"/>
  <c r="O8" i="34"/>
  <c r="N32" i="29"/>
  <c r="O7" i="34"/>
  <c r="N31" i="29"/>
  <c r="O6" i="34"/>
  <c r="N35" i="29"/>
  <c r="O10" i="34"/>
  <c r="N34" i="29"/>
  <c r="O9" i="34"/>
  <c r="M13" i="25"/>
  <c r="M5" i="48" s="1"/>
  <c r="N55" i="25"/>
  <c r="N18"/>
  <c r="N48"/>
  <c r="N66"/>
  <c r="N29"/>
  <c r="N37"/>
  <c r="N21" i="29"/>
  <c r="N67" i="25"/>
  <c r="N27"/>
  <c r="N49"/>
  <c r="N64"/>
  <c r="N46"/>
  <c r="N50"/>
  <c r="N31"/>
  <c r="N68"/>
  <c r="N47"/>
  <c r="N65"/>
  <c r="N14" i="21"/>
  <c r="N15" i="46" s="1"/>
  <c r="N28" i="25"/>
  <c r="N30"/>
  <c r="N22"/>
  <c r="N59"/>
  <c r="N41"/>
  <c r="N56"/>
  <c r="N19"/>
  <c r="N38"/>
  <c r="N21"/>
  <c r="N39"/>
  <c r="N20"/>
  <c r="N5" i="21"/>
  <c r="N5" i="46" s="1"/>
  <c r="N57" i="25"/>
  <c r="N40"/>
  <c r="N58"/>
  <c r="M6" i="48" l="1"/>
  <c r="N80" i="29"/>
  <c r="N53" s="1"/>
  <c r="N81"/>
  <c r="N40"/>
  <c r="E37" i="40"/>
  <c r="N42" i="29"/>
  <c r="N15" s="1"/>
  <c r="N43"/>
  <c r="N16" s="1"/>
  <c r="N41"/>
  <c r="N44"/>
  <c r="N17" s="1"/>
  <c r="N78"/>
  <c r="N51" s="1"/>
  <c r="N77"/>
  <c r="N79"/>
  <c r="N52" s="1"/>
  <c r="M10" i="49"/>
  <c r="N30" i="29"/>
  <c r="N67"/>
  <c r="N14"/>
  <c r="N13"/>
  <c r="N54"/>
  <c r="N6" i="46"/>
  <c r="N7"/>
  <c r="N8"/>
  <c r="N9"/>
  <c r="N17"/>
  <c r="N16"/>
  <c r="N14"/>
  <c r="N13"/>
  <c r="O17" i="33"/>
  <c r="N7" i="25"/>
  <c r="N45"/>
  <c r="N63"/>
  <c r="O15" i="33"/>
  <c r="N26" i="25"/>
  <c r="O19" i="33"/>
  <c r="O14" i="34"/>
  <c r="O16" i="33"/>
  <c r="O18"/>
  <c r="O7"/>
  <c r="N54" i="25"/>
  <c r="N36"/>
  <c r="O5" i="34"/>
  <c r="N17" i="25"/>
  <c r="O8" i="33"/>
  <c r="N6" i="25"/>
  <c r="O6" i="33"/>
  <c r="O10"/>
  <c r="O9"/>
  <c r="N50" i="29"/>
  <c r="N39" l="1"/>
  <c r="N76"/>
  <c r="M12" i="51"/>
  <c r="M14" s="1"/>
  <c r="O24" i="29"/>
  <c r="O25"/>
  <c r="O22"/>
  <c r="O62"/>
  <c r="O26"/>
  <c r="O23"/>
  <c r="O21" s="1"/>
  <c r="O60"/>
  <c r="O63"/>
  <c r="O59"/>
  <c r="O61"/>
  <c r="M7" i="48"/>
  <c r="E38" i="40"/>
  <c r="N11" i="25"/>
  <c r="O17" i="21"/>
  <c r="N12" i="25"/>
  <c r="N12" i="29"/>
  <c r="N49"/>
  <c r="O18" i="21"/>
  <c r="O16"/>
  <c r="O19"/>
  <c r="O15"/>
  <c r="O14" i="33"/>
  <c r="O8" i="21"/>
  <c r="O7"/>
  <c r="O10"/>
  <c r="N8" i="25"/>
  <c r="N11" i="48" s="1"/>
  <c r="O6" i="21"/>
  <c r="O5" i="33"/>
  <c r="O9" i="21"/>
  <c r="O58" i="29" l="1"/>
  <c r="E39" i="40"/>
  <c r="N13" i="48"/>
  <c r="N6" s="1"/>
  <c r="P18" i="34"/>
  <c r="N13" i="51"/>
  <c r="O68" i="29"/>
  <c r="P15" i="34"/>
  <c r="O72" i="29"/>
  <c r="P19" i="34"/>
  <c r="O70" i="29"/>
  <c r="P17" i="34"/>
  <c r="O69" i="29"/>
  <c r="P16" i="34"/>
  <c r="O33" i="29"/>
  <c r="P8" i="34"/>
  <c r="O34" i="29"/>
  <c r="P9" i="34"/>
  <c r="O31" i="29"/>
  <c r="P6" i="34"/>
  <c r="O35" i="29"/>
  <c r="P10" i="34"/>
  <c r="O32" i="29"/>
  <c r="P7" i="34"/>
  <c r="N13" i="25"/>
  <c r="N5" i="48" s="1"/>
  <c r="O29" i="25"/>
  <c r="O48"/>
  <c r="O66"/>
  <c r="O30"/>
  <c r="O71" i="29"/>
  <c r="O49" i="25"/>
  <c r="O67"/>
  <c r="O31"/>
  <c r="O68"/>
  <c r="O50"/>
  <c r="O46"/>
  <c r="O65"/>
  <c r="O47"/>
  <c r="O28"/>
  <c r="O14" i="21"/>
  <c r="O15" i="46" s="1"/>
  <c r="O27" i="25"/>
  <c r="O64"/>
  <c r="O39"/>
  <c r="O20"/>
  <c r="O57"/>
  <c r="O38"/>
  <c r="O56"/>
  <c r="O19"/>
  <c r="O55"/>
  <c r="O37"/>
  <c r="O22"/>
  <c r="O59"/>
  <c r="O41"/>
  <c r="O18"/>
  <c r="O58"/>
  <c r="O40"/>
  <c r="O5" i="21"/>
  <c r="O5" i="46" s="1"/>
  <c r="O21" i="25"/>
  <c r="N8" i="49" l="1"/>
  <c r="N10" s="1"/>
  <c r="O40" i="29"/>
  <c r="O13" s="1"/>
  <c r="O41"/>
  <c r="O79"/>
  <c r="O43"/>
  <c r="O42"/>
  <c r="O15" s="1"/>
  <c r="O44"/>
  <c r="O17" s="1"/>
  <c r="O77"/>
  <c r="O78"/>
  <c r="O51" s="1"/>
  <c r="O81"/>
  <c r="O54" s="1"/>
  <c r="O80"/>
  <c r="O53" s="1"/>
  <c r="N7" i="48"/>
  <c r="O52" i="29"/>
  <c r="O30"/>
  <c r="O67"/>
  <c r="O14"/>
  <c r="O13" i="46"/>
  <c r="O6"/>
  <c r="O9"/>
  <c r="O7"/>
  <c r="O8"/>
  <c r="O16"/>
  <c r="O17"/>
  <c r="O14"/>
  <c r="P17" i="33"/>
  <c r="O45" i="25"/>
  <c r="O63"/>
  <c r="O26"/>
  <c r="O7"/>
  <c r="P18" i="33"/>
  <c r="P14" i="34"/>
  <c r="P15" i="33"/>
  <c r="P16"/>
  <c r="P19"/>
  <c r="P7"/>
  <c r="P9"/>
  <c r="P6"/>
  <c r="O36" i="25"/>
  <c r="O54"/>
  <c r="P5" i="34"/>
  <c r="O17" i="25"/>
  <c r="P10" i="33"/>
  <c r="O6" i="25"/>
  <c r="P8" i="33"/>
  <c r="O50" i="29"/>
  <c r="O76" l="1"/>
  <c r="O39"/>
  <c r="N12" i="51"/>
  <c r="N14" s="1"/>
  <c r="P61" i="29"/>
  <c r="O16"/>
  <c r="O12" s="1"/>
  <c r="P22"/>
  <c r="P23"/>
  <c r="P60"/>
  <c r="P24"/>
  <c r="P21" s="1"/>
  <c r="P26"/>
  <c r="P25"/>
  <c r="P63"/>
  <c r="P59"/>
  <c r="P58" s="1"/>
  <c r="P62"/>
  <c r="O11" i="25"/>
  <c r="O12"/>
  <c r="O49" i="29"/>
  <c r="P17" i="21"/>
  <c r="P18"/>
  <c r="P14" i="33"/>
  <c r="P16" i="21"/>
  <c r="P19"/>
  <c r="P15"/>
  <c r="P7"/>
  <c r="P9"/>
  <c r="P6"/>
  <c r="P10"/>
  <c r="P8"/>
  <c r="O8" i="25"/>
  <c r="O11" i="48" s="1"/>
  <c r="P5" i="33"/>
  <c r="O13" i="48" l="1"/>
  <c r="O8" i="49" s="1"/>
  <c r="Q17" i="34"/>
  <c r="O13" i="51"/>
  <c r="P68" i="29"/>
  <c r="Q15" i="34"/>
  <c r="P69" i="29"/>
  <c r="Q16" i="34"/>
  <c r="P71" i="29"/>
  <c r="Q18" i="34"/>
  <c r="P72" i="29"/>
  <c r="Q19" i="34"/>
  <c r="P34" i="29"/>
  <c r="Q9" i="34"/>
  <c r="P32" i="29"/>
  <c r="Q7" i="34"/>
  <c r="P33" i="29"/>
  <c r="Q8" i="34"/>
  <c r="P35" i="29"/>
  <c r="Q10" i="34"/>
  <c r="P31" i="29"/>
  <c r="Q6" i="34"/>
  <c r="O13" i="25"/>
  <c r="O5" i="48" s="1"/>
  <c r="P29" i="25"/>
  <c r="P70" i="29"/>
  <c r="P48" i="25"/>
  <c r="P66"/>
  <c r="P67"/>
  <c r="P49"/>
  <c r="P30"/>
  <c r="P31"/>
  <c r="P64"/>
  <c r="P46"/>
  <c r="P68"/>
  <c r="P47"/>
  <c r="P14" i="21"/>
  <c r="P14" i="46" s="1"/>
  <c r="P65" i="25"/>
  <c r="P28"/>
  <c r="P27"/>
  <c r="P50"/>
  <c r="P19"/>
  <c r="P56"/>
  <c r="P38"/>
  <c r="P20"/>
  <c r="P57"/>
  <c r="P59"/>
  <c r="P41"/>
  <c r="P40"/>
  <c r="P58"/>
  <c r="P21"/>
  <c r="P22"/>
  <c r="P39"/>
  <c r="P55"/>
  <c r="P5" i="21"/>
  <c r="P6" i="46" s="1"/>
  <c r="P18" i="25"/>
  <c r="P37"/>
  <c r="O6" i="48" l="1"/>
  <c r="O7" s="1"/>
  <c r="P43" i="29"/>
  <c r="P42"/>
  <c r="P78"/>
  <c r="P51" s="1"/>
  <c r="P80"/>
  <c r="P53" s="1"/>
  <c r="P79"/>
  <c r="P52" s="1"/>
  <c r="P40"/>
  <c r="P44"/>
  <c r="P41"/>
  <c r="P14" s="1"/>
  <c r="P77"/>
  <c r="P81"/>
  <c r="O10" i="49"/>
  <c r="O12" i="51" s="1"/>
  <c r="P13" i="29"/>
  <c r="P16"/>
  <c r="P30"/>
  <c r="P17"/>
  <c r="P67"/>
  <c r="P15"/>
  <c r="P8" i="46"/>
  <c r="P5"/>
  <c r="P9"/>
  <c r="P17"/>
  <c r="P54" i="29"/>
  <c r="P7" i="46"/>
  <c r="P16"/>
  <c r="P13"/>
  <c r="P15"/>
  <c r="P7" i="25"/>
  <c r="P63"/>
  <c r="Q18" i="33"/>
  <c r="Q15"/>
  <c r="P45" i="25"/>
  <c r="Q14" i="34"/>
  <c r="Q17" i="33"/>
  <c r="P26" i="25"/>
  <c r="Q16" i="33"/>
  <c r="Q19"/>
  <c r="Q7"/>
  <c r="Q10"/>
  <c r="P36" i="25"/>
  <c r="Q9" i="33"/>
  <c r="Q6"/>
  <c r="Q5" i="34"/>
  <c r="Q8" i="33"/>
  <c r="P6" i="25"/>
  <c r="P54"/>
  <c r="P17"/>
  <c r="P39" i="29" l="1"/>
  <c r="P76"/>
  <c r="P50"/>
  <c r="Q24"/>
  <c r="Q25"/>
  <c r="Q26"/>
  <c r="Q63"/>
  <c r="Q59"/>
  <c r="O14" i="51"/>
  <c r="Q22" i="29"/>
  <c r="Q23"/>
  <c r="Q60"/>
  <c r="Q61"/>
  <c r="Q62"/>
  <c r="P11" i="25"/>
  <c r="P12"/>
  <c r="P12" i="29"/>
  <c r="P49"/>
  <c r="Q15" i="21"/>
  <c r="Q18"/>
  <c r="Q14" i="33"/>
  <c r="Q16" i="21"/>
  <c r="Q17"/>
  <c r="Q19"/>
  <c r="Q7"/>
  <c r="Q6"/>
  <c r="Q10"/>
  <c r="Q9"/>
  <c r="Q5" i="33"/>
  <c r="P8" i="25"/>
  <c r="P11" i="48" s="1"/>
  <c r="Q8" i="21"/>
  <c r="Q21" i="29" l="1"/>
  <c r="Q58"/>
  <c r="P13" i="48"/>
  <c r="P8" i="49" s="1"/>
  <c r="R18" i="34"/>
  <c r="R15"/>
  <c r="P13" i="51"/>
  <c r="Q72" i="29"/>
  <c r="R19" i="34"/>
  <c r="Q70" i="29"/>
  <c r="R17" i="34"/>
  <c r="Q69" i="29"/>
  <c r="R16" i="34"/>
  <c r="Q32" i="29"/>
  <c r="R7" i="34"/>
  <c r="Q35" i="29"/>
  <c r="R10" i="34"/>
  <c r="Q33" i="29"/>
  <c r="R8" i="34"/>
  <c r="Q34" i="29"/>
  <c r="R9" i="34"/>
  <c r="Q31" i="29"/>
  <c r="R6" i="34"/>
  <c r="P13" i="25"/>
  <c r="P5" i="48" s="1"/>
  <c r="Q49" i="25"/>
  <c r="Q71" i="29"/>
  <c r="Q46" i="25"/>
  <c r="Q68" i="29"/>
  <c r="Q64" i="25"/>
  <c r="Q67"/>
  <c r="Q27"/>
  <c r="Q30"/>
  <c r="Q65"/>
  <c r="Q28"/>
  <c r="Q47"/>
  <c r="Q50"/>
  <c r="Q31"/>
  <c r="Q68"/>
  <c r="Q14" i="21"/>
  <c r="Q15" i="46" s="1"/>
  <c r="Q29" i="25"/>
  <c r="Q48"/>
  <c r="Q66"/>
  <c r="Q18"/>
  <c r="Q41"/>
  <c r="Q56"/>
  <c r="Q22"/>
  <c r="Q59"/>
  <c r="Q39"/>
  <c r="Q57"/>
  <c r="Q55"/>
  <c r="Q40"/>
  <c r="Q38"/>
  <c r="Q19"/>
  <c r="Q21"/>
  <c r="Q58"/>
  <c r="Q37"/>
  <c r="Q20"/>
  <c r="Q5" i="21"/>
  <c r="Q8" i="46" s="1"/>
  <c r="P6" i="48" l="1"/>
  <c r="P7" s="1"/>
  <c r="Q42" i="29"/>
  <c r="Q15" s="1"/>
  <c r="Q43"/>
  <c r="Q44"/>
  <c r="Q79"/>
  <c r="Q78"/>
  <c r="Q51" s="1"/>
  <c r="Q80"/>
  <c r="Q53" s="1"/>
  <c r="Q41"/>
  <c r="Q40"/>
  <c r="Q77"/>
  <c r="Q50" s="1"/>
  <c r="P10" i="49"/>
  <c r="P12" i="51" s="1"/>
  <c r="Q14" i="29"/>
  <c r="Q30"/>
  <c r="Q16"/>
  <c r="Q67"/>
  <c r="Q81"/>
  <c r="Q17"/>
  <c r="Q7" i="46"/>
  <c r="Q5"/>
  <c r="Q9"/>
  <c r="Q52" i="29"/>
  <c r="Q17" i="46"/>
  <c r="Q6"/>
  <c r="Q16"/>
  <c r="Q14"/>
  <c r="Q13"/>
  <c r="R14" i="34"/>
  <c r="Q63" i="25"/>
  <c r="R18" i="33"/>
  <c r="R17"/>
  <c r="Q45" i="25"/>
  <c r="R19" i="33"/>
  <c r="R16"/>
  <c r="Q7" i="25"/>
  <c r="Q26"/>
  <c r="R15" i="33"/>
  <c r="R9"/>
  <c r="Q17" i="25"/>
  <c r="Q54"/>
  <c r="R8" i="33"/>
  <c r="R7"/>
  <c r="R5" i="34"/>
  <c r="R10" i="33"/>
  <c r="R6"/>
  <c r="Q36" i="25"/>
  <c r="Q6"/>
  <c r="Q39" i="29" l="1"/>
  <c r="Q13"/>
  <c r="Q12" s="1"/>
  <c r="R23"/>
  <c r="R25"/>
  <c r="R60"/>
  <c r="R22"/>
  <c r="R21" s="1"/>
  <c r="R24"/>
  <c r="R59"/>
  <c r="R63"/>
  <c r="R61"/>
  <c r="P14" i="51"/>
  <c r="R26" i="29"/>
  <c r="R62"/>
  <c r="Q76"/>
  <c r="Q11" i="25"/>
  <c r="Q54" i="29"/>
  <c r="Q12" i="25"/>
  <c r="R17" i="21"/>
  <c r="R16"/>
  <c r="R18"/>
  <c r="Q8" i="25"/>
  <c r="Q11" i="48" s="1"/>
  <c r="R19" i="21"/>
  <c r="R15"/>
  <c r="R14" i="33"/>
  <c r="R9" i="21"/>
  <c r="R8"/>
  <c r="R7"/>
  <c r="R10"/>
  <c r="R5" i="33"/>
  <c r="R6" i="21"/>
  <c r="R58" i="29" l="1"/>
  <c r="S17" i="34"/>
  <c r="Q13" i="48"/>
  <c r="Q6" s="1"/>
  <c r="Q49" i="29"/>
  <c r="Q13" i="51"/>
  <c r="R68" i="29"/>
  <c r="S15" i="34"/>
  <c r="R72" i="29"/>
  <c r="S19" i="34"/>
  <c r="R71" i="29"/>
  <c r="S18" i="34"/>
  <c r="R69" i="29"/>
  <c r="S16" i="34"/>
  <c r="R34" i="29"/>
  <c r="S9" i="34"/>
  <c r="R31" i="29"/>
  <c r="S6" i="34"/>
  <c r="R35" i="29"/>
  <c r="S10" i="34"/>
  <c r="R32" i="29"/>
  <c r="S7" i="34"/>
  <c r="R33" i="29"/>
  <c r="S8" i="34"/>
  <c r="Q13" i="25"/>
  <c r="Q5" i="48" s="1"/>
  <c r="R66" i="25"/>
  <c r="R70" i="29"/>
  <c r="R29" i="25"/>
  <c r="R48"/>
  <c r="R47"/>
  <c r="R28"/>
  <c r="R65"/>
  <c r="R30"/>
  <c r="R49"/>
  <c r="R67"/>
  <c r="R68"/>
  <c r="R50"/>
  <c r="R31"/>
  <c r="R38"/>
  <c r="R27"/>
  <c r="R64"/>
  <c r="R14" i="21"/>
  <c r="R17" i="46" s="1"/>
  <c r="F33" i="40" s="1"/>
  <c r="R46" i="25"/>
  <c r="R56"/>
  <c r="R22"/>
  <c r="R19"/>
  <c r="R58"/>
  <c r="R40"/>
  <c r="R21"/>
  <c r="R41"/>
  <c r="R37"/>
  <c r="R59"/>
  <c r="R57"/>
  <c r="R39"/>
  <c r="R20"/>
  <c r="R18"/>
  <c r="R55"/>
  <c r="R5" i="21"/>
  <c r="R9" i="46" s="1"/>
  <c r="Q8" i="49" l="1"/>
  <c r="Q10" s="1"/>
  <c r="Q12" i="51" s="1"/>
  <c r="R42" i="29"/>
  <c r="R43"/>
  <c r="R16" s="1"/>
  <c r="R44"/>
  <c r="R80"/>
  <c r="R53" s="1"/>
  <c r="R40"/>
  <c r="R13" s="1"/>
  <c r="R41"/>
  <c r="R14" s="1"/>
  <c r="R77"/>
  <c r="R81"/>
  <c r="R54" s="1"/>
  <c r="R79"/>
  <c r="R52" s="1"/>
  <c r="Q7" i="48"/>
  <c r="R67" i="29"/>
  <c r="R30"/>
  <c r="R17"/>
  <c r="R78"/>
  <c r="F25" i="40"/>
  <c r="R7" i="46"/>
  <c r="R6"/>
  <c r="R5"/>
  <c r="R13"/>
  <c r="F29" i="40" s="1"/>
  <c r="R8" i="46"/>
  <c r="R14"/>
  <c r="F30" i="40" s="1"/>
  <c r="R16" i="46"/>
  <c r="F32" i="40" s="1"/>
  <c r="R15" i="46"/>
  <c r="F31" i="40" s="1"/>
  <c r="S17" i="33"/>
  <c r="R45" i="25"/>
  <c r="R63"/>
  <c r="S18" i="33"/>
  <c r="S16"/>
  <c r="R26" i="25"/>
  <c r="S15" i="33"/>
  <c r="S19"/>
  <c r="S14" i="34"/>
  <c r="R7" i="25"/>
  <c r="S10" i="33"/>
  <c r="R17" i="25"/>
  <c r="R36"/>
  <c r="R6"/>
  <c r="R54"/>
  <c r="S5" i="34"/>
  <c r="S7" i="33"/>
  <c r="S9"/>
  <c r="S8"/>
  <c r="S6"/>
  <c r="R39" i="29" l="1"/>
  <c r="S22"/>
  <c r="S21" s="1"/>
  <c r="S25"/>
  <c r="S63"/>
  <c r="S62"/>
  <c r="S24"/>
  <c r="S23"/>
  <c r="S26"/>
  <c r="S59"/>
  <c r="S60"/>
  <c r="S61"/>
  <c r="R51"/>
  <c r="Q14" i="51"/>
  <c r="R15" i="29"/>
  <c r="R12" s="1"/>
  <c r="R11" i="25"/>
  <c r="R76" i="29"/>
  <c r="F24" i="40"/>
  <c r="F21"/>
  <c r="F22"/>
  <c r="F23"/>
  <c r="R12" i="25"/>
  <c r="S19" i="21"/>
  <c r="S15"/>
  <c r="S18"/>
  <c r="S17"/>
  <c r="S14" i="33"/>
  <c r="S16" i="21"/>
  <c r="R50" i="29"/>
  <c r="R8" i="25"/>
  <c r="R11" i="48" s="1"/>
  <c r="S7" i="21"/>
  <c r="S10"/>
  <c r="S9"/>
  <c r="S6"/>
  <c r="S5" i="33"/>
  <c r="S8" i="21"/>
  <c r="S58" i="29" l="1"/>
  <c r="R13" i="48"/>
  <c r="R8" i="49" s="1"/>
  <c r="T15" i="34"/>
  <c r="R49" i="29"/>
  <c r="T19" i="34"/>
  <c r="R13" i="51"/>
  <c r="S71" i="29"/>
  <c r="T18" i="34"/>
  <c r="S69" i="29"/>
  <c r="T16" i="34"/>
  <c r="S70" i="29"/>
  <c r="T17" i="34"/>
  <c r="S34" i="29"/>
  <c r="T9" i="34"/>
  <c r="S35" i="29"/>
  <c r="T10" i="34"/>
  <c r="S32" i="29"/>
  <c r="T7" i="34"/>
  <c r="S33" i="29"/>
  <c r="T8" i="34"/>
  <c r="S31" i="29"/>
  <c r="T6" i="34"/>
  <c r="R13" i="25"/>
  <c r="R5" i="48" s="1"/>
  <c r="S27" i="25"/>
  <c r="S68" i="29"/>
  <c r="S31" i="25"/>
  <c r="S72" i="29"/>
  <c r="S68" i="25"/>
  <c r="S50"/>
  <c r="S64"/>
  <c r="S28"/>
  <c r="S46"/>
  <c r="S49"/>
  <c r="S66"/>
  <c r="S29"/>
  <c r="S67"/>
  <c r="S48"/>
  <c r="S30"/>
  <c r="S14" i="21"/>
  <c r="S15" i="46" s="1"/>
  <c r="S65" i="25"/>
  <c r="S47"/>
  <c r="S38"/>
  <c r="S40"/>
  <c r="S58"/>
  <c r="S21"/>
  <c r="S19"/>
  <c r="S56"/>
  <c r="S41"/>
  <c r="S59"/>
  <c r="S22"/>
  <c r="S37"/>
  <c r="S39"/>
  <c r="S18"/>
  <c r="S55"/>
  <c r="S20"/>
  <c r="S57"/>
  <c r="S5" i="21"/>
  <c r="S5" i="46" s="1"/>
  <c r="R6" i="48" l="1"/>
  <c r="S42" i="29"/>
  <c r="S40"/>
  <c r="S43"/>
  <c r="S79"/>
  <c r="S52" s="1"/>
  <c r="S78"/>
  <c r="S51" s="1"/>
  <c r="F37" i="40"/>
  <c r="R10" i="49"/>
  <c r="R12" i="51" s="1"/>
  <c r="S44" i="29"/>
  <c r="S17" s="1"/>
  <c r="S41"/>
  <c r="S14" s="1"/>
  <c r="S80"/>
  <c r="S81"/>
  <c r="S54" s="1"/>
  <c r="S77"/>
  <c r="S76" s="1"/>
  <c r="S16"/>
  <c r="S30"/>
  <c r="S13"/>
  <c r="S15"/>
  <c r="S67"/>
  <c r="S7" i="46"/>
  <c r="T15" i="33"/>
  <c r="S9" i="46"/>
  <c r="S6"/>
  <c r="S8"/>
  <c r="S14"/>
  <c r="S13"/>
  <c r="S16"/>
  <c r="S17"/>
  <c r="T14" i="34"/>
  <c r="T17" i="33"/>
  <c r="T18"/>
  <c r="T16"/>
  <c r="S7" i="25"/>
  <c r="T19" i="33"/>
  <c r="S63" i="25"/>
  <c r="S53" i="29"/>
  <c r="S45" i="25"/>
  <c r="S26"/>
  <c r="T9" i="33"/>
  <c r="S36" i="25"/>
  <c r="T7" i="33"/>
  <c r="T8"/>
  <c r="S6" i="25"/>
  <c r="T10" i="33"/>
  <c r="T5" i="34"/>
  <c r="S54" i="25"/>
  <c r="T6" i="33"/>
  <c r="S17" i="25"/>
  <c r="S39" i="29" l="1"/>
  <c r="S50"/>
  <c r="S49" s="1"/>
  <c r="T24"/>
  <c r="T22"/>
  <c r="T23"/>
  <c r="T25"/>
  <c r="T63"/>
  <c r="T60"/>
  <c r="T61"/>
  <c r="T26"/>
  <c r="T62"/>
  <c r="T59"/>
  <c r="R14" i="51"/>
  <c r="R7" i="48"/>
  <c r="F38" i="40"/>
  <c r="S11" i="25"/>
  <c r="T15" i="21"/>
  <c r="T18"/>
  <c r="S12" i="25"/>
  <c r="S12" i="29"/>
  <c r="T17" i="21"/>
  <c r="T16"/>
  <c r="T19"/>
  <c r="S8" i="25"/>
  <c r="S11" i="48" s="1"/>
  <c r="T14" i="33"/>
  <c r="T9" i="21"/>
  <c r="T10"/>
  <c r="T8"/>
  <c r="T7"/>
  <c r="T5" i="33"/>
  <c r="T6" i="21"/>
  <c r="T58" i="29" l="1"/>
  <c r="T21"/>
  <c r="S13" i="48"/>
  <c r="S8" i="49" s="1"/>
  <c r="U17" i="34"/>
  <c r="U16"/>
  <c r="F39" i="40"/>
  <c r="S13" i="51"/>
  <c r="T30" i="25"/>
  <c r="U18" i="34"/>
  <c r="T72" i="29"/>
  <c r="U19" i="34"/>
  <c r="T68" i="29"/>
  <c r="U15" i="34"/>
  <c r="T31" i="29"/>
  <c r="U6" i="34"/>
  <c r="T32" i="29"/>
  <c r="U7" i="34"/>
  <c r="T33" i="29"/>
  <c r="U8" i="34"/>
  <c r="T35" i="29"/>
  <c r="U10" i="34"/>
  <c r="T34" i="29"/>
  <c r="U9" i="34"/>
  <c r="T64" i="25"/>
  <c r="T46"/>
  <c r="T27"/>
  <c r="T29"/>
  <c r="T70" i="29"/>
  <c r="T69"/>
  <c r="T49" i="25"/>
  <c r="T71" i="29"/>
  <c r="T67" i="25"/>
  <c r="S13"/>
  <c r="S5" i="48" s="1"/>
  <c r="T66" i="25"/>
  <c r="T47"/>
  <c r="T14" i="21"/>
  <c r="T17" i="46" s="1"/>
  <c r="T48" i="25"/>
  <c r="T68"/>
  <c r="T50"/>
  <c r="T65"/>
  <c r="T31"/>
  <c r="T28"/>
  <c r="T41"/>
  <c r="T22"/>
  <c r="T19"/>
  <c r="T56"/>
  <c r="T57"/>
  <c r="T40"/>
  <c r="T59"/>
  <c r="T58"/>
  <c r="T37"/>
  <c r="T21"/>
  <c r="T20"/>
  <c r="T5" i="21"/>
  <c r="T7" i="46" s="1"/>
  <c r="T38" i="25"/>
  <c r="T39"/>
  <c r="T55"/>
  <c r="T18"/>
  <c r="S6" i="48" l="1"/>
  <c r="T42" i="29"/>
  <c r="T41"/>
  <c r="T81"/>
  <c r="T79"/>
  <c r="T52" s="1"/>
  <c r="S10" i="49"/>
  <c r="S12" i="51" s="1"/>
  <c r="T40" i="29"/>
  <c r="T13" s="1"/>
  <c r="T43"/>
  <c r="T44"/>
  <c r="T17" s="1"/>
  <c r="T78"/>
  <c r="T51" s="1"/>
  <c r="T77"/>
  <c r="T80"/>
  <c r="S7" i="48"/>
  <c r="T14" i="29"/>
  <c r="T53"/>
  <c r="T16"/>
  <c r="T30"/>
  <c r="U18" i="33"/>
  <c r="T67" i="29"/>
  <c r="T63" i="25"/>
  <c r="T12" s="1"/>
  <c r="T14" i="46"/>
  <c r="T16"/>
  <c r="T5"/>
  <c r="T15"/>
  <c r="T13"/>
  <c r="U17" i="33"/>
  <c r="T54" i="29"/>
  <c r="T6" i="46"/>
  <c r="T9"/>
  <c r="T8"/>
  <c r="T45" i="25"/>
  <c r="U16" i="33"/>
  <c r="U15"/>
  <c r="U19"/>
  <c r="T26" i="25"/>
  <c r="U14" i="34"/>
  <c r="T7" i="25"/>
  <c r="U7" i="33"/>
  <c r="U10"/>
  <c r="T36" i="25"/>
  <c r="T54"/>
  <c r="U6" i="33"/>
  <c r="U8"/>
  <c r="U5" i="34"/>
  <c r="U9" i="33"/>
  <c r="T6" i="25"/>
  <c r="T17"/>
  <c r="T50" i="29"/>
  <c r="T39" l="1"/>
  <c r="T76"/>
  <c r="T15"/>
  <c r="U25"/>
  <c r="U24"/>
  <c r="U26"/>
  <c r="U61"/>
  <c r="U22"/>
  <c r="U23"/>
  <c r="U63"/>
  <c r="U60"/>
  <c r="U62"/>
  <c r="S14" i="51"/>
  <c r="T11" i="25"/>
  <c r="T13" s="1"/>
  <c r="T5" i="48" s="1"/>
  <c r="U18" i="21"/>
  <c r="U15"/>
  <c r="U59" i="29"/>
  <c r="U19" i="21"/>
  <c r="T12" i="29"/>
  <c r="U16" i="21"/>
  <c r="U17"/>
  <c r="T49" i="29"/>
  <c r="U14" i="33"/>
  <c r="U7" i="21"/>
  <c r="U10"/>
  <c r="U8"/>
  <c r="U6"/>
  <c r="U5" i="33"/>
  <c r="U9" i="21"/>
  <c r="T8" i="25"/>
  <c r="T11" i="48" s="1"/>
  <c r="U21" i="29" l="1"/>
  <c r="V17" i="34"/>
  <c r="T13" i="48"/>
  <c r="T8" i="49" s="1"/>
  <c r="U58" i="29"/>
  <c r="T13" i="51"/>
  <c r="U68" i="29"/>
  <c r="V15" i="34"/>
  <c r="U71" i="29"/>
  <c r="V18" i="34"/>
  <c r="U69" i="29"/>
  <c r="V16" i="34"/>
  <c r="U68" i="25"/>
  <c r="V19" i="34"/>
  <c r="U35" i="29"/>
  <c r="V10" i="34"/>
  <c r="U32" i="29"/>
  <c r="V7" i="34"/>
  <c r="U34" i="29"/>
  <c r="V9" i="34"/>
  <c r="U31" i="29"/>
  <c r="V6" i="34"/>
  <c r="U33" i="29"/>
  <c r="V8" i="34"/>
  <c r="U30" i="25"/>
  <c r="U67"/>
  <c r="U49"/>
  <c r="U48"/>
  <c r="U70" i="29"/>
  <c r="U46" i="25"/>
  <c r="U64"/>
  <c r="U27"/>
  <c r="U50"/>
  <c r="U72" i="29"/>
  <c r="U29" i="25"/>
  <c r="U31"/>
  <c r="U28"/>
  <c r="U14" i="21"/>
  <c r="U13" i="46" s="1"/>
  <c r="U66" i="25"/>
  <c r="U47"/>
  <c r="U65"/>
  <c r="U59"/>
  <c r="U41"/>
  <c r="U22"/>
  <c r="U39"/>
  <c r="U56"/>
  <c r="U58"/>
  <c r="U18"/>
  <c r="U40"/>
  <c r="U38"/>
  <c r="U19"/>
  <c r="U57"/>
  <c r="U20"/>
  <c r="U5" i="21"/>
  <c r="U8" i="46" s="1"/>
  <c r="U55" i="25"/>
  <c r="U21"/>
  <c r="U37"/>
  <c r="T6" i="48" l="1"/>
  <c r="T7" s="1"/>
  <c r="U43" i="29"/>
  <c r="U16" s="1"/>
  <c r="U40"/>
  <c r="U13" s="1"/>
  <c r="U44"/>
  <c r="U42"/>
  <c r="U15" s="1"/>
  <c r="U41"/>
  <c r="U14" s="1"/>
  <c r="U79"/>
  <c r="U52" s="1"/>
  <c r="U80"/>
  <c r="U77"/>
  <c r="U50" s="1"/>
  <c r="T10" i="49"/>
  <c r="T12" i="51" s="1"/>
  <c r="U30" i="29"/>
  <c r="U17"/>
  <c r="U67"/>
  <c r="U45" i="25"/>
  <c r="U81" i="29"/>
  <c r="U78"/>
  <c r="U63" i="25"/>
  <c r="U12" s="1"/>
  <c r="V14" i="34"/>
  <c r="U15" i="46"/>
  <c r="U14"/>
  <c r="U16"/>
  <c r="U17"/>
  <c r="V17" i="33"/>
  <c r="U26" i="25"/>
  <c r="U7"/>
  <c r="V16" i="33"/>
  <c r="V19"/>
  <c r="V18"/>
  <c r="V15"/>
  <c r="U6" i="46"/>
  <c r="U5"/>
  <c r="U7"/>
  <c r="U9"/>
  <c r="U36" i="25"/>
  <c r="U54"/>
  <c r="U17"/>
  <c r="V9" i="33"/>
  <c r="V10"/>
  <c r="V5" i="34"/>
  <c r="V6" i="33"/>
  <c r="V7"/>
  <c r="U6" i="25"/>
  <c r="V8" i="33"/>
  <c r="U39" i="29" l="1"/>
  <c r="V26"/>
  <c r="V24"/>
  <c r="V23"/>
  <c r="V25"/>
  <c r="V59"/>
  <c r="V63"/>
  <c r="V61"/>
  <c r="V22"/>
  <c r="V21" s="1"/>
  <c r="V62"/>
  <c r="V60"/>
  <c r="U54"/>
  <c r="T14" i="51"/>
  <c r="U53" i="29"/>
  <c r="U11" i="25"/>
  <c r="U13" s="1"/>
  <c r="U5" i="48" s="1"/>
  <c r="U76" i="29"/>
  <c r="U51"/>
  <c r="V17" i="21"/>
  <c r="V18"/>
  <c r="V19"/>
  <c r="V15"/>
  <c r="U12" i="29"/>
  <c r="U8" i="25"/>
  <c r="U11" i="48" s="1"/>
  <c r="V14" i="33"/>
  <c r="V16" i="21"/>
  <c r="V6"/>
  <c r="V9"/>
  <c r="V10"/>
  <c r="V8"/>
  <c r="V5" i="33"/>
  <c r="V7" i="21"/>
  <c r="V58" i="29" l="1"/>
  <c r="U13" i="48"/>
  <c r="U6" s="1"/>
  <c r="W19" i="34"/>
  <c r="U49" i="29"/>
  <c r="U13" i="51" s="1"/>
  <c r="W16" i="34"/>
  <c r="W15"/>
  <c r="V71" i="29"/>
  <c r="W18" i="34"/>
  <c r="V70" i="29"/>
  <c r="W17" i="34"/>
  <c r="V33" i="29"/>
  <c r="W8" i="34"/>
  <c r="V34" i="29"/>
  <c r="W9" i="34"/>
  <c r="V32" i="29"/>
  <c r="W7" i="34"/>
  <c r="V35" i="29"/>
  <c r="W10" i="34"/>
  <c r="V31" i="29"/>
  <c r="W6" i="34"/>
  <c r="V29" i="25"/>
  <c r="V48"/>
  <c r="V66"/>
  <c r="V68"/>
  <c r="V64"/>
  <c r="V68" i="29"/>
  <c r="V31" i="25"/>
  <c r="V72" i="29"/>
  <c r="V67" i="25"/>
  <c r="V47"/>
  <c r="V69" i="29"/>
  <c r="V49" i="25"/>
  <c r="V50"/>
  <c r="V30"/>
  <c r="V27"/>
  <c r="V46"/>
  <c r="V14" i="21"/>
  <c r="V13" i="46" s="1"/>
  <c r="V28" i="25"/>
  <c r="V65"/>
  <c r="V57"/>
  <c r="V40"/>
  <c r="V21"/>
  <c r="V37"/>
  <c r="V56"/>
  <c r="V55"/>
  <c r="V18"/>
  <c r="V58"/>
  <c r="V41"/>
  <c r="V19"/>
  <c r="V59"/>
  <c r="V38"/>
  <c r="V5" i="21"/>
  <c r="V8" i="46" s="1"/>
  <c r="V20" i="25"/>
  <c r="V22"/>
  <c r="V39"/>
  <c r="U8" i="49" l="1"/>
  <c r="U10" s="1"/>
  <c r="U12" i="51" s="1"/>
  <c r="V44" i="29"/>
  <c r="V40"/>
  <c r="V43"/>
  <c r="V78"/>
  <c r="V51" s="1"/>
  <c r="V80"/>
  <c r="V42"/>
  <c r="V41"/>
  <c r="V77"/>
  <c r="V50" s="1"/>
  <c r="V81"/>
  <c r="V54" s="1"/>
  <c r="V79"/>
  <c r="U7" i="48"/>
  <c r="V53" i="29"/>
  <c r="V14"/>
  <c r="V15"/>
  <c r="V30"/>
  <c r="V52"/>
  <c r="V17"/>
  <c r="W16" i="33"/>
  <c r="W14" i="34"/>
  <c r="V45" i="25"/>
  <c r="V67" i="29"/>
  <c r="V63" i="25"/>
  <c r="V12" s="1"/>
  <c r="W19" i="33"/>
  <c r="W15"/>
  <c r="W17"/>
  <c r="W18"/>
  <c r="V26" i="25"/>
  <c r="V13" i="29"/>
  <c r="V17" i="46"/>
  <c r="V15"/>
  <c r="V7" i="25"/>
  <c r="V16" i="46"/>
  <c r="V14"/>
  <c r="V7"/>
  <c r="V6"/>
  <c r="V5"/>
  <c r="V9"/>
  <c r="V54" i="25"/>
  <c r="V36"/>
  <c r="W5" i="34"/>
  <c r="W9" i="33"/>
  <c r="W7"/>
  <c r="V6" i="25"/>
  <c r="V17"/>
  <c r="W10" i="33"/>
  <c r="W6"/>
  <c r="W8"/>
  <c r="V39" i="29" l="1"/>
  <c r="V76"/>
  <c r="W22"/>
  <c r="W23"/>
  <c r="W62"/>
  <c r="W59"/>
  <c r="W58" s="1"/>
  <c r="W60"/>
  <c r="W24"/>
  <c r="W26"/>
  <c r="W25"/>
  <c r="W61"/>
  <c r="W63"/>
  <c r="U14" i="51"/>
  <c r="V16" i="29"/>
  <c r="V12" s="1"/>
  <c r="W18" i="21"/>
  <c r="V11" i="25"/>
  <c r="V13" s="1"/>
  <c r="V5" i="48" s="1"/>
  <c r="W16" i="21"/>
  <c r="V49" i="29"/>
  <c r="W19" i="21"/>
  <c r="W15"/>
  <c r="W14" i="33"/>
  <c r="W17" i="21"/>
  <c r="W7"/>
  <c r="V8" i="25"/>
  <c r="V11" i="48" s="1"/>
  <c r="W9" i="21"/>
  <c r="W10"/>
  <c r="W5" i="33"/>
  <c r="W8" i="21"/>
  <c r="W6"/>
  <c r="W21" i="29" l="1"/>
  <c r="W31"/>
  <c r="W34"/>
  <c r="W33"/>
  <c r="W35"/>
  <c r="W30" s="1"/>
  <c r="V13" i="48"/>
  <c r="V6" s="1"/>
  <c r="W32" i="29"/>
  <c r="W70"/>
  <c r="W68"/>
  <c r="W69"/>
  <c r="W71"/>
  <c r="W72"/>
  <c r="V13" i="51"/>
  <c r="W30" i="25"/>
  <c r="W49"/>
  <c r="W67"/>
  <c r="W28"/>
  <c r="W47"/>
  <c r="W65"/>
  <c r="W46"/>
  <c r="W50"/>
  <c r="W48"/>
  <c r="W29"/>
  <c r="W68"/>
  <c r="W31"/>
  <c r="W14" i="21"/>
  <c r="W14" i="46" s="1"/>
  <c r="G30" i="40" s="1"/>
  <c r="W66" i="25"/>
  <c r="W27"/>
  <c r="W64"/>
  <c r="W59"/>
  <c r="W19"/>
  <c r="W38"/>
  <c r="W56"/>
  <c r="W40"/>
  <c r="W21"/>
  <c r="W57"/>
  <c r="W39"/>
  <c r="W20"/>
  <c r="W41"/>
  <c r="W58"/>
  <c r="W18"/>
  <c r="W55"/>
  <c r="W5" i="21"/>
  <c r="W6" i="46" s="1"/>
  <c r="W22" i="25"/>
  <c r="W37"/>
  <c r="V8" i="49" l="1"/>
  <c r="W67" i="29"/>
  <c r="W41"/>
  <c r="W77"/>
  <c r="W78"/>
  <c r="W40"/>
  <c r="W43"/>
  <c r="W44"/>
  <c r="W42"/>
  <c r="W81"/>
  <c r="W79"/>
  <c r="W76" s="1"/>
  <c r="W80"/>
  <c r="V10" i="49"/>
  <c r="V12" i="51" s="1"/>
  <c r="V7" i="48"/>
  <c r="W63" i="25"/>
  <c r="W12" s="1"/>
  <c r="W45"/>
  <c r="W16" i="46"/>
  <c r="G32" i="40" s="1"/>
  <c r="W15" i="46"/>
  <c r="G31" i="40" s="1"/>
  <c r="E14"/>
  <c r="W26" i="25"/>
  <c r="W7"/>
  <c r="W17" i="46"/>
  <c r="G33" i="40" s="1"/>
  <c r="W50" i="29"/>
  <c r="W13" i="46"/>
  <c r="G29" i="40" s="1"/>
  <c r="W14" i="29"/>
  <c r="D14" i="40"/>
  <c r="G22"/>
  <c r="W9" i="46"/>
  <c r="W8"/>
  <c r="W5"/>
  <c r="W7"/>
  <c r="W17" i="25"/>
  <c r="W54"/>
  <c r="W6"/>
  <c r="W36"/>
  <c r="W39" i="29" l="1"/>
  <c r="V14" i="51"/>
  <c r="W53" i="29"/>
  <c r="W52"/>
  <c r="W54"/>
  <c r="W15"/>
  <c r="W17"/>
  <c r="W16"/>
  <c r="W13"/>
  <c r="W51"/>
  <c r="E16" i="40"/>
  <c r="E15"/>
  <c r="W11" i="25"/>
  <c r="W13" s="1"/>
  <c r="W5" i="48" s="1"/>
  <c r="F14" i="40"/>
  <c r="E17"/>
  <c r="E13"/>
  <c r="G25"/>
  <c r="D17"/>
  <c r="D16"/>
  <c r="G24"/>
  <c r="G21"/>
  <c r="D13"/>
  <c r="D15"/>
  <c r="G23"/>
  <c r="W8" i="25"/>
  <c r="W11" i="48" s="1"/>
  <c r="W12" i="29" l="1"/>
  <c r="B5" s="1"/>
  <c r="W13" i="48"/>
  <c r="W6" s="1"/>
  <c r="G37" i="40"/>
  <c r="W49" i="29"/>
  <c r="B6" s="1"/>
  <c r="F16" i="40"/>
  <c r="F15"/>
  <c r="F13"/>
  <c r="F17"/>
  <c r="B7" i="29" l="1"/>
  <c r="B5" i="51" s="1"/>
  <c r="W8" i="49"/>
  <c r="W10" s="1"/>
  <c r="W13" i="51"/>
  <c r="C7" i="29"/>
  <c r="C43" i="40" l="1"/>
  <c r="W7" i="48"/>
  <c r="G38" i="40"/>
  <c r="W12" i="51"/>
  <c r="B4" i="49"/>
  <c r="W14" i="51" l="1"/>
  <c r="G39" i="40"/>
  <c r="B6" i="51"/>
  <c r="C44" i="40"/>
  <c r="B7" i="51" l="1"/>
  <c r="C45" i="40" l="1"/>
</calcChain>
</file>

<file path=xl/sharedStrings.xml><?xml version="1.0" encoding="utf-8"?>
<sst xmlns="http://schemas.openxmlformats.org/spreadsheetml/2006/main" count="247" uniqueCount="172">
  <si>
    <t>Water Heat Ending</t>
  </si>
  <si>
    <t>Existing Market Segment Code</t>
  </si>
  <si>
    <t>2015 Baseline Existing SH</t>
  </si>
  <si>
    <t>2015 Baseline Existing WH</t>
  </si>
  <si>
    <t>Retro WH</t>
  </si>
  <si>
    <t>Water heater size (gals)</t>
  </si>
  <si>
    <t>Dwelling Type</t>
  </si>
  <si>
    <t>Gas FAF</t>
  </si>
  <si>
    <t>Electric Resistance</t>
  </si>
  <si>
    <t>X&lt;=55</t>
  </si>
  <si>
    <t>SF</t>
  </si>
  <si>
    <t>HPWH</t>
  </si>
  <si>
    <t>Gas Tank</t>
  </si>
  <si>
    <t>Instant Gas</t>
  </si>
  <si>
    <t>Condensing Gas</t>
  </si>
  <si>
    <t>Idaho</t>
  </si>
  <si>
    <t>State</t>
  </si>
  <si>
    <t>Energy (mmBtu/ device/Yr)</t>
  </si>
  <si>
    <t>Electric Technology</t>
  </si>
  <si>
    <t>Electric</t>
  </si>
  <si>
    <t>Natural Gas</t>
  </si>
  <si>
    <t>WH Capital Cost (2012$/ device)</t>
  </si>
  <si>
    <t>WH O&amp;M Cost (2012$/ device/Yr)</t>
  </si>
  <si>
    <t>Basement</t>
  </si>
  <si>
    <t>Gas Availability</t>
  </si>
  <si>
    <t>Yes</t>
  </si>
  <si>
    <t>Existing</t>
  </si>
  <si>
    <t>Segments of Interest in ENERGY 2020 Study of Direct Use of Natural Gas</t>
  </si>
  <si>
    <t>and return of principal and on investment (including risk premiums and inflation: 1+ROIN+DRISK+INSM).</t>
  </si>
  <si>
    <t>Note:  Capital charge rate is defined as the annualization of device capital expenses over the life of the device, accounting for taxes, tax credits,</t>
  </si>
  <si>
    <t>Source:  "NPCC_SF_Tables_2013-08-30 with data on market share and electricity and natural gas retail prices.xlsx" from M. Jourabchi.</t>
  </si>
  <si>
    <t>Levelized Costs (2012$/Device/Yr)</t>
  </si>
  <si>
    <t>Negative values indicate resistance to a specified technology independent of price.</t>
  </si>
  <si>
    <t>Positive values indicate a propensity toward purchasing the given device independent of price considerations.</t>
  </si>
  <si>
    <t>Assumptions:</t>
  </si>
  <si>
    <t>Note:  Non-price factors are parameters in the market share equation representing the impact of non-price factors on market share of a given technology.</t>
  </si>
  <si>
    <t>Annual Fuel Costs (2012$/Device/Yr)</t>
  </si>
  <si>
    <t>Input</t>
  </si>
  <si>
    <t>Description</t>
  </si>
  <si>
    <t>Variance factor - BAU forecast</t>
  </si>
  <si>
    <t>BAU Case</t>
  </si>
  <si>
    <r>
      <t>Marginal Allocation Weights ($/$) -</t>
    </r>
    <r>
      <rPr>
        <b/>
        <sz val="12"/>
        <color rgb="FF7030A0"/>
        <rFont val="Calibri"/>
        <family val="2"/>
        <scheme val="minor"/>
      </rPr>
      <t xml:space="preserve"> </t>
    </r>
    <r>
      <rPr>
        <b/>
        <sz val="12"/>
        <color rgb="FFC00000"/>
        <rFont val="Calibri"/>
        <family val="2"/>
        <scheme val="minor"/>
      </rPr>
      <t>BAU Case</t>
    </r>
  </si>
  <si>
    <r>
      <t xml:space="preserve">Total Allocation Weight ($/$) - </t>
    </r>
    <r>
      <rPr>
        <b/>
        <sz val="12"/>
        <color rgb="FFC00000"/>
        <rFont val="Calibri"/>
        <family val="2"/>
        <scheme val="minor"/>
      </rPr>
      <t>BAU Case</t>
    </r>
  </si>
  <si>
    <t>Device lifetime</t>
  </si>
  <si>
    <r>
      <t xml:space="preserve">Water Heating Energy Usage by Type (mmBtu/Yr)  - </t>
    </r>
    <r>
      <rPr>
        <b/>
        <sz val="12"/>
        <color rgb="FFC00000"/>
        <rFont val="Calibri"/>
        <family val="2"/>
        <scheme val="minor"/>
      </rPr>
      <t>BAU Case</t>
    </r>
  </si>
  <si>
    <t>Total</t>
  </si>
  <si>
    <r>
      <t xml:space="preserve">Water Heating Electricity Usage by Type (MWh/Yr)  - </t>
    </r>
    <r>
      <rPr>
        <b/>
        <sz val="12"/>
        <color rgb="FFC00000"/>
        <rFont val="Calibri"/>
        <family val="2"/>
        <scheme val="minor"/>
      </rPr>
      <t>BAU Case</t>
    </r>
  </si>
  <si>
    <r>
      <t xml:space="preserve">Water Heating Gas Usage by Type (mmBtu/Yr)  - </t>
    </r>
    <r>
      <rPr>
        <b/>
        <sz val="12"/>
        <color rgb="FFC00000"/>
        <rFont val="Calibri"/>
        <family val="2"/>
        <scheme val="minor"/>
      </rPr>
      <t>BAU Case</t>
    </r>
  </si>
  <si>
    <t>Water Heating Energy Usage by Fuel and Scenario</t>
  </si>
  <si>
    <t>Discount rate (4% after-tax per M. Jourabchi)</t>
  </si>
  <si>
    <t>Source</t>
  </si>
  <si>
    <t>Source:  Technology usage and cost assumptions from:  "RevisedDUG_HVACDWH_CostUseData_090611.xlsx"</t>
  </si>
  <si>
    <t>2013$</t>
  </si>
  <si>
    <t>2011$</t>
  </si>
  <si>
    <t>2008$</t>
  </si>
  <si>
    <t>Source:  Per M. Jourabchi email (9-19-14) - FROM RTF Workbook: Res_HPWH_v1_3.xlsm, Tab: CostData, 50gal, 0.92EF, added estimated $200 for installation - (2008$)</t>
  </si>
  <si>
    <t>Source: Per M. Jourabchi email (9-19-14) - FROM RTF Workbook: Res_HPWH_v1_3.xlsm, Tab: CostData, Tier 1 50gal, added $200 for baseline installation - (2011$)</t>
  </si>
  <si>
    <t>Source:  Per M. Jourabchi email (9-19-14) - From ETO CPA (2013$)</t>
  </si>
  <si>
    <t>2006$</t>
  </si>
  <si>
    <t>Source:  "RevisedDUG_HVACDWH_CostUseData_090611.xlsx"</t>
  </si>
  <si>
    <t>Capital charge rate</t>
  </si>
  <si>
    <t>Source:  Calculated in ENERGY 2020</t>
  </si>
  <si>
    <t>Inflation</t>
  </si>
  <si>
    <t>Source:  M. Jourabchi input to ENERGY 2020 model</t>
  </si>
  <si>
    <t>Units of Dollars</t>
  </si>
  <si>
    <t>O&amp;M Cost Inflation Adjustment</t>
  </si>
  <si>
    <t>User Input - Assumptions</t>
  </si>
  <si>
    <t>Source:  M. Jourabchi email of September 15, 2014</t>
  </si>
  <si>
    <t>Non-Price Factor Assumptions ($/$)</t>
  </si>
  <si>
    <t>Source:  "Retail Rates_Northwest.xlsx"</t>
  </si>
  <si>
    <t>Starting water heating system</t>
  </si>
  <si>
    <t>Starting water heating tank size</t>
  </si>
  <si>
    <t>Notes:  Variance factor is parameter in market share calculation indicating impact of price on probability of choosing a given technology.  Negative values increase sensitivity to price.</t>
  </si>
  <si>
    <t>Scenario</t>
  </si>
  <si>
    <t>Electricity Usage (tBtu/Yr)</t>
  </si>
  <si>
    <t>Natural Gas Usage (tBtu/Yr)</t>
  </si>
  <si>
    <t>Difference</t>
  </si>
  <si>
    <t>Change  in Market Share</t>
  </si>
  <si>
    <t>Change (%)</t>
  </si>
  <si>
    <t>Water Heating Replacement</t>
  </si>
  <si>
    <t>BAU Case 2035</t>
  </si>
  <si>
    <t>Electric - BAU</t>
  </si>
  <si>
    <t>Gas - BAU</t>
  </si>
  <si>
    <t>Water Heating Capital Cost (2012$/device)</t>
  </si>
  <si>
    <t>Energy Use Per Device (mmBtu/Device/Yr)</t>
  </si>
  <si>
    <t>Water Heating O&amp;M Costs (2012$/Device/Yr)</t>
  </si>
  <si>
    <t>Green:  Linked exogenous input</t>
  </si>
  <si>
    <t>Blue:  User-specified exogenous input</t>
  </si>
  <si>
    <t>Note:  Levelized Costs = Capital Cost*Capital Charge Rate + Fuel Cost + O&amp;M Cost</t>
  </si>
  <si>
    <r>
      <t xml:space="preserve">Marginal Market Share Forecast (Fraction) - </t>
    </r>
    <r>
      <rPr>
        <b/>
        <sz val="12"/>
        <color rgb="FFC00000"/>
        <rFont val="Calibri"/>
        <family val="2"/>
        <scheme val="minor"/>
      </rPr>
      <t>BAU Case</t>
    </r>
  </si>
  <si>
    <t>Starting space heating system</t>
  </si>
  <si>
    <t>Source:  "Regional Economic Analysis of Residential Fuel Use:  Electricity &amp; Natural Gas.pdf"</t>
  </si>
  <si>
    <t>Least Cost</t>
  </si>
  <si>
    <t>Non-price factors - BAU forecast</t>
  </si>
  <si>
    <t>See "Non-Price Factors" sheet</t>
  </si>
  <si>
    <t>Electric - Least Cost</t>
  </si>
  <si>
    <t>Least Cost Case</t>
  </si>
  <si>
    <t>Gas - Least Cost</t>
  </si>
  <si>
    <r>
      <t xml:space="preserve">Water Heating Energy Usage by Type (mmBtu/Yr) - </t>
    </r>
    <r>
      <rPr>
        <b/>
        <sz val="12"/>
        <color rgb="FFC00000"/>
        <rFont val="Calibri"/>
        <family val="2"/>
        <scheme val="minor"/>
      </rPr>
      <t>Least Cost Case</t>
    </r>
  </si>
  <si>
    <r>
      <t xml:space="preserve">Water Heating Electricity Usage by Type (MWh/Yr)  - </t>
    </r>
    <r>
      <rPr>
        <b/>
        <sz val="12"/>
        <color rgb="FFC00000"/>
        <rFont val="Calibri"/>
        <family val="2"/>
        <scheme val="minor"/>
      </rPr>
      <t>Least Cost Case</t>
    </r>
  </si>
  <si>
    <r>
      <t xml:space="preserve">Water Heating Gas Usage by Type (mmBtu/Yr)  - </t>
    </r>
    <r>
      <rPr>
        <b/>
        <sz val="12"/>
        <color rgb="FFC00000"/>
        <rFont val="Calibri"/>
        <family val="2"/>
        <scheme val="minor"/>
      </rPr>
      <t>Least Cost Case</t>
    </r>
  </si>
  <si>
    <t>Least Cost Case 2035</t>
  </si>
  <si>
    <r>
      <t>Water Heaters Purchased (Number of Water Heaters) -</t>
    </r>
    <r>
      <rPr>
        <b/>
        <sz val="12"/>
        <color rgb="FFC00000"/>
        <rFont val="Calibri"/>
        <family val="2"/>
        <scheme val="minor"/>
      </rPr>
      <t xml:space="preserve"> BAU Case</t>
    </r>
  </si>
  <si>
    <r>
      <t>Water Heaters Purchased (Number of Water Heaters) -</t>
    </r>
    <r>
      <rPr>
        <b/>
        <sz val="12"/>
        <color rgb="FFC00000"/>
        <rFont val="Calibri"/>
        <family val="2"/>
        <scheme val="minor"/>
      </rPr>
      <t xml:space="preserve"> Least Cost Case</t>
    </r>
  </si>
  <si>
    <r>
      <t xml:space="preserve">Water Heaters Retired (Number of Water Heaters) - </t>
    </r>
    <r>
      <rPr>
        <b/>
        <sz val="12"/>
        <color rgb="FFC00000"/>
        <rFont val="Calibri"/>
        <family val="2"/>
        <scheme val="minor"/>
      </rPr>
      <t>BAU Case</t>
    </r>
  </si>
  <si>
    <r>
      <t xml:space="preserve">Water Heaters Retired (Number of Water Heaters) - </t>
    </r>
    <r>
      <rPr>
        <b/>
        <sz val="12"/>
        <color rgb="FFC00000"/>
        <rFont val="Calibri"/>
        <family val="2"/>
        <scheme val="minor"/>
      </rPr>
      <t>Least Cost Case</t>
    </r>
  </si>
  <si>
    <r>
      <t xml:space="preserve">Water Heaters Stock by Type (Number of Water Heaters) - </t>
    </r>
    <r>
      <rPr>
        <b/>
        <sz val="12"/>
        <color rgb="FFC00000"/>
        <rFont val="Calibri"/>
        <family val="2"/>
        <scheme val="minor"/>
      </rPr>
      <t>BAU Case</t>
    </r>
  </si>
  <si>
    <r>
      <t xml:space="preserve">Water Heaters Stock by Type (Number of Water Heaters) - </t>
    </r>
    <r>
      <rPr>
        <b/>
        <sz val="12"/>
        <color rgb="FFC00000"/>
        <rFont val="Calibri"/>
        <family val="2"/>
        <scheme val="minor"/>
      </rPr>
      <t>Least Cost Case</t>
    </r>
  </si>
  <si>
    <r>
      <t xml:space="preserve">Average Market Share (Fraction) - </t>
    </r>
    <r>
      <rPr>
        <b/>
        <sz val="12"/>
        <color rgb="FFC00000"/>
        <rFont val="Calibri"/>
        <family val="2"/>
        <scheme val="minor"/>
      </rPr>
      <t>BAU Case</t>
    </r>
  </si>
  <si>
    <r>
      <t>Average Market Share (Fraction) -</t>
    </r>
    <r>
      <rPr>
        <b/>
        <sz val="12"/>
        <color rgb="FFC00000"/>
        <rFont val="Calibri"/>
        <family val="2"/>
        <scheme val="minor"/>
      </rPr>
      <t xml:space="preserve"> Least Cost Case</t>
    </r>
  </si>
  <si>
    <t>Existing 2014</t>
  </si>
  <si>
    <r>
      <t xml:space="preserve">Total Consumer Cost (2012 M$) - </t>
    </r>
    <r>
      <rPr>
        <b/>
        <sz val="12"/>
        <color rgb="FFC00000"/>
        <rFont val="Calibri"/>
        <family val="2"/>
        <scheme val="minor"/>
      </rPr>
      <t>BAU Case</t>
    </r>
  </si>
  <si>
    <r>
      <t xml:space="preserve">Capital Cost (2012 M$) - </t>
    </r>
    <r>
      <rPr>
        <b/>
        <sz val="12"/>
        <color rgb="FFC00000"/>
        <rFont val="Calibri"/>
        <family val="2"/>
        <scheme val="minor"/>
      </rPr>
      <t>BAU Case</t>
    </r>
  </si>
  <si>
    <r>
      <t xml:space="preserve">O&amp;M Cost (2012 M$) - </t>
    </r>
    <r>
      <rPr>
        <b/>
        <sz val="12"/>
        <color rgb="FFC00000"/>
        <rFont val="Calibri"/>
        <family val="2"/>
        <scheme val="minor"/>
      </rPr>
      <t>BAU Case</t>
    </r>
  </si>
  <si>
    <r>
      <t xml:space="preserve">Price of Energy Usage (2012 M$) - </t>
    </r>
    <r>
      <rPr>
        <b/>
        <sz val="12"/>
        <color rgb="FFC00000"/>
        <rFont val="Calibri"/>
        <family val="2"/>
        <scheme val="minor"/>
      </rPr>
      <t>BAU Case</t>
    </r>
  </si>
  <si>
    <r>
      <t>Total Consumer Cost (2012 M$) -</t>
    </r>
    <r>
      <rPr>
        <b/>
        <sz val="12"/>
        <color rgb="FFC00000"/>
        <rFont val="Calibri"/>
        <family val="2"/>
        <scheme val="minor"/>
      </rPr>
      <t xml:space="preserve"> Least Cost Case</t>
    </r>
  </si>
  <si>
    <r>
      <t>Capital Cost (2012 M$) -</t>
    </r>
    <r>
      <rPr>
        <b/>
        <sz val="12"/>
        <color rgb="FFC00000"/>
        <rFont val="Calibri"/>
        <family val="2"/>
        <scheme val="minor"/>
      </rPr>
      <t xml:space="preserve"> Least Cost Case</t>
    </r>
  </si>
  <si>
    <r>
      <t xml:space="preserve">O&amp;M Cost (2012 M$) - </t>
    </r>
    <r>
      <rPr>
        <b/>
        <sz val="12"/>
        <color rgb="FFC00000"/>
        <rFont val="Calibri"/>
        <family val="2"/>
        <scheme val="minor"/>
      </rPr>
      <t>Least Cost Case</t>
    </r>
  </si>
  <si>
    <r>
      <t>Price of Energy Usage (2012 M$) -</t>
    </r>
    <r>
      <rPr>
        <b/>
        <sz val="12"/>
        <color rgb="FFC00000"/>
        <rFont val="Calibri"/>
        <family val="2"/>
        <scheme val="minor"/>
      </rPr>
      <t xml:space="preserve"> Least Cost Case</t>
    </r>
  </si>
  <si>
    <t>Source:  "RBSA Metering Final Report (2).docx" pulled out into "Book3.xls" from M. Jourabchi 9-24-14</t>
  </si>
  <si>
    <t>Heat rate of new CCCT unit (Btu/kWh)</t>
  </si>
  <si>
    <t>Source:  Gillian Charles email of September 24, 2014 per M. Jourabchi (6530 w/ duct firing)</t>
  </si>
  <si>
    <t>Wholesale Price of Natural Gas (2012$/mmBtu/Yr)</t>
  </si>
  <si>
    <t>Source:  ENERGY 2020 model data from "Q:\MJ\ex\Fuel\FUELMOD8 Rev 050114- 7P July 2014 .xlsx" per 7/15/2014 update from M. Jourabchi.</t>
  </si>
  <si>
    <t>Gas price (2012$/mmBtu)</t>
  </si>
  <si>
    <t>NPV (2012M$)</t>
  </si>
  <si>
    <t>Consumer Cost of Water Heating Replacements</t>
  </si>
  <si>
    <t>NPV (2012 M$)</t>
  </si>
  <si>
    <t>Change in Total Resource Costs due to Direct Use of Natural Gas (2012 M$)</t>
  </si>
  <si>
    <t>Capital Cost (Various Real $)</t>
  </si>
  <si>
    <t>O&amp;M Cost (2006$/ device/Yr)</t>
  </si>
  <si>
    <t>Gas Required (mmBtu/ device/Yr)</t>
  </si>
  <si>
    <t>Electricity Required (KWh/ device/Yr)</t>
  </si>
  <si>
    <t>User-Specified Assumptions</t>
  </si>
  <si>
    <t>Water Heater Ending</t>
  </si>
  <si>
    <t>Capital Cost Inflation Adjustment ($/$)</t>
  </si>
  <si>
    <r>
      <t xml:space="preserve">Marginal Market Share Forecast (Fraction) - </t>
    </r>
    <r>
      <rPr>
        <b/>
        <sz val="12"/>
        <color rgb="FFC00000"/>
        <rFont val="Calibri"/>
        <family val="2"/>
        <scheme val="minor"/>
      </rPr>
      <t>Least Cost Case</t>
    </r>
  </si>
  <si>
    <t>Cost Savings of Utility - Least Cost vs BAU Case (2012 $/Yr)</t>
  </si>
  <si>
    <t>Wholesale Price of Gas (2012$/mmBtu)</t>
  </si>
  <si>
    <t>Cost Savings of Utility - Least Cost vs BAU Case (2012 M$)</t>
  </si>
  <si>
    <t>NPV of Costs Savings to Utility - Least Cost vs BAU Case</t>
  </si>
  <si>
    <t>NPV 2012 M$</t>
  </si>
  <si>
    <t>Consumer's Increase in Natural Gas Usage (tBtu)</t>
  </si>
  <si>
    <t>Utility Reduction in Natural Gas Usage (tBtu)</t>
  </si>
  <si>
    <t>MWh to mmBtu conversion</t>
  </si>
  <si>
    <t>Net Change in Natural Gas Usage (tBtu)</t>
  </si>
  <si>
    <t>Gas Heat Rate (Btu/kWh)</t>
  </si>
  <si>
    <t>Reduction in Natural Gas Usage by Utility - Least Cost vs BAU Case</t>
  </si>
  <si>
    <t>Net Change in Natural Gas Usage</t>
  </si>
  <si>
    <t>Net Change in Natural Gas Usage (tBtu) - Least Cost vs BAU Case</t>
  </si>
  <si>
    <t>Decreased Consumer Cost of Least Cost Case</t>
  </si>
  <si>
    <t>Decreased Utility Cost of Least Cost Case (2012 M$)</t>
  </si>
  <si>
    <t>Total Cost Reduction of Least Cost Case</t>
  </si>
  <si>
    <t>Total Cost Reduction of Least Cost Case (2012 M$)</t>
  </si>
  <si>
    <t>Inflation Index (1.0=2006)</t>
  </si>
  <si>
    <t>Consumer Cost Reduction</t>
  </si>
  <si>
    <t>Utility Cost Reduction</t>
  </si>
  <si>
    <t>Total Resource Cost Reduction</t>
  </si>
  <si>
    <t>Cost Reduction of Least Cost vs BAU Case</t>
  </si>
  <si>
    <t>Utility Change in Natural Gas Usage</t>
  </si>
  <si>
    <t>Consumer's Change in Natural Gas Usage</t>
  </si>
  <si>
    <t>Reduction in Consumer Electricity Usage (MWh/Yr)</t>
  </si>
  <si>
    <t>Reduction in Utility Natural Gas Usage (tBtu/Yr)</t>
  </si>
  <si>
    <t>Reduction in Natural Gas Usage by Utility (tBtu)</t>
  </si>
  <si>
    <t>Stored in "Retail Rates_Northwest.xlsx"</t>
  </si>
  <si>
    <t>&gt;55 Gallons</t>
  </si>
  <si>
    <t>Note:  Values for electric resistance and gas tank are placeholders whose values are the same as &lt;= 55 gallon category.</t>
  </si>
  <si>
    <t>a. Electric resistance tanks &gt;55 gallons are required to replace with more efficient technologies, therefore:</t>
  </si>
  <si>
    <t xml:space="preserve">     - Turn off option to choose electric resistance or gas tank</t>
  </si>
  <si>
    <t xml:space="preserve">     - HPWH, Instant gas, and Condensing gas - set non-price factors to no market resistance</t>
  </si>
  <si>
    <t>No variance in non-price market shares across years:</t>
  </si>
  <si>
    <t>Number of households with access to gas, &gt;55</t>
  </si>
</sst>
</file>

<file path=xl/styles.xml><?xml version="1.0" encoding="utf-8"?>
<styleSheet xmlns="http://schemas.openxmlformats.org/spreadsheetml/2006/main">
  <numFmts count="1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0.0%"/>
    <numFmt numFmtId="167" formatCode="0.0"/>
    <numFmt numFmtId="168" formatCode="0.000"/>
    <numFmt numFmtId="169" formatCode="m/d/\ h:mm"/>
    <numFmt numFmtId="170" formatCode="0_);\(0\)"/>
    <numFmt numFmtId="171" formatCode="0.0000"/>
    <numFmt numFmtId="172" formatCode="#,##0.000"/>
    <numFmt numFmtId="173" formatCode="&quot;$&quot;#,##0.000"/>
    <numFmt numFmtId="174" formatCode="&quot;$&quot;#,##0.000_);[Red]\(&quot;$&quot;#,##0.000\)"/>
    <numFmt numFmtId="175" formatCode="#,##0.000000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rgb="FF00B050"/>
      <name val="Calibri"/>
      <family val="2"/>
      <scheme val="minor"/>
    </font>
    <font>
      <sz val="12"/>
      <color rgb="FF0000FF"/>
      <name val="Calibri"/>
      <family val="2"/>
      <scheme val="minor"/>
    </font>
    <font>
      <sz val="12"/>
      <name val="Calibri"/>
      <family val="2"/>
      <scheme val="minor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2"/>
      <name val="Times New Roman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2"/>
      <name val="Times New Roman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Helv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rgb="FF00B050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B050"/>
      <name val="Calibri"/>
      <family val="2"/>
      <scheme val="minor"/>
    </font>
    <font>
      <i/>
      <sz val="12"/>
      <color rgb="FF0000FF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u/>
      <sz val="12"/>
      <color rgb="FF0000FF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7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18" borderId="0" applyNumberFormat="0" applyAlignment="0">
      <alignment horizontal="right"/>
    </xf>
    <xf numFmtId="0" fontId="12" fillId="19" borderId="0" applyNumberFormat="0" applyAlignment="0"/>
    <xf numFmtId="169" fontId="15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0" borderId="0">
      <alignment horizontal="center" wrapText="1"/>
    </xf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3" borderId="1" applyNumberFormat="0" applyAlignment="0" applyProtection="0"/>
    <xf numFmtId="0" fontId="22" fillId="3" borderId="1" applyNumberFormat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>
      <alignment readingOrder="1"/>
    </xf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13" fillId="21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3" fillId="0" borderId="0"/>
    <xf numFmtId="0" fontId="13" fillId="0" borderId="0"/>
    <xf numFmtId="0" fontId="13" fillId="21" borderId="0"/>
    <xf numFmtId="0" fontId="13" fillId="21" borderId="0"/>
    <xf numFmtId="0" fontId="26" fillId="0" borderId="0" applyNumberFormat="0" applyFont="0" applyFill="0" applyBorder="0" applyAlignment="0" applyProtection="0"/>
    <xf numFmtId="0" fontId="25" fillId="0" borderId="0"/>
    <xf numFmtId="0" fontId="12" fillId="0" borderId="0">
      <alignment readingOrder="1"/>
    </xf>
    <xf numFmtId="0" fontId="13" fillId="0" borderId="0"/>
    <xf numFmtId="0" fontId="14" fillId="0" borderId="0"/>
    <xf numFmtId="0" fontId="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3" fillId="4" borderId="7" applyNumberFormat="0" applyFont="0" applyAlignment="0" applyProtection="0"/>
    <xf numFmtId="0" fontId="13" fillId="4" borderId="7" applyNumberFormat="0" applyFont="0" applyAlignment="0" applyProtection="0"/>
    <xf numFmtId="0" fontId="27" fillId="16" borderId="8" applyNumberFormat="0" applyAlignment="0" applyProtection="0"/>
    <xf numFmtId="0" fontId="27" fillId="16" borderId="8" applyNumberFormat="0" applyAlignment="0" applyProtection="0"/>
    <xf numFmtId="9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2" fillId="0" borderId="0"/>
    <xf numFmtId="0" fontId="12" fillId="0" borderId="0"/>
    <xf numFmtId="0" fontId="31" fillId="0" borderId="0"/>
    <xf numFmtId="43" fontId="31" fillId="0" borderId="0" applyFont="0" applyFill="0" applyBorder="0" applyAlignment="0" applyProtection="0"/>
  </cellStyleXfs>
  <cellXfs count="188">
    <xf numFmtId="0" fontId="0" fillId="0" borderId="0" xfId="0"/>
    <xf numFmtId="49" fontId="2" fillId="0" borderId="0" xfId="0" applyNumberFormat="1" applyFont="1" applyFill="1" applyBorder="1"/>
    <xf numFmtId="0" fontId="2" fillId="0" borderId="0" xfId="0" applyFont="1" applyFill="1" applyBorder="1"/>
    <xf numFmtId="1" fontId="4" fillId="0" borderId="0" xfId="0" applyNumberFormat="1" applyFont="1" applyFill="1" applyBorder="1"/>
    <xf numFmtId="168" fontId="4" fillId="0" borderId="0" xfId="0" applyNumberFormat="1" applyFont="1" applyFill="1" applyBorder="1"/>
    <xf numFmtId="0" fontId="6" fillId="0" borderId="0" xfId="0" applyFont="1" applyFill="1" applyBorder="1"/>
    <xf numFmtId="168" fontId="6" fillId="0" borderId="0" xfId="0" applyNumberFormat="1" applyFont="1" applyFill="1" applyBorder="1"/>
    <xf numFmtId="167" fontId="6" fillId="0" borderId="0" xfId="0" applyNumberFormat="1" applyFont="1" applyFill="1" applyBorder="1"/>
    <xf numFmtId="0" fontId="4" fillId="0" borderId="0" xfId="0" applyFont="1" applyFill="1" applyBorder="1"/>
    <xf numFmtId="0" fontId="2" fillId="0" borderId="0" xfId="0" applyFont="1"/>
    <xf numFmtId="2" fontId="2" fillId="0" borderId="0" xfId="0" applyNumberFormat="1" applyFont="1"/>
    <xf numFmtId="43" fontId="2" fillId="0" borderId="0" xfId="0" applyNumberFormat="1" applyFont="1"/>
    <xf numFmtId="0" fontId="32" fillId="0" borderId="0" xfId="0" applyFont="1"/>
    <xf numFmtId="170" fontId="2" fillId="0" borderId="0" xfId="0" applyNumberFormat="1" applyFont="1"/>
    <xf numFmtId="0" fontId="2" fillId="0" borderId="0" xfId="0" applyFont="1" applyAlignment="1">
      <alignment wrapText="1"/>
    </xf>
    <xf numFmtId="49" fontId="2" fillId="0" borderId="0" xfId="0" applyNumberFormat="1" applyFont="1"/>
    <xf numFmtId="0" fontId="2" fillId="0" borderId="0" xfId="165" applyFont="1"/>
    <xf numFmtId="0" fontId="32" fillId="0" borderId="0" xfId="0" applyFont="1" applyFill="1" applyBorder="1" applyAlignment="1">
      <alignment horizontal="center" wrapText="1"/>
    </xf>
    <xf numFmtId="0" fontId="33" fillId="0" borderId="0" xfId="0" applyFont="1" applyFill="1" applyBorder="1" applyAlignment="1">
      <alignment horizontal="center" wrapText="1"/>
    </xf>
    <xf numFmtId="0" fontId="32" fillId="0" borderId="0" xfId="0" applyFont="1" applyFill="1" applyBorder="1" applyAlignment="1">
      <alignment horizontal="center"/>
    </xf>
    <xf numFmtId="49" fontId="32" fillId="0" borderId="0" xfId="0" applyNumberFormat="1" applyFont="1" applyAlignment="1">
      <alignment wrapText="1"/>
    </xf>
    <xf numFmtId="170" fontId="32" fillId="0" borderId="0" xfId="0" applyNumberFormat="1" applyFont="1"/>
    <xf numFmtId="0" fontId="32" fillId="0" borderId="0" xfId="0" applyFont="1" applyAlignment="1">
      <alignment wrapText="1"/>
    </xf>
    <xf numFmtId="2" fontId="2" fillId="0" borderId="0" xfId="0" applyNumberFormat="1" applyFont="1" applyAlignment="1">
      <alignment wrapText="1"/>
    </xf>
    <xf numFmtId="2" fontId="32" fillId="0" borderId="0" xfId="0" applyNumberFormat="1" applyFont="1" applyAlignment="1">
      <alignment wrapText="1"/>
    </xf>
    <xf numFmtId="0" fontId="32" fillId="0" borderId="0" xfId="0" applyFont="1" applyAlignment="1">
      <alignment vertical="center"/>
    </xf>
    <xf numFmtId="0" fontId="32" fillId="0" borderId="0" xfId="0" applyFont="1" applyFill="1" applyBorder="1" applyAlignment="1">
      <alignment vertical="center"/>
    </xf>
    <xf numFmtId="5" fontId="2" fillId="0" borderId="0" xfId="0" applyNumberFormat="1" applyFont="1"/>
    <xf numFmtId="0" fontId="36" fillId="0" borderId="0" xfId="0" applyFont="1"/>
    <xf numFmtId="0" fontId="36" fillId="0" borderId="0" xfId="0" applyFont="1" applyAlignment="1">
      <alignment horizontal="left" indent="5"/>
    </xf>
    <xf numFmtId="0" fontId="36" fillId="0" borderId="0" xfId="0" applyFont="1" applyAlignment="1">
      <alignment horizontal="left" vertical="center"/>
    </xf>
    <xf numFmtId="0" fontId="5" fillId="0" borderId="0" xfId="0" applyFont="1" applyAlignment="1">
      <alignment horizontal="left" indent="2"/>
    </xf>
    <xf numFmtId="166" fontId="2" fillId="0" borderId="0" xfId="2" applyNumberFormat="1" applyFont="1"/>
    <xf numFmtId="3" fontId="2" fillId="0" borderId="0" xfId="0" applyNumberFormat="1" applyFont="1"/>
    <xf numFmtId="0" fontId="6" fillId="0" borderId="0" xfId="0" applyFont="1" applyAlignment="1">
      <alignment horizontal="left" indent="2"/>
    </xf>
    <xf numFmtId="2" fontId="5" fillId="0" borderId="0" xfId="0" applyNumberFormat="1" applyFont="1"/>
    <xf numFmtId="0" fontId="6" fillId="0" borderId="0" xfId="0" applyFont="1"/>
    <xf numFmtId="0" fontId="2" fillId="0" borderId="0" xfId="0" applyFont="1" applyAlignment="1">
      <alignment horizontal="left"/>
    </xf>
    <xf numFmtId="0" fontId="2" fillId="0" borderId="12" xfId="0" applyFont="1" applyBorder="1" applyAlignment="1">
      <alignment wrapText="1"/>
    </xf>
    <xf numFmtId="170" fontId="2" fillId="0" borderId="12" xfId="0" applyNumberFormat="1" applyFont="1" applyBorder="1"/>
    <xf numFmtId="2" fontId="2" fillId="0" borderId="12" xfId="0" applyNumberFormat="1" applyFont="1" applyBorder="1" applyAlignment="1">
      <alignment wrapText="1"/>
    </xf>
    <xf numFmtId="0" fontId="2" fillId="0" borderId="12" xfId="0" applyFont="1" applyBorder="1"/>
    <xf numFmtId="0" fontId="3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 applyBorder="1"/>
    <xf numFmtId="3" fontId="2" fillId="0" borderId="0" xfId="0" applyNumberFormat="1" applyFont="1" applyBorder="1"/>
    <xf numFmtId="3" fontId="36" fillId="0" borderId="0" xfId="0" applyNumberFormat="1" applyFont="1" applyBorder="1"/>
    <xf numFmtId="0" fontId="36" fillId="0" borderId="13" xfId="0" applyFont="1" applyBorder="1" applyAlignment="1">
      <alignment horizontal="left" wrapText="1"/>
    </xf>
    <xf numFmtId="0" fontId="36" fillId="0" borderId="13" xfId="0" applyFont="1" applyBorder="1" applyAlignment="1">
      <alignment wrapText="1"/>
    </xf>
    <xf numFmtId="3" fontId="36" fillId="0" borderId="13" xfId="0" applyNumberFormat="1" applyFont="1" applyBorder="1"/>
    <xf numFmtId="0" fontId="6" fillId="0" borderId="0" xfId="0" applyFont="1" applyBorder="1" applyAlignment="1">
      <alignment horizontal="left" indent="2"/>
    </xf>
    <xf numFmtId="0" fontId="37" fillId="0" borderId="0" xfId="0" applyFont="1" applyAlignment="1">
      <alignment horizontal="left" indent="2"/>
    </xf>
    <xf numFmtId="0" fontId="6" fillId="0" borderId="12" xfId="0" applyFont="1" applyBorder="1" applyAlignment="1">
      <alignment horizontal="left" indent="2"/>
    </xf>
    <xf numFmtId="0" fontId="2" fillId="0" borderId="0" xfId="0" applyFont="1" applyAlignment="1">
      <alignment horizontal="left" indent="1"/>
    </xf>
    <xf numFmtId="0" fontId="40" fillId="0" borderId="0" xfId="0" applyFont="1" applyFill="1" applyAlignment="1">
      <alignment vertical="center"/>
    </xf>
    <xf numFmtId="0" fontId="2" fillId="0" borderId="0" xfId="0" applyFont="1" applyAlignment="1">
      <alignment horizontal="right"/>
    </xf>
    <xf numFmtId="0" fontId="2" fillId="0" borderId="16" xfId="0" applyFont="1" applyBorder="1"/>
    <xf numFmtId="3" fontId="6" fillId="0" borderId="0" xfId="0" applyNumberFormat="1" applyFont="1" applyFill="1" applyBorder="1"/>
    <xf numFmtId="0" fontId="41" fillId="0" borderId="0" xfId="0" applyFont="1" applyFill="1" applyBorder="1"/>
    <xf numFmtId="1" fontId="6" fillId="0" borderId="0" xfId="0" applyNumberFormat="1" applyFont="1" applyFill="1" applyBorder="1"/>
    <xf numFmtId="165" fontId="2" fillId="0" borderId="0" xfId="0" applyNumberFormat="1" applyFont="1"/>
    <xf numFmtId="165" fontId="2" fillId="0" borderId="0" xfId="0" applyNumberFormat="1" applyFont="1" applyFill="1" applyBorder="1" applyAlignment="1">
      <alignment horizontal="right" wrapText="1"/>
    </xf>
    <xf numFmtId="172" fontId="2" fillId="0" borderId="0" xfId="0" applyNumberFormat="1" applyFont="1"/>
    <xf numFmtId="2" fontId="4" fillId="0" borderId="0" xfId="0" applyNumberFormat="1" applyFont="1"/>
    <xf numFmtId="0" fontId="32" fillId="0" borderId="0" xfId="165" applyFont="1"/>
    <xf numFmtId="0" fontId="32" fillId="22" borderId="17" xfId="0" applyFont="1" applyFill="1" applyBorder="1"/>
    <xf numFmtId="0" fontId="2" fillId="0" borderId="20" xfId="0" applyFont="1" applyBorder="1"/>
    <xf numFmtId="0" fontId="2" fillId="0" borderId="15" xfId="0" applyFont="1" applyBorder="1"/>
    <xf numFmtId="0" fontId="2" fillId="0" borderId="20" xfId="0" applyFont="1" applyBorder="1" applyAlignment="1">
      <alignment wrapText="1"/>
    </xf>
    <xf numFmtId="0" fontId="2" fillId="0" borderId="14" xfId="0" applyFont="1" applyBorder="1"/>
    <xf numFmtId="0" fontId="32" fillId="22" borderId="11" xfId="0" applyFont="1" applyFill="1" applyBorder="1"/>
    <xf numFmtId="0" fontId="5" fillId="0" borderId="21" xfId="0" applyFont="1" applyBorder="1" applyAlignment="1">
      <alignment horizontal="right"/>
    </xf>
    <xf numFmtId="0" fontId="5" fillId="0" borderId="21" xfId="0" applyFont="1" applyBorder="1"/>
    <xf numFmtId="0" fontId="37" fillId="0" borderId="0" xfId="165" applyFont="1"/>
    <xf numFmtId="0" fontId="33" fillId="0" borderId="0" xfId="0" applyFont="1" applyBorder="1" applyAlignment="1">
      <alignment horizontal="left"/>
    </xf>
    <xf numFmtId="0" fontId="37" fillId="0" borderId="0" xfId="0" applyFont="1" applyAlignment="1">
      <alignment horizontal="left"/>
    </xf>
    <xf numFmtId="0" fontId="35" fillId="0" borderId="0" xfId="0" applyFont="1" applyAlignment="1">
      <alignment horizontal="left"/>
    </xf>
    <xf numFmtId="0" fontId="2" fillId="0" borderId="0" xfId="0" applyFont="1" applyFill="1"/>
    <xf numFmtId="0" fontId="2" fillId="0" borderId="12" xfId="0" applyFont="1" applyFill="1" applyBorder="1"/>
    <xf numFmtId="164" fontId="2" fillId="0" borderId="0" xfId="0" applyNumberFormat="1" applyFont="1" applyBorder="1"/>
    <xf numFmtId="2" fontId="2" fillId="22" borderId="17" xfId="0" applyNumberFormat="1" applyFont="1" applyFill="1" applyBorder="1"/>
    <xf numFmtId="0" fontId="2" fillId="22" borderId="18" xfId="0" applyFont="1" applyFill="1" applyBorder="1"/>
    <xf numFmtId="2" fontId="2" fillId="0" borderId="20" xfId="0" applyNumberFormat="1" applyFont="1" applyBorder="1"/>
    <xf numFmtId="166" fontId="2" fillId="0" borderId="0" xfId="0" applyNumberFormat="1" applyFont="1" applyBorder="1"/>
    <xf numFmtId="166" fontId="2" fillId="0" borderId="15" xfId="0" applyNumberFormat="1" applyFont="1" applyBorder="1"/>
    <xf numFmtId="2" fontId="2" fillId="0" borderId="16" xfId="0" applyNumberFormat="1" applyFont="1" applyBorder="1"/>
    <xf numFmtId="166" fontId="2" fillId="0" borderId="12" xfId="0" applyNumberFormat="1" applyFont="1" applyBorder="1"/>
    <xf numFmtId="166" fontId="2" fillId="0" borderId="14" xfId="0" applyNumberFormat="1" applyFont="1" applyBorder="1"/>
    <xf numFmtId="0" fontId="2" fillId="22" borderId="18" xfId="0" applyFont="1" applyFill="1" applyBorder="1" applyAlignment="1">
      <alignment horizontal="center" wrapText="1"/>
    </xf>
    <xf numFmtId="172" fontId="2" fillId="0" borderId="0" xfId="0" applyNumberFormat="1" applyFont="1" applyBorder="1"/>
    <xf numFmtId="1" fontId="2" fillId="0" borderId="0" xfId="0" applyNumberFormat="1" applyFont="1" applyBorder="1"/>
    <xf numFmtId="172" fontId="2" fillId="0" borderId="12" xfId="0" applyNumberFormat="1" applyFont="1" applyBorder="1"/>
    <xf numFmtId="0" fontId="2" fillId="22" borderId="19" xfId="0" applyFont="1" applyFill="1" applyBorder="1"/>
    <xf numFmtId="0" fontId="2" fillId="22" borderId="19" xfId="0" applyFont="1" applyFill="1" applyBorder="1" applyAlignment="1">
      <alignment horizontal="center" wrapText="1"/>
    </xf>
    <xf numFmtId="0" fontId="34" fillId="0" borderId="0" xfId="0" applyFont="1" applyAlignment="1">
      <alignment vertical="center"/>
    </xf>
    <xf numFmtId="10" fontId="2" fillId="0" borderId="0" xfId="0" applyNumberFormat="1" applyFont="1" applyBorder="1"/>
    <xf numFmtId="2" fontId="2" fillId="0" borderId="0" xfId="0" applyNumberFormat="1" applyFont="1" applyBorder="1"/>
    <xf numFmtId="3" fontId="5" fillId="0" borderId="21" xfId="0" applyNumberFormat="1" applyFont="1" applyFill="1" applyBorder="1"/>
    <xf numFmtId="166" fontId="5" fillId="0" borderId="21" xfId="0" applyNumberFormat="1" applyFont="1" applyBorder="1"/>
    <xf numFmtId="171" fontId="5" fillId="0" borderId="0" xfId="0" applyNumberFormat="1" applyFont="1"/>
    <xf numFmtId="0" fontId="5" fillId="0" borderId="11" xfId="165" applyFont="1" applyBorder="1"/>
    <xf numFmtId="0" fontId="32" fillId="0" borderId="0" xfId="0" applyFont="1" applyAlignment="1">
      <alignment horizontal="left"/>
    </xf>
    <xf numFmtId="0" fontId="2" fillId="0" borderId="0" xfId="0" applyFont="1" applyFill="1" applyBorder="1" applyAlignment="1">
      <alignment horizontal="right" wrapText="1"/>
    </xf>
    <xf numFmtId="0" fontId="2" fillId="22" borderId="12" xfId="0" applyFont="1" applyFill="1" applyBorder="1" applyAlignment="1">
      <alignment horizontal="center" wrapText="1"/>
    </xf>
    <xf numFmtId="0" fontId="2" fillId="22" borderId="12" xfId="0" applyFont="1" applyFill="1" applyBorder="1"/>
    <xf numFmtId="1" fontId="6" fillId="0" borderId="12" xfId="0" applyNumberFormat="1" applyFont="1" applyFill="1" applyBorder="1"/>
    <xf numFmtId="0" fontId="32" fillId="22" borderId="18" xfId="0" applyFont="1" applyFill="1" applyBorder="1"/>
    <xf numFmtId="164" fontId="5" fillId="0" borderId="0" xfId="1" applyNumberFormat="1" applyFont="1" applyFill="1" applyBorder="1"/>
    <xf numFmtId="0" fontId="5" fillId="0" borderId="0" xfId="0" applyFont="1" applyAlignment="1">
      <alignment horizontal="center"/>
    </xf>
    <xf numFmtId="164" fontId="5" fillId="0" borderId="12" xfId="1" applyNumberFormat="1" applyFont="1" applyFill="1" applyBorder="1"/>
    <xf numFmtId="0" fontId="5" fillId="0" borderId="12" xfId="0" applyFont="1" applyBorder="1" applyAlignment="1">
      <alignment horizontal="center"/>
    </xf>
    <xf numFmtId="3" fontId="5" fillId="0" borderId="0" xfId="0" applyNumberFormat="1" applyFont="1" applyFill="1" applyBorder="1"/>
    <xf numFmtId="168" fontId="5" fillId="0" borderId="0" xfId="0" applyNumberFormat="1" applyFont="1" applyFill="1" applyBorder="1"/>
    <xf numFmtId="165" fontId="5" fillId="0" borderId="0" xfId="1" applyNumberFormat="1" applyFont="1" applyFill="1" applyBorder="1"/>
    <xf numFmtId="0" fontId="5" fillId="0" borderId="0" xfId="0" applyFont="1" applyFill="1" applyBorder="1"/>
    <xf numFmtId="3" fontId="5" fillId="0" borderId="12" xfId="0" applyNumberFormat="1" applyFont="1" applyFill="1" applyBorder="1"/>
    <xf numFmtId="168" fontId="5" fillId="0" borderId="12" xfId="0" applyNumberFormat="1" applyFont="1" applyFill="1" applyBorder="1"/>
    <xf numFmtId="165" fontId="5" fillId="0" borderId="12" xfId="1" applyNumberFormat="1" applyFont="1" applyFill="1" applyBorder="1"/>
    <xf numFmtId="0" fontId="5" fillId="0" borderId="12" xfId="0" applyFont="1" applyFill="1" applyBorder="1"/>
    <xf numFmtId="166" fontId="5" fillId="0" borderId="21" xfId="2" applyNumberFormat="1" applyFont="1" applyBorder="1"/>
    <xf numFmtId="166" fontId="5" fillId="0" borderId="22" xfId="2" applyNumberFormat="1" applyFont="1" applyBorder="1"/>
    <xf numFmtId="0" fontId="43" fillId="0" borderId="0" xfId="0" applyFont="1"/>
    <xf numFmtId="173" fontId="2" fillId="0" borderId="0" xfId="0" applyNumberFormat="1" applyFont="1"/>
    <xf numFmtId="173" fontId="2" fillId="0" borderId="0" xfId="0" applyNumberFormat="1" applyFont="1" applyBorder="1"/>
    <xf numFmtId="173" fontId="2" fillId="0" borderId="12" xfId="0" applyNumberFormat="1" applyFont="1" applyBorder="1"/>
    <xf numFmtId="0" fontId="2" fillId="0" borderId="0" xfId="0" applyFont="1" applyAlignment="1">
      <alignment vertical="center"/>
    </xf>
    <xf numFmtId="0" fontId="33" fillId="0" borderId="0" xfId="0" applyFont="1"/>
    <xf numFmtId="166" fontId="2" fillId="0" borderId="0" xfId="0" applyNumberFormat="1" applyFont="1"/>
    <xf numFmtId="173" fontId="36" fillId="0" borderId="13" xfId="0" applyNumberFormat="1" applyFont="1" applyBorder="1"/>
    <xf numFmtId="0" fontId="5" fillId="0" borderId="11" xfId="165" applyNumberFormat="1" applyFont="1" applyBorder="1" applyAlignment="1">
      <alignment horizontal="left"/>
    </xf>
    <xf numFmtId="168" fontId="2" fillId="0" borderId="0" xfId="0" applyNumberFormat="1" applyFont="1"/>
    <xf numFmtId="168" fontId="2" fillId="0" borderId="12" xfId="0" applyNumberFormat="1" applyFont="1" applyBorder="1"/>
    <xf numFmtId="168" fontId="2" fillId="0" borderId="0" xfId="0" applyNumberFormat="1" applyFont="1" applyBorder="1"/>
    <xf numFmtId="168" fontId="2" fillId="0" borderId="15" xfId="0" applyNumberFormat="1" applyFont="1" applyBorder="1"/>
    <xf numFmtId="168" fontId="2" fillId="0" borderId="14" xfId="0" applyNumberFormat="1" applyFont="1" applyBorder="1"/>
    <xf numFmtId="0" fontId="0" fillId="0" borderId="0" xfId="0" applyAlignment="1">
      <alignment wrapText="1"/>
    </xf>
    <xf numFmtId="0" fontId="32" fillId="22" borderId="19" xfId="0" applyFont="1" applyFill="1" applyBorder="1" applyAlignment="1">
      <alignment horizontal="center" wrapText="1"/>
    </xf>
    <xf numFmtId="0" fontId="2" fillId="0" borderId="0" xfId="0" applyFont="1" applyFill="1" applyBorder="1" applyAlignment="1"/>
    <xf numFmtId="0" fontId="6" fillId="0" borderId="0" xfId="0" applyFont="1" applyFill="1" applyBorder="1" applyAlignment="1"/>
    <xf numFmtId="0" fontId="32" fillId="0" borderId="12" xfId="0" applyFont="1" applyFill="1" applyBorder="1" applyAlignment="1">
      <alignment horizontal="left" wrapText="1"/>
    </xf>
    <xf numFmtId="0" fontId="6" fillId="22" borderId="10" xfId="165" applyFont="1" applyFill="1" applyBorder="1" applyAlignment="1">
      <alignment wrapText="1"/>
    </xf>
    <xf numFmtId="0" fontId="6" fillId="22" borderId="11" xfId="165" applyFont="1" applyFill="1" applyBorder="1" applyAlignment="1">
      <alignment wrapText="1"/>
    </xf>
    <xf numFmtId="0" fontId="5" fillId="0" borderId="0" xfId="0" applyFont="1" applyBorder="1" applyAlignment="1">
      <alignment horizontal="center"/>
    </xf>
    <xf numFmtId="2" fontId="2" fillId="22" borderId="12" xfId="0" applyNumberFormat="1" applyFont="1" applyFill="1" applyBorder="1" applyAlignment="1">
      <alignment wrapText="1"/>
    </xf>
    <xf numFmtId="170" fontId="2" fillId="22" borderId="12" xfId="0" applyNumberFormat="1" applyFont="1" applyFill="1" applyBorder="1"/>
    <xf numFmtId="0" fontId="32" fillId="0" borderId="12" xfId="0" applyFont="1" applyFill="1" applyBorder="1" applyAlignment="1">
      <alignment horizontal="center" wrapText="1"/>
    </xf>
    <xf numFmtId="0" fontId="44" fillId="0" borderId="0" xfId="0" applyFont="1" applyFill="1" applyBorder="1" applyAlignment="1"/>
    <xf numFmtId="0" fontId="45" fillId="0" borderId="0" xfId="0" applyFont="1" applyFill="1" applyBorder="1" applyAlignment="1"/>
    <xf numFmtId="0" fontId="2" fillId="0" borderId="0" xfId="0" applyFont="1" applyAlignment="1"/>
    <xf numFmtId="0" fontId="2" fillId="0" borderId="0" xfId="0" applyFont="1" applyBorder="1" applyAlignment="1"/>
    <xf numFmtId="172" fontId="2" fillId="0" borderId="0" xfId="0" applyNumberFormat="1" applyFont="1" applyAlignment="1"/>
    <xf numFmtId="168" fontId="2" fillId="0" borderId="0" xfId="0" applyNumberFormat="1" applyFont="1" applyAlignment="1"/>
    <xf numFmtId="0" fontId="2" fillId="0" borderId="12" xfId="0" applyFont="1" applyBorder="1" applyAlignment="1"/>
    <xf numFmtId="0" fontId="32" fillId="0" borderId="16" xfId="0" applyFont="1" applyBorder="1" applyAlignment="1"/>
    <xf numFmtId="0" fontId="2" fillId="22" borderId="17" xfId="0" applyFont="1" applyFill="1" applyBorder="1"/>
    <xf numFmtId="174" fontId="2" fillId="0" borderId="14" xfId="0" applyNumberFormat="1" applyFont="1" applyBorder="1"/>
    <xf numFmtId="0" fontId="2" fillId="0" borderId="16" xfId="0" applyFont="1" applyBorder="1" applyAlignment="1">
      <alignment wrapText="1"/>
    </xf>
    <xf numFmtId="175" fontId="2" fillId="0" borderId="12" xfId="0" applyNumberFormat="1" applyFont="1" applyBorder="1"/>
    <xf numFmtId="171" fontId="2" fillId="0" borderId="0" xfId="0" applyNumberFormat="1" applyFont="1"/>
    <xf numFmtId="0" fontId="2" fillId="0" borderId="20" xfId="0" applyFont="1" applyBorder="1" applyAlignment="1">
      <alignment horizontal="left" indent="1"/>
    </xf>
    <xf numFmtId="0" fontId="2" fillId="0" borderId="16" xfId="0" applyFont="1" applyBorder="1" applyAlignment="1">
      <alignment horizontal="left" indent="1"/>
    </xf>
    <xf numFmtId="0" fontId="36" fillId="0" borderId="14" xfId="0" applyFont="1" applyBorder="1"/>
    <xf numFmtId="166" fontId="2" fillId="0" borderId="14" xfId="2" applyNumberFormat="1" applyFont="1" applyBorder="1"/>
    <xf numFmtId="171" fontId="2" fillId="0" borderId="12" xfId="0" applyNumberFormat="1" applyFont="1" applyBorder="1"/>
    <xf numFmtId="1" fontId="2" fillId="22" borderId="12" xfId="0" applyNumberFormat="1" applyFont="1" applyFill="1" applyBorder="1"/>
    <xf numFmtId="167" fontId="2" fillId="0" borderId="0" xfId="0" applyNumberFormat="1" applyFont="1" applyFill="1" applyBorder="1"/>
    <xf numFmtId="168" fontId="2" fillId="0" borderId="20" xfId="0" applyNumberFormat="1" applyFont="1" applyBorder="1"/>
    <xf numFmtId="168" fontId="2" fillId="0" borderId="15" xfId="0" applyNumberFormat="1" applyFont="1" applyBorder="1" applyAlignment="1">
      <alignment wrapText="1"/>
    </xf>
    <xf numFmtId="168" fontId="2" fillId="0" borderId="16" xfId="0" applyNumberFormat="1" applyFont="1" applyBorder="1"/>
    <xf numFmtId="0" fontId="2" fillId="0" borderId="16" xfId="0" applyFont="1" applyFill="1" applyBorder="1"/>
    <xf numFmtId="0" fontId="2" fillId="0" borderId="20" xfId="0" applyFont="1" applyFill="1" applyBorder="1"/>
    <xf numFmtId="9" fontId="2" fillId="0" borderId="0" xfId="2" applyFont="1" applyFill="1" applyBorder="1"/>
    <xf numFmtId="0" fontId="2" fillId="0" borderId="0" xfId="0" quotePrefix="1" applyFont="1"/>
    <xf numFmtId="0" fontId="42" fillId="0" borderId="0" xfId="0" applyFont="1" applyAlignment="1">
      <alignment horizontal="left" indent="1"/>
    </xf>
    <xf numFmtId="0" fontId="35" fillId="0" borderId="0" xfId="0" applyFont="1" applyAlignment="1">
      <alignment horizontal="left" indent="1"/>
    </xf>
    <xf numFmtId="1" fontId="5" fillId="0" borderId="0" xfId="0" applyNumberFormat="1" applyFont="1" applyFill="1" applyBorder="1"/>
    <xf numFmtId="3" fontId="5" fillId="23" borderId="0" xfId="0" applyNumberFormat="1" applyFont="1" applyFill="1" applyBorder="1"/>
    <xf numFmtId="168" fontId="5" fillId="23" borderId="0" xfId="0" applyNumberFormat="1" applyFont="1" applyFill="1" applyBorder="1"/>
    <xf numFmtId="165" fontId="5" fillId="23" borderId="0" xfId="1" applyNumberFormat="1" applyFont="1" applyFill="1" applyBorder="1"/>
    <xf numFmtId="0" fontId="5" fillId="23" borderId="0" xfId="0" applyFont="1" applyFill="1" applyBorder="1"/>
    <xf numFmtId="0" fontId="36" fillId="23" borderId="0" xfId="0" applyFont="1" applyFill="1" applyBorder="1"/>
    <xf numFmtId="1" fontId="5" fillId="0" borderId="0" xfId="0" applyNumberFormat="1" applyFont="1"/>
    <xf numFmtId="0" fontId="34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32" fillId="0" borderId="12" xfId="0" applyFont="1" applyBorder="1" applyAlignment="1">
      <alignment vertical="center" wrapText="1"/>
    </xf>
    <xf numFmtId="0" fontId="0" fillId="0" borderId="12" xfId="0" applyBorder="1" applyAlignment="1">
      <alignment wrapText="1"/>
    </xf>
    <xf numFmtId="0" fontId="32" fillId="0" borderId="0" xfId="0" applyFont="1" applyBorder="1" applyAlignment="1">
      <alignment vertical="center" wrapText="1"/>
    </xf>
    <xf numFmtId="0" fontId="0" fillId="0" borderId="0" xfId="0" applyBorder="1" applyAlignment="1">
      <alignment wrapText="1"/>
    </xf>
  </cellXfs>
  <cellStyles count="167">
    <cellStyle name="20% - Accent1 2" xfId="3"/>
    <cellStyle name="20% - Accent1 3" xfId="4"/>
    <cellStyle name="20% - Accent2 2" xfId="5"/>
    <cellStyle name="20% - Accent2 3" xfId="6"/>
    <cellStyle name="20% - Accent3 2" xfId="7"/>
    <cellStyle name="20% - Accent3 3" xfId="8"/>
    <cellStyle name="20% - Accent4 2" xfId="9"/>
    <cellStyle name="20% - Accent4 3" xfId="10"/>
    <cellStyle name="20% - Accent5 2" xfId="11"/>
    <cellStyle name="20% - Accent5 3" xfId="12"/>
    <cellStyle name="20% - Accent6 2" xfId="13"/>
    <cellStyle name="20% - Accent6 3" xfId="14"/>
    <cellStyle name="40% - Accent1 2" xfId="15"/>
    <cellStyle name="40% - Accent1 3" xfId="16"/>
    <cellStyle name="40% - Accent2 2" xfId="17"/>
    <cellStyle name="40% - Accent2 3" xfId="18"/>
    <cellStyle name="40% - Accent3 2" xfId="19"/>
    <cellStyle name="40% - Accent3 3" xfId="20"/>
    <cellStyle name="40% - Accent4 2" xfId="21"/>
    <cellStyle name="40% - Accent4 3" xfId="22"/>
    <cellStyle name="40% - Accent5 2" xfId="23"/>
    <cellStyle name="40% - Accent5 3" xfId="24"/>
    <cellStyle name="40% - Accent6 2" xfId="25"/>
    <cellStyle name="40% - Accent6 3" xfId="26"/>
    <cellStyle name="60% - Accent1 2" xfId="27"/>
    <cellStyle name="60% - Accent1 3" xfId="28"/>
    <cellStyle name="60% - Accent2 2" xfId="29"/>
    <cellStyle name="60% - Accent2 3" xfId="30"/>
    <cellStyle name="60% - Accent3 2" xfId="31"/>
    <cellStyle name="60% - Accent3 3" xfId="32"/>
    <cellStyle name="60% - Accent4 2" xfId="33"/>
    <cellStyle name="60% - Accent4 3" xfId="34"/>
    <cellStyle name="60% - Accent5 2" xfId="35"/>
    <cellStyle name="60% - Accent5 3" xfId="36"/>
    <cellStyle name="60% - Accent6 2" xfId="37"/>
    <cellStyle name="60% - Accent6 3" xfId="38"/>
    <cellStyle name="Accent1 2" xfId="39"/>
    <cellStyle name="Accent1 3" xfId="40"/>
    <cellStyle name="Accent2 2" xfId="41"/>
    <cellStyle name="Accent2 3" xfId="42"/>
    <cellStyle name="Accent3 2" xfId="43"/>
    <cellStyle name="Accent3 3" xfId="44"/>
    <cellStyle name="Accent4 2" xfId="45"/>
    <cellStyle name="Accent4 3" xfId="46"/>
    <cellStyle name="Accent5 2" xfId="47"/>
    <cellStyle name="Accent5 3" xfId="48"/>
    <cellStyle name="Accent6 2" xfId="49"/>
    <cellStyle name="Accent6 3" xfId="50"/>
    <cellStyle name="Bad 2" xfId="51"/>
    <cellStyle name="Bad 3" xfId="52"/>
    <cellStyle name="Calculation 2" xfId="53"/>
    <cellStyle name="Calculation 3" xfId="54"/>
    <cellStyle name="Check Cell 2" xfId="55"/>
    <cellStyle name="Check Cell 3" xfId="56"/>
    <cellStyle name="Comma 2" xfId="57"/>
    <cellStyle name="Comma 3" xfId="58"/>
    <cellStyle name="Comma 3 2" xfId="59"/>
    <cellStyle name="Comma 4" xfId="60"/>
    <cellStyle name="Comma 5" xfId="61"/>
    <cellStyle name="Comma 6" xfId="62"/>
    <cellStyle name="Comma 7" xfId="166"/>
    <cellStyle name="Currency" xfId="1" builtinId="4"/>
    <cellStyle name="Currency 2" xfId="63"/>
    <cellStyle name="Currency 2 2" xfId="64"/>
    <cellStyle name="Currency 3" xfId="65"/>
    <cellStyle name="Currency 4" xfId="66"/>
    <cellStyle name="Data Field" xfId="67"/>
    <cellStyle name="Data Name" xfId="68"/>
    <cellStyle name="Date/Time" xfId="69"/>
    <cellStyle name="Explanatory Text 2" xfId="70"/>
    <cellStyle name="Explanatory Text 3" xfId="71"/>
    <cellStyle name="Good 2" xfId="72"/>
    <cellStyle name="Good 3" xfId="73"/>
    <cellStyle name="Heading" xfId="74"/>
    <cellStyle name="Heading 1 2" xfId="75"/>
    <cellStyle name="Heading 1 3" xfId="76"/>
    <cellStyle name="Heading 2 2" xfId="77"/>
    <cellStyle name="Heading 2 3" xfId="78"/>
    <cellStyle name="Heading 3 2" xfId="79"/>
    <cellStyle name="Heading 3 3" xfId="80"/>
    <cellStyle name="Heading 4 2" xfId="81"/>
    <cellStyle name="Heading 4 3" xfId="82"/>
    <cellStyle name="Input 2" xfId="83"/>
    <cellStyle name="Input 3" xfId="84"/>
    <cellStyle name="Linked Cell 2" xfId="85"/>
    <cellStyle name="Linked Cell 3" xfId="86"/>
    <cellStyle name="Neutral 2" xfId="87"/>
    <cellStyle name="Neutral 3" xfId="88"/>
    <cellStyle name="Normal" xfId="0" builtinId="0"/>
    <cellStyle name="Normal 10" xfId="89"/>
    <cellStyle name="Normal 11" xfId="90"/>
    <cellStyle name="Normal 12" xfId="91"/>
    <cellStyle name="Normal 13" xfId="92"/>
    <cellStyle name="Normal 14" xfId="93"/>
    <cellStyle name="Normal 15" xfId="94"/>
    <cellStyle name="Normal 16" xfId="95"/>
    <cellStyle name="Normal 17" xfId="96"/>
    <cellStyle name="Normal 18" xfId="97"/>
    <cellStyle name="Normal 19" xfId="98"/>
    <cellStyle name="Normal 2" xfId="99"/>
    <cellStyle name="Normal 2 2" xfId="100"/>
    <cellStyle name="Normal 20" xfId="101"/>
    <cellStyle name="Normal 21" xfId="102"/>
    <cellStyle name="Normal 22" xfId="103"/>
    <cellStyle name="Normal 23" xfId="104"/>
    <cellStyle name="Normal 24" xfId="105"/>
    <cellStyle name="Normal 25" xfId="106"/>
    <cellStyle name="Normal 26" xfId="107"/>
    <cellStyle name="Normal 27" xfId="108"/>
    <cellStyle name="Normal 28" xfId="109"/>
    <cellStyle name="Normal 29" xfId="110"/>
    <cellStyle name="Normal 3" xfId="111"/>
    <cellStyle name="Normal 30" xfId="112"/>
    <cellStyle name="Normal 31" xfId="113"/>
    <cellStyle name="Normal 32" xfId="114"/>
    <cellStyle name="Normal 33" xfId="115"/>
    <cellStyle name="Normal 34" xfId="116"/>
    <cellStyle name="Normal 35" xfId="117"/>
    <cellStyle name="Normal 36" xfId="118"/>
    <cellStyle name="Normal 37" xfId="119"/>
    <cellStyle name="Normal 38" xfId="120"/>
    <cellStyle name="Normal 39" xfId="121"/>
    <cellStyle name="Normal 4" xfId="122"/>
    <cellStyle name="Normal 40" xfId="123"/>
    <cellStyle name="Normal 41" xfId="124"/>
    <cellStyle name="Normal 42" xfId="125"/>
    <cellStyle name="Normal 43" xfId="126"/>
    <cellStyle name="Normal 44" xfId="127"/>
    <cellStyle name="Normal 45" xfId="128"/>
    <cellStyle name="Normal 46" xfId="129"/>
    <cellStyle name="Normal 47" xfId="130"/>
    <cellStyle name="Normal 47 2" xfId="131"/>
    <cellStyle name="Normal 48" xfId="132"/>
    <cellStyle name="Normal 48 2" xfId="133"/>
    <cellStyle name="Normal 49" xfId="134"/>
    <cellStyle name="Normal 5" xfId="135"/>
    <cellStyle name="Normal 50" xfId="136"/>
    <cellStyle name="Normal 51" xfId="137"/>
    <cellStyle name="Normal 52" xfId="138"/>
    <cellStyle name="Normal 53" xfId="139"/>
    <cellStyle name="Normal 54" xfId="165"/>
    <cellStyle name="Normal 6" xfId="140"/>
    <cellStyle name="Normal 7" xfId="141"/>
    <cellStyle name="Normal 8" xfId="142"/>
    <cellStyle name="Normal 9" xfId="143"/>
    <cellStyle name="Note 2" xfId="144"/>
    <cellStyle name="Note 3" xfId="145"/>
    <cellStyle name="Output 2" xfId="146"/>
    <cellStyle name="Output 3" xfId="147"/>
    <cellStyle name="Percent" xfId="2" builtinId="5"/>
    <cellStyle name="Percent 2" xfId="148"/>
    <cellStyle name="Percent 2 2" xfId="149"/>
    <cellStyle name="Percent 3" xfId="150"/>
    <cellStyle name="Percent 3 2" xfId="151"/>
    <cellStyle name="Percent 3 3" xfId="152"/>
    <cellStyle name="Percent 4" xfId="153"/>
    <cellStyle name="Percent 5" xfId="154"/>
    <cellStyle name="Percent 6" xfId="155"/>
    <cellStyle name="Percent 7" xfId="156"/>
    <cellStyle name="Title 2" xfId="157"/>
    <cellStyle name="Title 3" xfId="158"/>
    <cellStyle name="Total 2" xfId="159"/>
    <cellStyle name="Total 3" xfId="160"/>
    <cellStyle name="Warning Text 2" xfId="161"/>
    <cellStyle name="Warning Text 3" xfId="162"/>
    <cellStyle name="표준_ENERGY CONSUMP" xfId="163"/>
    <cellStyle name="常规_海外市场服务网站资料操作BOM" xfId="164"/>
  </cellStyles>
  <dxfs count="24">
    <dxf>
      <fill>
        <patternFill>
          <bgColor theme="2" tint="-9.9948118533890809E-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0000FF"/>
      <color rgb="FF0064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23176145405812898"/>
          <c:y val="3.296678793314415E-2"/>
          <c:w val="0.54370985763674395"/>
          <c:h val="0.9097268288391327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Val val="1"/>
            <c:showCatName val="1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'Summary-Results'!$B$5:$B$9</c:f>
              <c:strCache>
                <c:ptCount val="5"/>
                <c:pt idx="0">
                  <c:v>Electric Resistance</c:v>
                </c:pt>
                <c:pt idx="1">
                  <c:v>HPWH</c:v>
                </c:pt>
                <c:pt idx="2">
                  <c:v>Gas Tank</c:v>
                </c:pt>
                <c:pt idx="3">
                  <c:v>Instant Gas</c:v>
                </c:pt>
                <c:pt idx="4">
                  <c:v>Condensing Gas</c:v>
                </c:pt>
              </c:strCache>
            </c:strRef>
          </c:cat>
          <c:val>
            <c:numRef>
              <c:f>'Summary-Results'!$D$5:$D$9</c:f>
              <c:numCache>
                <c:formatCode>0.0%</c:formatCode>
                <c:ptCount val="5"/>
                <c:pt idx="0">
                  <c:v>1.4505176606874794E-5</c:v>
                </c:pt>
                <c:pt idx="1">
                  <c:v>0.46819850808184627</c:v>
                </c:pt>
                <c:pt idx="2">
                  <c:v>4.1759649641312253E-5</c:v>
                </c:pt>
                <c:pt idx="3">
                  <c:v>0.16124147813558182</c:v>
                </c:pt>
                <c:pt idx="4">
                  <c:v>0.37050374895632365</c:v>
                </c:pt>
              </c:numCache>
            </c:numRef>
          </c:val>
        </c:ser>
        <c:dLbls>
          <c:showVal val="1"/>
        </c:dLbls>
        <c:firstSliceAng val="0"/>
      </c:pieChart>
    </c:plotArea>
    <c:plotVisOnly val="1"/>
    <c:dispBlanksAs val="zero"/>
  </c:chart>
  <c:txPr>
    <a:bodyPr/>
    <a:lstStyle/>
    <a:p>
      <a:pPr>
        <a:defRPr sz="1200"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8.9351880573004541E-2"/>
          <c:y val="0.14265634313752407"/>
          <c:w val="0.66305553558026065"/>
          <c:h val="0.70451904432123702"/>
        </c:manualLayout>
      </c:layout>
      <c:barChart>
        <c:barDir val="col"/>
        <c:grouping val="percentStacked"/>
        <c:ser>
          <c:idx val="0"/>
          <c:order val="0"/>
          <c:tx>
            <c:strRef>
              <c:f>'Summary-Results'!$B$5</c:f>
              <c:strCache>
                <c:ptCount val="1"/>
                <c:pt idx="0">
                  <c:v>Electric Resistance</c:v>
                </c:pt>
              </c:strCache>
            </c:strRef>
          </c:tx>
          <c:cat>
            <c:strRef>
              <c:f>'Summary-Results'!$C$4:$E$4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'Summary-Results'!$C$5:$E$5</c:f>
              <c:numCache>
                <c:formatCode>0.0%</c:formatCode>
                <c:ptCount val="3"/>
                <c:pt idx="0">
                  <c:v>0.99988805053161078</c:v>
                </c:pt>
                <c:pt idx="1">
                  <c:v>1.4505176606874794E-5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'Summary-Results'!$B$6</c:f>
              <c:strCache>
                <c:ptCount val="1"/>
                <c:pt idx="0">
                  <c:v>HPWH</c:v>
                </c:pt>
              </c:strCache>
            </c:strRef>
          </c:tx>
          <c:cat>
            <c:strRef>
              <c:f>'Summary-Results'!$C$4:$E$4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'Summary-Results'!$C$6:$E$6</c:f>
              <c:numCache>
                <c:formatCode>0.0%</c:formatCode>
                <c:ptCount val="3"/>
                <c:pt idx="0">
                  <c:v>5.4499033144598598E-5</c:v>
                </c:pt>
                <c:pt idx="1">
                  <c:v>0.46819850808184627</c:v>
                </c:pt>
                <c:pt idx="2">
                  <c:v>1</c:v>
                </c:pt>
              </c:numCache>
            </c:numRef>
          </c:val>
        </c:ser>
        <c:ser>
          <c:idx val="2"/>
          <c:order val="2"/>
          <c:tx>
            <c:strRef>
              <c:f>'Summary-Results'!$B$7</c:f>
              <c:strCache>
                <c:ptCount val="1"/>
                <c:pt idx="0">
                  <c:v>Gas Tank</c:v>
                </c:pt>
              </c:strCache>
            </c:strRef>
          </c:tx>
          <c:cat>
            <c:strRef>
              <c:f>'Summary-Results'!$C$4:$E$4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'Summary-Results'!$C$7:$E$7</c:f>
              <c:numCache>
                <c:formatCode>0.0%</c:formatCode>
                <c:ptCount val="3"/>
                <c:pt idx="0">
                  <c:v>5.6269694197536478E-9</c:v>
                </c:pt>
                <c:pt idx="1">
                  <c:v>4.1759649641312253E-5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'Summary-Results'!$B$8</c:f>
              <c:strCache>
                <c:ptCount val="1"/>
                <c:pt idx="0">
                  <c:v>Instant Gas</c:v>
                </c:pt>
              </c:strCache>
            </c:strRef>
          </c:tx>
          <c:cat>
            <c:strRef>
              <c:f>'Summary-Results'!$C$4:$E$4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'Summary-Results'!$C$8:$E$8</c:f>
              <c:numCache>
                <c:formatCode>0.0%</c:formatCode>
                <c:ptCount val="3"/>
                <c:pt idx="0">
                  <c:v>1.6289121898841318E-5</c:v>
                </c:pt>
                <c:pt idx="1">
                  <c:v>0.16124147813558182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'Summary-Results'!$B$9</c:f>
              <c:strCache>
                <c:ptCount val="1"/>
                <c:pt idx="0">
                  <c:v>Condensing Gas</c:v>
                </c:pt>
              </c:strCache>
            </c:strRef>
          </c:tx>
          <c:cat>
            <c:strRef>
              <c:f>'Summary-Results'!$C$4:$E$4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'Summary-Results'!$C$9:$E$9</c:f>
              <c:numCache>
                <c:formatCode>0.0%</c:formatCode>
                <c:ptCount val="3"/>
                <c:pt idx="0">
                  <c:v>4.1155686376194218E-5</c:v>
                </c:pt>
                <c:pt idx="1">
                  <c:v>0.37050374895632365</c:v>
                </c:pt>
                <c:pt idx="2">
                  <c:v>0</c:v>
                </c:pt>
              </c:numCache>
            </c:numRef>
          </c:val>
        </c:ser>
        <c:overlap val="100"/>
        <c:axId val="200054656"/>
        <c:axId val="200257536"/>
      </c:barChart>
      <c:catAx>
        <c:axId val="200054656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0257536"/>
        <c:crosses val="autoZero"/>
        <c:auto val="1"/>
        <c:lblAlgn val="ctr"/>
        <c:lblOffset val="100"/>
      </c:catAx>
      <c:valAx>
        <c:axId val="200257536"/>
        <c:scaling>
          <c:orientation val="minMax"/>
        </c:scaling>
        <c:axPos val="l"/>
        <c:majorGridlines/>
        <c:numFmt formatCode="0%" sourceLinked="1"/>
        <c:tickLblPos val="nextTo"/>
        <c:crossAx val="200054656"/>
        <c:crosses val="autoZero"/>
        <c:crossBetween val="between"/>
      </c:valAx>
      <c:spPr>
        <a:scene3d>
          <a:camera prst="orthographicFront"/>
          <a:lightRig rig="threePt" dir="t"/>
        </a:scene3d>
        <a:sp3d>
          <a:bevelT w="19050"/>
          <a:bevelB/>
        </a:sp3d>
      </c:spPr>
    </c:plotArea>
    <c:legend>
      <c:legendPos val="r"/>
      <c:layout>
        <c:manualLayout>
          <c:xMode val="edge"/>
          <c:yMode val="edge"/>
          <c:x val="0.76521318009640027"/>
          <c:y val="0.2977954012049257"/>
          <c:w val="0.22224763701402242"/>
          <c:h val="0.40440888697828098"/>
        </c:manualLayout>
      </c:layout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7.9449639107611589E-2"/>
          <c:y val="0.12927063506374672"/>
          <c:w val="0.65733054461942264"/>
          <c:h val="0.74259782412694597"/>
        </c:manualLayout>
      </c:layout>
      <c:barChart>
        <c:barDir val="col"/>
        <c:grouping val="percentStacked"/>
        <c:ser>
          <c:idx val="0"/>
          <c:order val="0"/>
          <c:tx>
            <c:strRef>
              <c:f>'Summary-Results'!$B$13</c:f>
              <c:strCache>
                <c:ptCount val="1"/>
                <c:pt idx="0">
                  <c:v>Electric Resistance</c:v>
                </c:pt>
              </c:strCache>
            </c:strRef>
          </c:tx>
          <c:cat>
            <c:strRef>
              <c:f>'Summary-Results'!$C$12:$E$12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'Summary-Results'!$C$13:$E$13</c:f>
              <c:numCache>
                <c:formatCode>0.0%</c:formatCode>
                <c:ptCount val="3"/>
                <c:pt idx="0">
                  <c:v>1</c:v>
                </c:pt>
                <c:pt idx="1">
                  <c:v>0.21093434040786296</c:v>
                </c:pt>
                <c:pt idx="2">
                  <c:v>0.21092188755086916</c:v>
                </c:pt>
              </c:numCache>
            </c:numRef>
          </c:val>
        </c:ser>
        <c:ser>
          <c:idx val="1"/>
          <c:order val="1"/>
          <c:tx>
            <c:strRef>
              <c:f>'Summary-Results'!$B$14</c:f>
              <c:strCache>
                <c:ptCount val="1"/>
                <c:pt idx="0">
                  <c:v>HPWH</c:v>
                </c:pt>
              </c:strCache>
            </c:strRef>
          </c:tx>
          <c:cat>
            <c:strRef>
              <c:f>'Summary-Results'!$C$12:$E$12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'Summary-Results'!$C$14:$E$14</c:f>
              <c:numCache>
                <c:formatCode>0.0%</c:formatCode>
                <c:ptCount val="3"/>
                <c:pt idx="0">
                  <c:v>0</c:v>
                </c:pt>
                <c:pt idx="1">
                  <c:v>0.37451795276323424</c:v>
                </c:pt>
                <c:pt idx="2">
                  <c:v>0.78907811244913084</c:v>
                </c:pt>
              </c:numCache>
            </c:numRef>
          </c:val>
        </c:ser>
        <c:ser>
          <c:idx val="2"/>
          <c:order val="2"/>
          <c:tx>
            <c:strRef>
              <c:f>'Summary-Results'!$B$15</c:f>
              <c:strCache>
                <c:ptCount val="1"/>
                <c:pt idx="0">
                  <c:v>Gas Tank</c:v>
                </c:pt>
              </c:strCache>
            </c:strRef>
          </c:tx>
          <c:cat>
            <c:strRef>
              <c:f>'Summary-Results'!$C$12:$E$12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'Summary-Results'!$C$15:$E$15</c:f>
              <c:numCache>
                <c:formatCode>0.0%</c:formatCode>
                <c:ptCount val="3"/>
                <c:pt idx="0">
                  <c:v>0</c:v>
                </c:pt>
                <c:pt idx="1">
                  <c:v>3.523565608742256E-5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'Summary-Results'!$B$16</c:f>
              <c:strCache>
                <c:ptCount val="1"/>
                <c:pt idx="0">
                  <c:v>Instant Gas</c:v>
                </c:pt>
              </c:strCache>
            </c:strRef>
          </c:tx>
          <c:cat>
            <c:strRef>
              <c:f>'Summary-Results'!$C$12:$E$12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'Summary-Results'!$C$16:$E$16</c:f>
              <c:numCache>
                <c:formatCode>0.0%</c:formatCode>
                <c:ptCount val="3"/>
                <c:pt idx="0">
                  <c:v>0</c:v>
                </c:pt>
                <c:pt idx="1">
                  <c:v>0.12275019235825495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'Summary-Results'!$B$17</c:f>
              <c:strCache>
                <c:ptCount val="1"/>
                <c:pt idx="0">
                  <c:v>Condensing Gas</c:v>
                </c:pt>
              </c:strCache>
            </c:strRef>
          </c:tx>
          <c:cat>
            <c:strRef>
              <c:f>'Summary-Results'!$C$12:$E$12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'Summary-Results'!$C$17:$E$17</c:f>
              <c:numCache>
                <c:formatCode>0.0%</c:formatCode>
                <c:ptCount val="3"/>
                <c:pt idx="0">
                  <c:v>0</c:v>
                </c:pt>
                <c:pt idx="1">
                  <c:v>0.29176227881456035</c:v>
                </c:pt>
                <c:pt idx="2">
                  <c:v>0</c:v>
                </c:pt>
              </c:numCache>
            </c:numRef>
          </c:val>
        </c:ser>
        <c:gapWidth val="100"/>
        <c:overlap val="100"/>
        <c:axId val="200355200"/>
        <c:axId val="200516736"/>
      </c:barChart>
      <c:catAx>
        <c:axId val="200355200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0516736"/>
        <c:crosses val="autoZero"/>
        <c:auto val="1"/>
        <c:lblAlgn val="ctr"/>
        <c:lblOffset val="100"/>
      </c:catAx>
      <c:valAx>
        <c:axId val="200516736"/>
        <c:scaling>
          <c:orientation val="minMax"/>
        </c:scaling>
        <c:axPos val="l"/>
        <c:majorGridlines/>
        <c:numFmt formatCode="0%" sourceLinked="1"/>
        <c:tickLblPos val="nextTo"/>
        <c:crossAx val="200355200"/>
        <c:crosses val="autoZero"/>
        <c:crossBetween val="between"/>
      </c:valAx>
    </c:plotArea>
    <c:legend>
      <c:legendPos val="r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0075226817120301E-2"/>
          <c:y val="0.10445850439979629"/>
          <c:w val="0.69082274164548363"/>
          <c:h val="0.81140495977045657"/>
        </c:manualLayout>
      </c:layout>
      <c:barChart>
        <c:barDir val="col"/>
        <c:grouping val="percentStacked"/>
        <c:ser>
          <c:idx val="0"/>
          <c:order val="0"/>
          <c:tx>
            <c:strRef>
              <c:f>'Summary-Results'!$B$21</c:f>
              <c:strCache>
                <c:ptCount val="1"/>
                <c:pt idx="0">
                  <c:v>Electric Resistance</c:v>
                </c:pt>
              </c:strCache>
            </c:strRef>
          </c:tx>
          <c:cat>
            <c:numRef>
              <c:f>'Summary-Results'!$C$20:$G$20</c:f>
              <c:numCache>
                <c:formatCode>General</c:formatCode>
                <c:ptCount val="5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</c:numCache>
            </c:numRef>
          </c:cat>
          <c:val>
            <c:numRef>
              <c:f>'Summary-Results'!$C$21:$G$21</c:f>
              <c:numCache>
                <c:formatCode>0.0%</c:formatCode>
                <c:ptCount val="5"/>
                <c:pt idx="0">
                  <c:v>0.92857272808737223</c:v>
                </c:pt>
                <c:pt idx="1">
                  <c:v>0.64105632052809958</c:v>
                </c:pt>
                <c:pt idx="2">
                  <c:v>0.44256574886067074</c:v>
                </c:pt>
                <c:pt idx="3">
                  <c:v>0.30553521215605828</c:v>
                </c:pt>
                <c:pt idx="4">
                  <c:v>0.21093434040786296</c:v>
                </c:pt>
              </c:numCache>
            </c:numRef>
          </c:val>
        </c:ser>
        <c:ser>
          <c:idx val="1"/>
          <c:order val="1"/>
          <c:tx>
            <c:strRef>
              <c:f>'Summary-Results'!$B$22</c:f>
              <c:strCache>
                <c:ptCount val="1"/>
                <c:pt idx="0">
                  <c:v>HPWH</c:v>
                </c:pt>
              </c:strCache>
            </c:strRef>
          </c:tx>
          <c:cat>
            <c:numRef>
              <c:f>'Summary-Results'!$C$20:$G$20</c:f>
              <c:numCache>
                <c:formatCode>General</c:formatCode>
                <c:ptCount val="5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</c:numCache>
            </c:numRef>
          </c:cat>
          <c:val>
            <c:numRef>
              <c:f>'Summary-Results'!$C$22:$G$22</c:f>
              <c:numCache>
                <c:formatCode>0.0%</c:formatCode>
                <c:ptCount val="5"/>
                <c:pt idx="0">
                  <c:v>3.4706631969354355E-2</c:v>
                </c:pt>
                <c:pt idx="1">
                  <c:v>0.17352359850963445</c:v>
                </c:pt>
                <c:pt idx="2">
                  <c:v>0.26796352471195073</c:v>
                </c:pt>
                <c:pt idx="3">
                  <c:v>0.33179227922334403</c:v>
                </c:pt>
                <c:pt idx="4">
                  <c:v>0.37451795276323424</c:v>
                </c:pt>
              </c:numCache>
            </c:numRef>
          </c:val>
        </c:ser>
        <c:ser>
          <c:idx val="2"/>
          <c:order val="2"/>
          <c:tx>
            <c:strRef>
              <c:f>'Summary-Results'!$B$23</c:f>
              <c:strCache>
                <c:ptCount val="1"/>
                <c:pt idx="0">
                  <c:v>Gas Tank</c:v>
                </c:pt>
              </c:strCache>
            </c:strRef>
          </c:tx>
          <c:cat>
            <c:numRef>
              <c:f>'Summary-Results'!$C$20:$G$20</c:f>
              <c:numCache>
                <c:formatCode>General</c:formatCode>
                <c:ptCount val="5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</c:numCache>
            </c:numRef>
          </c:cat>
          <c:val>
            <c:numRef>
              <c:f>'Summary-Results'!$C$23:$G$23</c:f>
              <c:numCache>
                <c:formatCode>0.0%</c:formatCode>
                <c:ptCount val="5"/>
                <c:pt idx="0">
                  <c:v>3.5593016846166253E-6</c:v>
                </c:pt>
                <c:pt idx="1">
                  <c:v>1.7471218242662907E-5</c:v>
                </c:pt>
                <c:pt idx="2">
                  <c:v>2.6431409654192107E-5</c:v>
                </c:pt>
                <c:pt idx="3">
                  <c:v>3.1994789588331512E-5</c:v>
                </c:pt>
                <c:pt idx="4">
                  <c:v>3.523565608742256E-5</c:v>
                </c:pt>
              </c:numCache>
            </c:numRef>
          </c:val>
        </c:ser>
        <c:ser>
          <c:idx val="3"/>
          <c:order val="3"/>
          <c:tx>
            <c:strRef>
              <c:f>'Summary-Results'!$B$24</c:f>
              <c:strCache>
                <c:ptCount val="1"/>
                <c:pt idx="0">
                  <c:v>Instant Gas</c:v>
                </c:pt>
              </c:strCache>
            </c:strRef>
          </c:tx>
          <c:cat>
            <c:numRef>
              <c:f>'Summary-Results'!$C$20:$G$20</c:f>
              <c:numCache>
                <c:formatCode>General</c:formatCode>
                <c:ptCount val="5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</c:numCache>
            </c:numRef>
          </c:cat>
          <c:val>
            <c:numRef>
              <c:f>'Summary-Results'!$C$24:$G$24</c:f>
              <c:numCache>
                <c:formatCode>0.0%</c:formatCode>
                <c:ptCount val="5"/>
                <c:pt idx="0">
                  <c:v>1.0443375556823457E-2</c:v>
                </c:pt>
                <c:pt idx="1">
                  <c:v>5.3179625850975229E-2</c:v>
                </c:pt>
                <c:pt idx="2">
                  <c:v>8.3818711478587354E-2</c:v>
                </c:pt>
                <c:pt idx="3">
                  <c:v>0.10613984001625297</c:v>
                </c:pt>
                <c:pt idx="4">
                  <c:v>0.12275019235825495</c:v>
                </c:pt>
              </c:numCache>
            </c:numRef>
          </c:val>
        </c:ser>
        <c:ser>
          <c:idx val="4"/>
          <c:order val="4"/>
          <c:tx>
            <c:strRef>
              <c:f>'Summary-Results'!$B$25</c:f>
              <c:strCache>
                <c:ptCount val="1"/>
                <c:pt idx="0">
                  <c:v>Condensing Gas</c:v>
                </c:pt>
              </c:strCache>
            </c:strRef>
          </c:tx>
          <c:cat>
            <c:numRef>
              <c:f>'Summary-Results'!$C$20:$G$20</c:f>
              <c:numCache>
                <c:formatCode>General</c:formatCode>
                <c:ptCount val="5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</c:numCache>
            </c:numRef>
          </c:cat>
          <c:val>
            <c:numRef>
              <c:f>'Summary-Results'!$C$25:$G$25</c:f>
              <c:numCache>
                <c:formatCode>0.0%</c:formatCode>
                <c:ptCount val="5"/>
                <c:pt idx="0">
                  <c:v>2.6273705084765314E-2</c:v>
                </c:pt>
                <c:pt idx="1">
                  <c:v>0.13222298389304799</c:v>
                </c:pt>
                <c:pt idx="2">
                  <c:v>0.20562558353913701</c:v>
                </c:pt>
                <c:pt idx="3">
                  <c:v>0.25650067381475644</c:v>
                </c:pt>
                <c:pt idx="4">
                  <c:v>0.29176227881456035</c:v>
                </c:pt>
              </c:numCache>
            </c:numRef>
          </c:val>
        </c:ser>
        <c:overlap val="100"/>
        <c:axId val="201267840"/>
        <c:axId val="201277824"/>
      </c:barChart>
      <c:catAx>
        <c:axId val="201267840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01277824"/>
        <c:crosses val="autoZero"/>
        <c:auto val="1"/>
        <c:lblAlgn val="ctr"/>
        <c:lblOffset val="100"/>
      </c:catAx>
      <c:valAx>
        <c:axId val="201277824"/>
        <c:scaling>
          <c:orientation val="minMax"/>
        </c:scaling>
        <c:axPos val="l"/>
        <c:majorGridlines/>
        <c:numFmt formatCode="0%" sourceLinked="1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01267840"/>
        <c:crosses val="autoZero"/>
        <c:crossBetween val="between"/>
      </c:valAx>
    </c:plotArea>
    <c:legend>
      <c:legendPos val="r"/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1650491362998248E-2"/>
          <c:y val="0.11366526552601988"/>
          <c:w val="0.63835846100632754"/>
          <c:h val="0.8069136094830256"/>
        </c:manualLayout>
      </c:layout>
      <c:barChart>
        <c:barDir val="col"/>
        <c:grouping val="clustered"/>
        <c:ser>
          <c:idx val="0"/>
          <c:order val="0"/>
          <c:tx>
            <c:strRef>
              <c:f>'Summary-Results'!$B$37</c:f>
              <c:strCache>
                <c:ptCount val="1"/>
                <c:pt idx="0">
                  <c:v>Consumer's Change in Natural Gas Usage</c:v>
                </c:pt>
              </c:strCache>
            </c:strRef>
          </c:tx>
          <c:cat>
            <c:numRef>
              <c:f>'Summary-Results'!$C$36:$G$36</c:f>
              <c:numCache>
                <c:formatCode>General</c:formatCode>
                <c:ptCount val="5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</c:numCache>
            </c:numRef>
          </c:cat>
          <c:val>
            <c:numRef>
              <c:f>'Summary-Results'!$C$37:$G$37</c:f>
              <c:numCache>
                <c:formatCode>0.000</c:formatCode>
                <c:ptCount val="5"/>
                <c:pt idx="0">
                  <c:v>-4.0384102141470162E-3</c:v>
                </c:pt>
                <c:pt idx="1">
                  <c:v>-2.0389856183014279E-2</c:v>
                </c:pt>
                <c:pt idx="2">
                  <c:v>-3.1828273792426913E-2</c:v>
                </c:pt>
                <c:pt idx="3">
                  <c:v>-3.9871988394481077E-2</c:v>
                </c:pt>
                <c:pt idx="4">
                  <c:v>-4.5568682889587271E-2</c:v>
                </c:pt>
              </c:numCache>
            </c:numRef>
          </c:val>
        </c:ser>
        <c:ser>
          <c:idx val="1"/>
          <c:order val="1"/>
          <c:tx>
            <c:strRef>
              <c:f>'Summary-Results'!$B$38</c:f>
              <c:strCache>
                <c:ptCount val="1"/>
                <c:pt idx="0">
                  <c:v>Utility Change in Natural Gas Usage</c:v>
                </c:pt>
              </c:strCache>
            </c:strRef>
          </c:tx>
          <c:cat>
            <c:numRef>
              <c:f>'Summary-Results'!$C$36:$G$36</c:f>
              <c:numCache>
                <c:formatCode>General</c:formatCode>
                <c:ptCount val="5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</c:numCache>
            </c:numRef>
          </c:cat>
          <c:val>
            <c:numRef>
              <c:f>'Summary-Results'!$C$38:$G$38</c:f>
              <c:numCache>
                <c:formatCode>0.000</c:formatCode>
                <c:ptCount val="5"/>
                <c:pt idx="0">
                  <c:v>3.0686592643098132E-3</c:v>
                </c:pt>
                <c:pt idx="1">
                  <c:v>1.5495145223755193E-2</c:v>
                </c:pt>
                <c:pt idx="2">
                  <c:v>2.4190453808484176E-2</c:v>
                </c:pt>
                <c:pt idx="3">
                  <c:v>3.0307805859279332E-2</c:v>
                </c:pt>
                <c:pt idx="4">
                  <c:v>3.4642951088940367E-2</c:v>
                </c:pt>
              </c:numCache>
            </c:numRef>
          </c:val>
        </c:ser>
        <c:ser>
          <c:idx val="2"/>
          <c:order val="2"/>
          <c:tx>
            <c:strRef>
              <c:f>'Summary-Results'!$B$39</c:f>
              <c:strCache>
                <c:ptCount val="1"/>
                <c:pt idx="0">
                  <c:v>Net Change in Natural Gas Usage</c:v>
                </c:pt>
              </c:strCache>
            </c:strRef>
          </c:tx>
          <c:cat>
            <c:numRef>
              <c:f>'Summary-Results'!$C$36:$G$36</c:f>
              <c:numCache>
                <c:formatCode>General</c:formatCode>
                <c:ptCount val="5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</c:numCache>
            </c:numRef>
          </c:cat>
          <c:val>
            <c:numRef>
              <c:f>'Summary-Results'!$C$39:$G$39</c:f>
              <c:numCache>
                <c:formatCode>0.000</c:formatCode>
                <c:ptCount val="5"/>
                <c:pt idx="0">
                  <c:v>-9.6975094983720294E-4</c:v>
                </c:pt>
                <c:pt idx="1">
                  <c:v>-4.8947109592590854E-3</c:v>
                </c:pt>
                <c:pt idx="2">
                  <c:v>-7.6378199839427369E-3</c:v>
                </c:pt>
                <c:pt idx="3">
                  <c:v>-9.564182535201745E-3</c:v>
                </c:pt>
                <c:pt idx="4">
                  <c:v>-1.0925731800646904E-2</c:v>
                </c:pt>
              </c:numCache>
            </c:numRef>
          </c:val>
        </c:ser>
        <c:axId val="202249728"/>
        <c:axId val="202343168"/>
      </c:barChart>
      <c:catAx>
        <c:axId val="202249728"/>
        <c:scaling>
          <c:orientation val="minMax"/>
        </c:scaling>
        <c:axPos val="b"/>
        <c:numFmt formatCode="General" sourceLinked="1"/>
        <c:tickLblPos val="low"/>
        <c:txPr>
          <a:bodyPr rot="0" vert="horz" anchor="ctr" anchorCtr="1"/>
          <a:lstStyle/>
          <a:p>
            <a:pPr>
              <a:defRPr sz="1200"/>
            </a:pPr>
            <a:endParaRPr lang="en-US"/>
          </a:p>
        </c:txPr>
        <c:crossAx val="202343168"/>
        <c:crosses val="autoZero"/>
        <c:auto val="1"/>
        <c:lblAlgn val="ctr"/>
        <c:lblOffset val="100"/>
      </c:catAx>
      <c:valAx>
        <c:axId val="202343168"/>
        <c:scaling>
          <c:orientation val="minMax"/>
        </c:scaling>
        <c:axPos val="l"/>
        <c:majorGridlines/>
        <c:numFmt formatCode="0.0" sourceLinked="0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22497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110439683411665"/>
          <c:y val="0.30648932041389582"/>
          <c:w val="0.27889560316588352"/>
          <c:h val="0.4110986126734158"/>
        </c:manualLayout>
      </c:layout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57</xdr:row>
      <xdr:rowOff>9523</xdr:rowOff>
    </xdr:from>
    <xdr:to>
      <xdr:col>11</xdr:col>
      <xdr:colOff>0</xdr:colOff>
      <xdr:row>73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28574</xdr:colOff>
      <xdr:row>3</xdr:row>
      <xdr:rowOff>9524</xdr:rowOff>
    </xdr:from>
    <xdr:to>
      <xdr:col>11</xdr:col>
      <xdr:colOff>9525</xdr:colOff>
      <xdr:row>18</xdr:row>
      <xdr:rowOff>190500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28575</xdr:colOff>
      <xdr:row>21</xdr:row>
      <xdr:rowOff>0</xdr:rowOff>
    </xdr:from>
    <xdr:to>
      <xdr:col>11</xdr:col>
      <xdr:colOff>28575</xdr:colOff>
      <xdr:row>36</xdr:row>
      <xdr:rowOff>171450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28574</xdr:colOff>
      <xdr:row>39</xdr:row>
      <xdr:rowOff>9525</xdr:rowOff>
    </xdr:from>
    <xdr:to>
      <xdr:col>10</xdr:col>
      <xdr:colOff>590549</xdr:colOff>
      <xdr:row>54</xdr:row>
      <xdr:rowOff>219075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19049</xdr:colOff>
      <xdr:row>75</xdr:row>
      <xdr:rowOff>19049</xdr:rowOff>
    </xdr:from>
    <xdr:to>
      <xdr:col>11</xdr:col>
      <xdr:colOff>66674</xdr:colOff>
      <xdr:row>91</xdr:row>
      <xdr:rowOff>9524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0.22819</cdr:x>
      <cdr:y>0.12722</cdr:y>
    </cdr:from>
    <cdr:to>
      <cdr:x>0.74664</cdr:x>
      <cdr:y>0.23373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295400" y="409575"/>
          <a:ext cx="2943225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P75"/>
  <sheetViews>
    <sheetView workbookViewId="0">
      <selection activeCell="M17" sqref="M17"/>
    </sheetView>
  </sheetViews>
  <sheetFormatPr defaultColWidth="9.140625" defaultRowHeight="18.75"/>
  <cols>
    <col min="1" max="1" width="5.5703125" style="121" customWidth="1"/>
    <col min="2" max="16384" width="9.140625" style="121"/>
  </cols>
  <sheetData>
    <row r="1" spans="1:11">
      <c r="A1" s="147" t="str">
        <f>CONCATENATE("Segment:  ",State,", Single Family, ", SpaceHeat, ", ", TankSize,", ", StartWH, " is starting water heater")</f>
        <v>Segment:  Idaho, Single Family, Gas FAF, &gt;55 Gallons, Electric Resistance is starting water heater</v>
      </c>
    </row>
    <row r="3" spans="1:11" ht="39" customHeight="1">
      <c r="B3" s="182" t="str">
        <f>CONCATENATE("Marginal Market Shares (%) - ",State,", Single Family, ", SpaceHeat, ", ", TankSize,", ", StartWH, " is starting water heater")</f>
        <v>Marginal Market Shares (%) - Idaho, Single Family, Gas FAF, &gt;55 Gallons, Electric Resistance is starting water heater</v>
      </c>
      <c r="C3" s="183"/>
      <c r="D3" s="183"/>
      <c r="E3" s="183"/>
      <c r="F3" s="183"/>
      <c r="G3" s="183"/>
      <c r="H3" s="183"/>
      <c r="I3" s="183"/>
      <c r="J3" s="183"/>
      <c r="K3" s="183"/>
    </row>
    <row r="18" spans="2:16">
      <c r="M18" s="94"/>
    </row>
    <row r="21" spans="2:16" ht="36" customHeight="1">
      <c r="B21" s="182" t="str">
        <f>CONCATENATE("Average Market Shares by Scenario (%) - ",State,", Single Family, ", SpaceHeat, ", ", TankSize,", ", StartWH, " is starting water heater")</f>
        <v>Average Market Shares by Scenario (%) - Idaho, Single Family, Gas FAF, &gt;55 Gallons, Electric Resistance is starting water heater</v>
      </c>
      <c r="C21" s="183"/>
      <c r="D21" s="183"/>
      <c r="E21" s="183"/>
      <c r="F21" s="183"/>
      <c r="G21" s="183"/>
      <c r="H21" s="183"/>
      <c r="I21" s="183"/>
      <c r="J21" s="183"/>
      <c r="K21" s="183"/>
    </row>
    <row r="29" spans="2:16">
      <c r="P29" s="94"/>
    </row>
    <row r="39" spans="2:11" ht="36" customHeight="1">
      <c r="B39" s="182" t="str">
        <f>CONCATENATE("BAU Average Market Shares (%) - ",State,", Single Family, ", SpaceHeat, ", ", TankSize,", ", StartWH, " is starting water heater")</f>
        <v>BAU Average Market Shares (%) - Idaho, Single Family, Gas FAF, &gt;55 Gallons, Electric Resistance is starting water heater</v>
      </c>
      <c r="C39" s="183"/>
      <c r="D39" s="183"/>
      <c r="E39" s="183"/>
      <c r="F39" s="183"/>
      <c r="G39" s="183"/>
      <c r="H39" s="183"/>
      <c r="I39" s="183"/>
      <c r="J39" s="183"/>
      <c r="K39" s="183"/>
    </row>
    <row r="57" spans="2:11" ht="38.25" customHeight="1">
      <c r="B57" s="182" t="str">
        <f>CONCATENATE("BAU Average Market Shares, 2035 (%) - ",State,", Single Family, ", SpaceHeat, ", ", TankSize,", ", StartWH, " is starting water heater")</f>
        <v>BAU Average Market Shares, 2035 (%) - Idaho, Single Family, Gas FAF, &gt;55 Gallons, Electric Resistance is starting water heater</v>
      </c>
      <c r="C57" s="183"/>
      <c r="D57" s="183"/>
      <c r="E57" s="183"/>
      <c r="F57" s="183"/>
      <c r="G57" s="183"/>
      <c r="H57" s="183"/>
      <c r="I57" s="183"/>
      <c r="J57" s="183"/>
      <c r="K57" s="183"/>
    </row>
    <row r="75" spans="2:12" ht="40.5" customHeight="1">
      <c r="B75" s="182" t="str">
        <f>CONCATENATE('Input Assumptions'!B$9," Change in Natural Gas Usage Least Cost vs BAU Case (Mcf/Yr) -  ",'Input Assumptions'!B$11," ",'Input Assumptions'!B$12,", ",'Input Assumptions'!B$10," Space Heat")</f>
        <v>Idaho Change in Natural Gas Usage Least Cost vs BAU Case (Mcf/Yr) -  Electric Resistance &gt;55 Gallons, Gas FAF Space Heat</v>
      </c>
      <c r="C75" s="183"/>
      <c r="D75" s="183"/>
      <c r="E75" s="183"/>
      <c r="F75" s="183"/>
      <c r="G75" s="183"/>
      <c r="H75" s="183"/>
      <c r="I75" s="183"/>
      <c r="J75" s="183"/>
      <c r="K75" s="183"/>
      <c r="L75" s="135"/>
    </row>
  </sheetData>
  <mergeCells count="5">
    <mergeCell ref="B75:K75"/>
    <mergeCell ref="B3:K3"/>
    <mergeCell ref="B21:K21"/>
    <mergeCell ref="B39:K39"/>
    <mergeCell ref="B57:K57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W81"/>
  <sheetViews>
    <sheetView workbookViewId="0">
      <selection activeCell="A2" sqref="A2"/>
    </sheetView>
  </sheetViews>
  <sheetFormatPr defaultColWidth="9.140625" defaultRowHeight="15.75"/>
  <cols>
    <col min="1" max="1" width="28.7109375" style="9" customWidth="1"/>
    <col min="2" max="11" width="11.7109375" style="9" customWidth="1"/>
    <col min="12" max="31" width="13.28515625" style="9" bestFit="1" customWidth="1"/>
    <col min="32" max="16384" width="9.140625" style="9"/>
  </cols>
  <sheetData>
    <row r="1" spans="1:23">
      <c r="A1" s="147" t="str">
        <f>CONCATENATE("Segment:  ",State,", Single Family, ", SpaceHeat, ", ", TankSize,", ", StartWH, " is starting water heater")</f>
        <v>Segment:  Idaho, Single Family, Gas FAF, &gt;55 Gallons, Electric Resistance is starting water heater</v>
      </c>
    </row>
    <row r="3" spans="1:23">
      <c r="A3" s="12" t="s">
        <v>126</v>
      </c>
      <c r="H3" s="14"/>
      <c r="I3" s="14"/>
    </row>
    <row r="4" spans="1:23" ht="31.5">
      <c r="A4" s="65"/>
      <c r="B4" s="88" t="s">
        <v>125</v>
      </c>
      <c r="C4" s="93" t="s">
        <v>78</v>
      </c>
      <c r="D4" s="44"/>
      <c r="E4" s="44"/>
      <c r="F4" s="44"/>
      <c r="G4" s="44"/>
      <c r="H4" s="44"/>
    </row>
    <row r="5" spans="1:23">
      <c r="A5" s="159" t="s">
        <v>40</v>
      </c>
      <c r="B5" s="123">
        <f>NPV(DiscountRate,B12:W12)</f>
        <v>42.7745723264619</v>
      </c>
      <c r="C5" s="67"/>
      <c r="D5" s="44"/>
      <c r="E5" s="44"/>
      <c r="F5" s="44"/>
      <c r="G5" s="44"/>
      <c r="H5" s="44"/>
    </row>
    <row r="6" spans="1:23">
      <c r="A6" s="160" t="s">
        <v>96</v>
      </c>
      <c r="B6" s="124">
        <f>NPV(DiscountRate,B49:W49)</f>
        <v>39.187862756428586</v>
      </c>
      <c r="C6" s="161"/>
      <c r="D6" s="44"/>
      <c r="E6" s="44"/>
      <c r="F6" s="44"/>
      <c r="G6" s="44"/>
      <c r="H6" s="44"/>
    </row>
    <row r="7" spans="1:23">
      <c r="A7" s="160" t="s">
        <v>76</v>
      </c>
      <c r="B7" s="124">
        <f>B5-B6</f>
        <v>3.5867095700333138</v>
      </c>
      <c r="C7" s="162">
        <f>1-B6/B5</f>
        <v>8.3851441988923026E-2</v>
      </c>
    </row>
    <row r="8" spans="1:23">
      <c r="A8" s="53"/>
      <c r="E8" s="28"/>
    </row>
    <row r="9" spans="1:23">
      <c r="A9" s="12"/>
    </row>
    <row r="10" spans="1:23">
      <c r="A10" s="12" t="s">
        <v>111</v>
      </c>
    </row>
    <row r="11" spans="1:23">
      <c r="A11" s="14" t="str">
        <f t="shared" ref="A11:W11" si="0">A20</f>
        <v>Water Heat Ending</v>
      </c>
      <c r="B11" s="9">
        <f t="shared" si="0"/>
        <v>2014</v>
      </c>
      <c r="C11" s="9">
        <f t="shared" si="0"/>
        <v>2015</v>
      </c>
      <c r="D11" s="9">
        <f t="shared" si="0"/>
        <v>2016</v>
      </c>
      <c r="E11" s="9">
        <f t="shared" si="0"/>
        <v>2017</v>
      </c>
      <c r="F11" s="9">
        <f t="shared" si="0"/>
        <v>2018</v>
      </c>
      <c r="G11" s="9">
        <f t="shared" si="0"/>
        <v>2019</v>
      </c>
      <c r="H11" s="9">
        <f t="shared" si="0"/>
        <v>2020</v>
      </c>
      <c r="I11" s="9">
        <f t="shared" si="0"/>
        <v>2021</v>
      </c>
      <c r="J11" s="9">
        <f t="shared" si="0"/>
        <v>2022</v>
      </c>
      <c r="K11" s="9">
        <f t="shared" si="0"/>
        <v>2023</v>
      </c>
      <c r="L11" s="9">
        <f t="shared" si="0"/>
        <v>2024</v>
      </c>
      <c r="M11" s="9">
        <f t="shared" si="0"/>
        <v>2025</v>
      </c>
      <c r="N11" s="9">
        <f t="shared" si="0"/>
        <v>2026</v>
      </c>
      <c r="O11" s="9">
        <f t="shared" si="0"/>
        <v>2027</v>
      </c>
      <c r="P11" s="9">
        <f t="shared" si="0"/>
        <v>2028</v>
      </c>
      <c r="Q11" s="9">
        <f t="shared" si="0"/>
        <v>2029</v>
      </c>
      <c r="R11" s="9">
        <f t="shared" si="0"/>
        <v>2030</v>
      </c>
      <c r="S11" s="9">
        <f t="shared" si="0"/>
        <v>2031</v>
      </c>
      <c r="T11" s="9">
        <f t="shared" si="0"/>
        <v>2032</v>
      </c>
      <c r="U11" s="9">
        <f t="shared" si="0"/>
        <v>2033</v>
      </c>
      <c r="V11" s="9">
        <f t="shared" si="0"/>
        <v>2034</v>
      </c>
      <c r="W11" s="9">
        <f t="shared" si="0"/>
        <v>2035</v>
      </c>
    </row>
    <row r="12" spans="1:23" ht="16.5" thickBot="1">
      <c r="A12" s="48" t="s">
        <v>45</v>
      </c>
      <c r="B12" s="128">
        <f t="shared" ref="B12:W12" si="1">SUM(B13:B17)</f>
        <v>2.1378318061057509</v>
      </c>
      <c r="C12" s="128">
        <f t="shared" si="1"/>
        <v>3.2047386592065195</v>
      </c>
      <c r="D12" s="128">
        <f t="shared" si="1"/>
        <v>3.1674659623313466</v>
      </c>
      <c r="E12" s="128">
        <f t="shared" si="1"/>
        <v>3.1334806274206439</v>
      </c>
      <c r="F12" s="128">
        <f t="shared" si="1"/>
        <v>3.102606635079189</v>
      </c>
      <c r="G12" s="128">
        <f t="shared" si="1"/>
        <v>3.0746782939306563</v>
      </c>
      <c r="H12" s="128">
        <f t="shared" si="1"/>
        <v>3.0495396562392649</v>
      </c>
      <c r="I12" s="128">
        <f t="shared" si="1"/>
        <v>3.0270439663072439</v>
      </c>
      <c r="J12" s="128">
        <f t="shared" si="1"/>
        <v>3.0070531398499436</v>
      </c>
      <c r="K12" s="128">
        <f t="shared" si="1"/>
        <v>2.9894372726462568</v>
      </c>
      <c r="L12" s="128">
        <f t="shared" si="1"/>
        <v>2.974074176853041</v>
      </c>
      <c r="M12" s="128">
        <f t="shared" si="1"/>
        <v>2.9608489434584726</v>
      </c>
      <c r="N12" s="128">
        <f t="shared" si="1"/>
        <v>2.9496535294311994</v>
      </c>
      <c r="O12" s="128">
        <f t="shared" si="1"/>
        <v>2.9403863681997859</v>
      </c>
      <c r="P12" s="128">
        <f t="shared" si="1"/>
        <v>2.9329520021705746</v>
      </c>
      <c r="Q12" s="128">
        <f t="shared" si="1"/>
        <v>2.9272607360619327</v>
      </c>
      <c r="R12" s="128">
        <f t="shared" si="1"/>
        <v>2.9232283098989931</v>
      </c>
      <c r="S12" s="128">
        <f t="shared" si="1"/>
        <v>2.9207755905757491</v>
      </c>
      <c r="T12" s="128">
        <f t="shared" si="1"/>
        <v>2.919828280950767</v>
      </c>
      <c r="U12" s="128">
        <f t="shared" si="1"/>
        <v>2.9203166454991285</v>
      </c>
      <c r="V12" s="128">
        <f t="shared" si="1"/>
        <v>2.9221752515965074</v>
      </c>
      <c r="W12" s="128">
        <f t="shared" si="1"/>
        <v>2.9253427255618529</v>
      </c>
    </row>
    <row r="13" spans="1:23" ht="16.5" thickTop="1">
      <c r="A13" s="37" t="str">
        <f>A22</f>
        <v>Electric Resistance</v>
      </c>
      <c r="B13" s="122">
        <f t="shared" ref="B13:W13" si="2">(B22+B31+B40)</f>
        <v>2.1378318061057509</v>
      </c>
      <c r="C13" s="122">
        <f t="shared" si="2"/>
        <v>2.0105624983480843</v>
      </c>
      <c r="D13" s="122">
        <f t="shared" si="2"/>
        <v>1.8908693644291665</v>
      </c>
      <c r="E13" s="122">
        <f t="shared" si="2"/>
        <v>1.7783062280104838</v>
      </c>
      <c r="F13" s="122">
        <f t="shared" si="2"/>
        <v>1.6724480619081268</v>
      </c>
      <c r="G13" s="122">
        <f t="shared" si="2"/>
        <v>1.5728951967017812</v>
      </c>
      <c r="H13" s="122">
        <f t="shared" si="2"/>
        <v>1.4792718063301635</v>
      </c>
      <c r="I13" s="122">
        <f t="shared" si="2"/>
        <v>1.3912244842371992</v>
      </c>
      <c r="J13" s="122">
        <f t="shared" si="2"/>
        <v>1.3084209046469664</v>
      </c>
      <c r="K13" s="122">
        <f t="shared" si="2"/>
        <v>1.2305485638706211</v>
      </c>
      <c r="L13" s="122">
        <f t="shared" si="2"/>
        <v>1.1573135968542014</v>
      </c>
      <c r="M13" s="122">
        <f t="shared" si="2"/>
        <v>1.0884396644634617</v>
      </c>
      <c r="N13" s="122">
        <f t="shared" si="2"/>
        <v>1.0236669072719506</v>
      </c>
      <c r="O13" s="122">
        <f t="shared" si="2"/>
        <v>0.96275096187234566</v>
      </c>
      <c r="P13" s="122">
        <f t="shared" si="2"/>
        <v>0.90546203596960972</v>
      </c>
      <c r="Q13" s="122">
        <f t="shared" si="2"/>
        <v>0.85158403873879973</v>
      </c>
      <c r="R13" s="122">
        <f t="shared" si="2"/>
        <v>0.80091376314110463</v>
      </c>
      <c r="S13" s="122">
        <f t="shared" si="2"/>
        <v>0.75326011708983365</v>
      </c>
      <c r="T13" s="122">
        <f t="shared" si="2"/>
        <v>0.70844340054428523</v>
      </c>
      <c r="U13" s="122">
        <f t="shared" si="2"/>
        <v>0.66629462578449106</v>
      </c>
      <c r="V13" s="122">
        <f t="shared" si="2"/>
        <v>0.62665487828436206</v>
      </c>
      <c r="W13" s="122">
        <f t="shared" si="2"/>
        <v>0.58937471575544875</v>
      </c>
    </row>
    <row r="14" spans="1:23">
      <c r="A14" s="37" t="str">
        <f>A23</f>
        <v>HPWH</v>
      </c>
      <c r="B14" s="122">
        <f t="shared" ref="B14:W14" si="3">(B23+B32+B41)</f>
        <v>0</v>
      </c>
      <c r="C14" s="122">
        <f t="shared" si="3"/>
        <v>0.44695062158829996</v>
      </c>
      <c r="D14" s="122">
        <f t="shared" si="3"/>
        <v>0.48688286118157958</v>
      </c>
      <c r="E14" s="122">
        <f t="shared" si="3"/>
        <v>0.52482295737810136</v>
      </c>
      <c r="F14" s="122">
        <f t="shared" si="3"/>
        <v>0.56089648252953417</v>
      </c>
      <c r="G14" s="122">
        <f t="shared" si="3"/>
        <v>0.59522148833675004</v>
      </c>
      <c r="H14" s="122">
        <f t="shared" si="3"/>
        <v>0.62790896368699967</v>
      </c>
      <c r="I14" s="122">
        <f t="shared" si="3"/>
        <v>0.65906326460713849</v>
      </c>
      <c r="J14" s="122">
        <f t="shared" si="3"/>
        <v>0.68878251804044066</v>
      </c>
      <c r="K14" s="122">
        <f t="shared" si="3"/>
        <v>0.7171590010494675</v>
      </c>
      <c r="L14" s="122">
        <f t="shared" si="3"/>
        <v>0.74427949694889239</v>
      </c>
      <c r="M14" s="122">
        <f t="shared" si="3"/>
        <v>0.77022562977970788</v>
      </c>
      <c r="N14" s="122">
        <f t="shared" si="3"/>
        <v>0.79507417844949901</v>
      </c>
      <c r="O14" s="122">
        <f t="shared" si="3"/>
        <v>0.81889737178206379</v>
      </c>
      <c r="P14" s="122">
        <f t="shared" si="3"/>
        <v>0.84176316564331299</v>
      </c>
      <c r="Q14" s="122">
        <f t="shared" si="3"/>
        <v>0.86373550323872383</v>
      </c>
      <c r="R14" s="122">
        <f t="shared" si="3"/>
        <v>0.88487455961041395</v>
      </c>
      <c r="S14" s="122">
        <f t="shared" si="3"/>
        <v>0.90523697129881553</v>
      </c>
      <c r="T14" s="122">
        <f t="shared" si="3"/>
        <v>0.92487605207475165</v>
      </c>
      <c r="U14" s="122">
        <f t="shared" si="3"/>
        <v>0.94384199559218684</v>
      </c>
      <c r="V14" s="122">
        <f t="shared" si="3"/>
        <v>0.96218206575980614</v>
      </c>
      <c r="W14" s="122">
        <f t="shared" si="3"/>
        <v>0.97994077558068304</v>
      </c>
    </row>
    <row r="15" spans="1:23">
      <c r="A15" s="37" t="str">
        <f>A24</f>
        <v>Gas Tank</v>
      </c>
      <c r="B15" s="122">
        <f t="shared" ref="B15:W15" si="4">(B24+B33+B42)</f>
        <v>0</v>
      </c>
      <c r="C15" s="122">
        <f t="shared" si="4"/>
        <v>2.3427236567077499E-5</v>
      </c>
      <c r="D15" s="122">
        <f t="shared" si="4"/>
        <v>2.7094280560021868E-5</v>
      </c>
      <c r="E15" s="122">
        <f t="shared" si="4"/>
        <v>3.0557645683902259E-5</v>
      </c>
      <c r="F15" s="122">
        <f t="shared" si="4"/>
        <v>3.3829553226439314E-5</v>
      </c>
      <c r="G15" s="122">
        <f t="shared" si="4"/>
        <v>3.6921498488849816E-5</v>
      </c>
      <c r="H15" s="122">
        <f t="shared" si="4"/>
        <v>3.9844294421591524E-5</v>
      </c>
      <c r="I15" s="122">
        <f t="shared" si="4"/>
        <v>4.2608112619490105E-5</v>
      </c>
      <c r="J15" s="122">
        <f t="shared" si="4"/>
        <v>4.5222521837497362E-5</v>
      </c>
      <c r="K15" s="122">
        <f t="shared" si="4"/>
        <v>4.7696524178387848E-5</v>
      </c>
      <c r="L15" s="122">
        <f t="shared" si="4"/>
        <v>5.003858909437373E-5</v>
      </c>
      <c r="M15" s="122">
        <f t="shared" si="4"/>
        <v>5.2256685335876166E-5</v>
      </c>
      <c r="N15" s="122">
        <f t="shared" si="4"/>
        <v>5.4358310972490668E-5</v>
      </c>
      <c r="O15" s="122">
        <f t="shared" si="4"/>
        <v>5.6350521603494854E-5</v>
      </c>
      <c r="P15" s="122">
        <f t="shared" si="4"/>
        <v>5.8239956868034985E-5</v>
      </c>
      <c r="Q15" s="122">
        <f t="shared" si="4"/>
        <v>6.0032865358363814E-5</v>
      </c>
      <c r="R15" s="122">
        <f t="shared" si="4"/>
        <v>6.1735128033159274E-5</v>
      </c>
      <c r="S15" s="122">
        <f t="shared" si="4"/>
        <v>6.3352280222000605E-5</v>
      </c>
      <c r="T15" s="122">
        <f t="shared" si="4"/>
        <v>6.4889532306499316E-5</v>
      </c>
      <c r="U15" s="122">
        <f t="shared" si="4"/>
        <v>6.635178915834417E-5</v>
      </c>
      <c r="V15" s="122">
        <f t="shared" si="4"/>
        <v>6.7743668409607385E-5</v>
      </c>
      <c r="W15" s="122">
        <f t="shared" si="4"/>
        <v>6.9069517626051843E-5</v>
      </c>
    </row>
    <row r="16" spans="1:23">
      <c r="A16" s="37" t="str">
        <f>A25</f>
        <v>Instant Gas</v>
      </c>
      <c r="B16" s="122">
        <f t="shared" ref="B16:W16" si="5">(B25+B34+B43)</f>
        <v>0</v>
      </c>
      <c r="C16" s="122">
        <f t="shared" si="5"/>
        <v>0.28728647349419112</v>
      </c>
      <c r="D16" s="122">
        <f t="shared" si="5"/>
        <v>0.30287441563146072</v>
      </c>
      <c r="E16" s="122">
        <f t="shared" si="5"/>
        <v>0.31779873571464468</v>
      </c>
      <c r="F16" s="122">
        <f t="shared" si="5"/>
        <v>0.33210685472589074</v>
      </c>
      <c r="G16" s="122">
        <f t="shared" si="5"/>
        <v>0.34584319464450569</v>
      </c>
      <c r="H16" s="122">
        <f t="shared" si="5"/>
        <v>0.3590493762795528</v>
      </c>
      <c r="I16" s="122">
        <f t="shared" si="5"/>
        <v>0.37176440399949107</v>
      </c>
      <c r="J16" s="122">
        <f t="shared" si="5"/>
        <v>0.38402483823668737</v>
      </c>
      <c r="K16" s="122">
        <f t="shared" si="5"/>
        <v>0.39586495658529558</v>
      </c>
      <c r="L16" s="122">
        <f t="shared" si="5"/>
        <v>0.40731690425566935</v>
      </c>
      <c r="M16" s="122">
        <f t="shared" si="5"/>
        <v>0.41841083459694872</v>
      </c>
      <c r="N16" s="122">
        <f t="shared" si="5"/>
        <v>0.42917504035141779</v>
      </c>
      <c r="O16" s="122">
        <f t="shared" si="5"/>
        <v>0.43963607625948864</v>
      </c>
      <c r="P16" s="122">
        <f t="shared" si="5"/>
        <v>0.44981887359242878</v>
      </c>
      <c r="Q16" s="122">
        <f t="shared" si="5"/>
        <v>0.4597468471510936</v>
      </c>
      <c r="R16" s="122">
        <f t="shared" si="5"/>
        <v>0.46944199523267383</v>
      </c>
      <c r="S16" s="122">
        <f t="shared" si="5"/>
        <v>0.4789249930336984</v>
      </c>
      <c r="T16" s="122">
        <f t="shared" si="5"/>
        <v>0.48821527992605079</v>
      </c>
      <c r="U16" s="122">
        <f t="shared" si="5"/>
        <v>0.49733114101341169</v>
      </c>
      <c r="V16" s="122">
        <f t="shared" si="5"/>
        <v>0.50628978334817809</v>
      </c>
      <c r="W16" s="122">
        <f t="shared" si="5"/>
        <v>0.51510740716341374</v>
      </c>
    </row>
    <row r="17" spans="1:23">
      <c r="A17" s="37" t="str">
        <f>A26</f>
        <v>Condensing Gas</v>
      </c>
      <c r="B17" s="122">
        <f t="shared" ref="B17:W17" si="6">(B26+B35+B44)</f>
        <v>0</v>
      </c>
      <c r="C17" s="122">
        <f t="shared" si="6"/>
        <v>0.4599156385393765</v>
      </c>
      <c r="D17" s="122">
        <f t="shared" si="6"/>
        <v>0.4868122268085795</v>
      </c>
      <c r="E17" s="122">
        <f t="shared" si="6"/>
        <v>0.51252214867173018</v>
      </c>
      <c r="F17" s="122">
        <f t="shared" si="6"/>
        <v>0.53712140636241124</v>
      </c>
      <c r="G17" s="122">
        <f t="shared" si="6"/>
        <v>0.56068149274913082</v>
      </c>
      <c r="H17" s="122">
        <f t="shared" si="6"/>
        <v>0.5832696656481271</v>
      </c>
      <c r="I17" s="122">
        <f t="shared" si="6"/>
        <v>0.60494920535079588</v>
      </c>
      <c r="J17" s="122">
        <f t="shared" si="6"/>
        <v>0.62577965640401167</v>
      </c>
      <c r="K17" s="122">
        <f t="shared" si="6"/>
        <v>0.64581705461669436</v>
      </c>
      <c r="L17" s="122">
        <f t="shared" si="6"/>
        <v>0.66511414020518334</v>
      </c>
      <c r="M17" s="122">
        <f t="shared" si="6"/>
        <v>0.68372055793301845</v>
      </c>
      <c r="N17" s="122">
        <f t="shared" si="6"/>
        <v>0.70168304504735979</v>
      </c>
      <c r="O17" s="122">
        <f t="shared" si="6"/>
        <v>0.71904560776428417</v>
      </c>
      <c r="P17" s="122">
        <f t="shared" si="6"/>
        <v>0.73584968700835507</v>
      </c>
      <c r="Q17" s="122">
        <f t="shared" si="6"/>
        <v>0.75213431406795705</v>
      </c>
      <c r="R17" s="122">
        <f t="shared" si="6"/>
        <v>0.76793625678676758</v>
      </c>
      <c r="S17" s="122">
        <f t="shared" si="6"/>
        <v>0.78329015687317916</v>
      </c>
      <c r="T17" s="122">
        <f t="shared" si="6"/>
        <v>0.79822865887337269</v>
      </c>
      <c r="U17" s="122">
        <f t="shared" si="6"/>
        <v>0.81278253131988054</v>
      </c>
      <c r="V17" s="122">
        <f t="shared" si="6"/>
        <v>0.82698078053575141</v>
      </c>
      <c r="W17" s="122">
        <f t="shared" si="6"/>
        <v>0.8408507575446813</v>
      </c>
    </row>
    <row r="18" spans="1:23">
      <c r="A18" s="12"/>
    </row>
    <row r="19" spans="1:23">
      <c r="A19" s="12" t="s">
        <v>112</v>
      </c>
    </row>
    <row r="20" spans="1:23">
      <c r="A20" s="14" t="str">
        <f>'Water Heaters Purchased'!A4</f>
        <v>Water Heat Ending</v>
      </c>
      <c r="B20" s="9">
        <f>'Water Heaters Purchased'!B4</f>
        <v>2014</v>
      </c>
      <c r="C20" s="9">
        <f>'Water Heaters Purchased'!C4</f>
        <v>2015</v>
      </c>
      <c r="D20" s="9">
        <f>'Water Heaters Purchased'!D4</f>
        <v>2016</v>
      </c>
      <c r="E20" s="9">
        <f>'Water Heaters Purchased'!E4</f>
        <v>2017</v>
      </c>
      <c r="F20" s="9">
        <f>'Water Heaters Purchased'!F4</f>
        <v>2018</v>
      </c>
      <c r="G20" s="9">
        <f>'Water Heaters Purchased'!G4</f>
        <v>2019</v>
      </c>
      <c r="H20" s="9">
        <f>'Water Heaters Purchased'!H4</f>
        <v>2020</v>
      </c>
      <c r="I20" s="9">
        <f>'Water Heaters Purchased'!I4</f>
        <v>2021</v>
      </c>
      <c r="J20" s="9">
        <f>'Water Heaters Purchased'!J4</f>
        <v>2022</v>
      </c>
      <c r="K20" s="9">
        <f>'Water Heaters Purchased'!K4</f>
        <v>2023</v>
      </c>
      <c r="L20" s="9">
        <f>'Water Heaters Purchased'!L4</f>
        <v>2024</v>
      </c>
      <c r="M20" s="9">
        <f>'Water Heaters Purchased'!M4</f>
        <v>2025</v>
      </c>
      <c r="N20" s="9">
        <f>'Water Heaters Purchased'!N4</f>
        <v>2026</v>
      </c>
      <c r="O20" s="9">
        <f>'Water Heaters Purchased'!O4</f>
        <v>2027</v>
      </c>
      <c r="P20" s="9">
        <f>'Water Heaters Purchased'!P4</f>
        <v>2028</v>
      </c>
      <c r="Q20" s="9">
        <f>'Water Heaters Purchased'!Q4</f>
        <v>2029</v>
      </c>
      <c r="R20" s="9">
        <f>'Water Heaters Purchased'!R4</f>
        <v>2030</v>
      </c>
      <c r="S20" s="9">
        <f>'Water Heaters Purchased'!S4</f>
        <v>2031</v>
      </c>
      <c r="T20" s="9">
        <f>'Water Heaters Purchased'!T4</f>
        <v>2032</v>
      </c>
      <c r="U20" s="9">
        <f>'Water Heaters Purchased'!U4</f>
        <v>2033</v>
      </c>
      <c r="V20" s="9">
        <f>'Water Heaters Purchased'!V4</f>
        <v>2034</v>
      </c>
      <c r="W20" s="9">
        <f>'Water Heaters Purchased'!W4</f>
        <v>2035</v>
      </c>
    </row>
    <row r="21" spans="1:23" ht="16.5" thickBot="1">
      <c r="A21" s="48" t="s">
        <v>45</v>
      </c>
      <c r="B21" s="128">
        <f>SUM(B22:B26)</f>
        <v>0</v>
      </c>
      <c r="C21" s="128">
        <f t="shared" ref="C21:W21" si="7">SUM(C22:C26)</f>
        <v>1.108453950587339</v>
      </c>
      <c r="D21" s="128">
        <f t="shared" si="7"/>
        <v>1.1092564269812688</v>
      </c>
      <c r="E21" s="128">
        <f t="shared" si="7"/>
        <v>1.1100612455508432</v>
      </c>
      <c r="F21" s="128">
        <f t="shared" si="7"/>
        <v>1.110868343076403</v>
      </c>
      <c r="G21" s="128">
        <f t="shared" si="7"/>
        <v>1.1116776551569929</v>
      </c>
      <c r="H21" s="128">
        <f t="shared" si="7"/>
        <v>1.1124891162103534</v>
      </c>
      <c r="I21" s="128">
        <f t="shared" si="7"/>
        <v>1.1133026594733531</v>
      </c>
      <c r="J21" s="128">
        <f t="shared" si="7"/>
        <v>1.1141182170028743</v>
      </c>
      <c r="K21" s="128">
        <f t="shared" si="7"/>
        <v>1.1149357196771708</v>
      </c>
      <c r="L21" s="128">
        <f t="shared" si="7"/>
        <v>1.1157550971977073</v>
      </c>
      <c r="M21" s="128">
        <f t="shared" si="7"/>
        <v>1.116576278091501</v>
      </c>
      <c r="N21" s="128">
        <f t="shared" si="7"/>
        <v>1.1173991897139739</v>
      </c>
      <c r="O21" s="128">
        <f t="shared" si="7"/>
        <v>1.1182237582523382</v>
      </c>
      <c r="P21" s="128">
        <f t="shared" si="7"/>
        <v>1.1190499087295247</v>
      </c>
      <c r="Q21" s="128">
        <f t="shared" si="7"/>
        <v>1.1198775650086712</v>
      </c>
      <c r="R21" s="128">
        <f t="shared" si="7"/>
        <v>1.1207066497981895</v>
      </c>
      <c r="S21" s="128">
        <f t="shared" si="7"/>
        <v>1.1215370846574224</v>
      </c>
      <c r="T21" s="128">
        <f t="shared" si="7"/>
        <v>1.1223687900029067</v>
      </c>
      <c r="U21" s="128">
        <f t="shared" si="7"/>
        <v>1.1232016851152626</v>
      </c>
      <c r="V21" s="128">
        <f t="shared" si="7"/>
        <v>1.1240356881467184</v>
      </c>
      <c r="W21" s="128">
        <f t="shared" si="7"/>
        <v>1.1248707161292906</v>
      </c>
    </row>
    <row r="22" spans="1:23" ht="16.5" thickTop="1">
      <c r="A22" s="9" t="str">
        <f>'Water Heaters Purchased'!A6</f>
        <v>Electric Resistance</v>
      </c>
      <c r="B22" s="122">
        <f>('Water Heaters Purchased'!B6*'Capital Cost'!$E5)/1000000</f>
        <v>0</v>
      </c>
      <c r="C22" s="122">
        <f>('Water Heaters Purchased'!C6*'Capital Cost'!$E5)/1000000</f>
        <v>5.7511023091317031E-6</v>
      </c>
      <c r="D22" s="122">
        <f>('Water Heaters Purchased'!D6*'Capital Cost'!$E5)/1000000</f>
        <v>5.68389866164508E-6</v>
      </c>
      <c r="E22" s="122">
        <f>('Water Heaters Purchased'!E6*'Capital Cost'!$E5)/1000000</f>
        <v>5.6177083141140215E-6</v>
      </c>
      <c r="F22" s="122">
        <f>('Water Heaters Purchased'!F6*'Capital Cost'!$E5)/1000000</f>
        <v>5.5525183351747894E-6</v>
      </c>
      <c r="G22" s="122">
        <f>('Water Heaters Purchased'!G6*'Capital Cost'!$E5)/1000000</f>
        <v>5.4883158797448089E-6</v>
      </c>
      <c r="H22" s="122">
        <f>('Water Heaters Purchased'!H6*'Capital Cost'!$E5)/1000000</f>
        <v>5.4250881914100385E-6</v>
      </c>
      <c r="I22" s="122">
        <f>('Water Heaters Purchased'!I6*'Capital Cost'!$E5)/1000000</f>
        <v>5.3628226046954852E-6</v>
      </c>
      <c r="J22" s="122">
        <f>('Water Heaters Purchased'!J6*'Capital Cost'!$E5)/1000000</f>
        <v>5.3015065472209063E-6</v>
      </c>
      <c r="K22" s="122">
        <f>('Water Heaters Purchased'!K6*'Capital Cost'!$E5)/1000000</f>
        <v>5.241127541743819E-6</v>
      </c>
      <c r="L22" s="122">
        <f>('Water Heaters Purchased'!L6*'Capital Cost'!$E5)/1000000</f>
        <v>5.1816732080919726E-6</v>
      </c>
      <c r="M22" s="122">
        <f>('Water Heaters Purchased'!M6*'Capital Cost'!$E5)/1000000</f>
        <v>5.1231312649874863E-6</v>
      </c>
      <c r="N22" s="122">
        <f>('Water Heaters Purchased'!N6*'Capital Cost'!$E5)/1000000</f>
        <v>5.0654895317648482E-6</v>
      </c>
      <c r="O22" s="122">
        <f>('Water Heaters Purchased'!O6*'Capital Cost'!$E5)/1000000</f>
        <v>5.0087359299849996E-6</v>
      </c>
      <c r="P22" s="122">
        <f>('Water Heaters Purchased'!P6*'Capital Cost'!$E5)/1000000</f>
        <v>4.9528584849477674E-6</v>
      </c>
      <c r="Q22" s="122">
        <f>('Water Heaters Purchased'!Q6*'Capital Cost'!$E5)/1000000</f>
        <v>4.8978453271048734E-6</v>
      </c>
      <c r="R22" s="122">
        <f>('Water Heaters Purchased'!R6*'Capital Cost'!$E5)/1000000</f>
        <v>4.8436846933758287E-6</v>
      </c>
      <c r="S22" s="122">
        <f>('Water Heaters Purchased'!S6*'Capital Cost'!$E5)/1000000</f>
        <v>4.7903649283689715E-6</v>
      </c>
      <c r="T22" s="122">
        <f>('Water Heaters Purchased'!T6*'Capital Cost'!$E5)/1000000</f>
        <v>4.7378744855099093E-6</v>
      </c>
      <c r="U22" s="122">
        <f>('Water Heaters Purchased'!U6*'Capital Cost'!$E5)/1000000</f>
        <v>4.6862019280796875E-6</v>
      </c>
      <c r="V22" s="122">
        <f>('Water Heaters Purchased'!V6*'Capital Cost'!$E5)/1000000</f>
        <v>4.6353359301649334E-6</v>
      </c>
      <c r="W22" s="122">
        <f>('Water Heaters Purchased'!W6*'Capital Cost'!$E5)/1000000</f>
        <v>4.5852652775222823E-6</v>
      </c>
    </row>
    <row r="23" spans="1:23">
      <c r="A23" s="9" t="str">
        <f>'Water Heaters Purchased'!A7</f>
        <v>HPWH</v>
      </c>
      <c r="B23" s="122">
        <f>('Water Heaters Purchased'!B7*'Capital Cost'!$E6)/1000000</f>
        <v>0</v>
      </c>
      <c r="C23" s="122">
        <f>('Water Heaters Purchased'!C7*'Capital Cost'!$E6)/1000000</f>
        <v>0.40413051190953092</v>
      </c>
      <c r="D23" s="122">
        <f>('Water Heaters Purchased'!D7*'Capital Cost'!$E6)/1000000</f>
        <v>0.40337023126669447</v>
      </c>
      <c r="E23" s="122">
        <f>('Water Heaters Purchased'!E7*'Capital Cost'!$E6)/1000000</f>
        <v>0.40261191727017093</v>
      </c>
      <c r="F23" s="122">
        <f>('Water Heaters Purchased'!F7*'Capital Cost'!$E6)/1000000</f>
        <v>0.40185567113884879</v>
      </c>
      <c r="G23" s="122">
        <f>('Water Heaters Purchased'!G7*'Capital Cost'!$E6)/1000000</f>
        <v>0.40110159413357122</v>
      </c>
      <c r="H23" s="122">
        <f>('Water Heaters Purchased'!H7*'Capital Cost'!$E6)/1000000</f>
        <v>0.40034978752376232</v>
      </c>
      <c r="I23" s="122">
        <f>('Water Heaters Purchased'!I7*'Capital Cost'!$E6)/1000000</f>
        <v>0.39960035255408821</v>
      </c>
      <c r="J23" s="122">
        <f>('Water Heaters Purchased'!J7*'Capital Cost'!$E6)/1000000</f>
        <v>0.3988533904111804</v>
      </c>
      <c r="K23" s="122">
        <f>('Water Heaters Purchased'!K7*'Capital Cost'!$E6)/1000000</f>
        <v>0.39810900219044898</v>
      </c>
      <c r="L23" s="122">
        <f>('Water Heaters Purchased'!L7*'Capital Cost'!$E6)/1000000</f>
        <v>0.39736728886301154</v>
      </c>
      <c r="M23" s="122">
        <f>('Water Heaters Purchased'!M7*'Capital Cost'!$E6)/1000000</f>
        <v>0.39662835124276408</v>
      </c>
      <c r="N23" s="122">
        <f>('Water Heaters Purchased'!N7*'Capital Cost'!$E6)/1000000</f>
        <v>0.39589228995362336</v>
      </c>
      <c r="O23" s="122">
        <f>('Water Heaters Purchased'!O7*'Capital Cost'!$E6)/1000000</f>
        <v>0.39515920539696109</v>
      </c>
      <c r="P23" s="122">
        <f>('Water Heaters Purchased'!P7*'Capital Cost'!$E6)/1000000</f>
        <v>0.39442919771926066</v>
      </c>
      <c r="Q23" s="122">
        <f>('Water Heaters Purchased'!Q7*'Capital Cost'!$E6)/1000000</f>
        <v>0.39370236678001691</v>
      </c>
      <c r="R23" s="122">
        <f>('Water Heaters Purchased'!R7*'Capital Cost'!$E6)/1000000</f>
        <v>0.39297881211990648</v>
      </c>
      <c r="S23" s="122">
        <f>('Water Heaters Purchased'!S7*'Capital Cost'!$E6)/1000000</f>
        <v>0.39225863292925134</v>
      </c>
      <c r="T23" s="122">
        <f>('Water Heaters Purchased'!T7*'Capital Cost'!$E6)/1000000</f>
        <v>0.39154192801679644</v>
      </c>
      <c r="U23" s="122">
        <f>('Water Heaters Purchased'!U7*'Capital Cost'!$E6)/1000000</f>
        <v>0.39082879577882795</v>
      </c>
      <c r="V23" s="122">
        <f>('Water Heaters Purchased'!V7*'Capital Cost'!$E6)/1000000</f>
        <v>0.39011933416865097</v>
      </c>
      <c r="W23" s="122">
        <f>('Water Heaters Purchased'!W7*'Capital Cost'!$E6)/1000000</f>
        <v>0.38941364066644746</v>
      </c>
    </row>
    <row r="24" spans="1:23">
      <c r="A24" s="9" t="str">
        <f>'Water Heaters Purchased'!A8</f>
        <v>Gas Tank</v>
      </c>
      <c r="B24" s="122">
        <f>('Water Heaters Purchased'!B8*'Capital Cost'!$E7)/1000000</f>
        <v>0</v>
      </c>
      <c r="C24" s="122">
        <f>('Water Heaters Purchased'!C8*'Capital Cost'!$E7)/1000000</f>
        <v>1.9375418805766E-5</v>
      </c>
      <c r="D24" s="122">
        <f>('Water Heaters Purchased'!D8*'Capital Cost'!$E7)/1000000</f>
        <v>1.9208314334970633E-5</v>
      </c>
      <c r="E24" s="122">
        <f>('Water Heaters Purchased'!E8*'Capital Cost'!$E7)/1000000</f>
        <v>1.9042219593931185E-5</v>
      </c>
      <c r="F24" s="122">
        <f>('Water Heaters Purchased'!F8*'Capital Cost'!$E7)/1000000</f>
        <v>1.8877147159469796E-5</v>
      </c>
      <c r="G24" s="122">
        <f>('Water Heaters Purchased'!G8*'Capital Cost'!$E7)/1000000</f>
        <v>1.871310916047602E-5</v>
      </c>
      <c r="H24" s="122">
        <f>('Water Heaters Purchased'!H8*'Capital Cost'!$E7)/1000000</f>
        <v>1.8550117277215896E-5</v>
      </c>
      <c r="I24" s="122">
        <f>('Water Heaters Purchased'!I8*'Capital Cost'!$E7)/1000000</f>
        <v>1.8388182741007975E-5</v>
      </c>
      <c r="J24" s="122">
        <f>('Water Heaters Purchased'!J8*'Capital Cost'!$E7)/1000000</f>
        <v>1.8227316334259477E-5</v>
      </c>
      <c r="K24" s="122">
        <f>('Water Heaters Purchased'!K8*'Capital Cost'!$E7)/1000000</f>
        <v>1.8067528390857949E-5</v>
      </c>
      <c r="L24" s="122">
        <f>('Water Heaters Purchased'!L8*'Capital Cost'!$E7)/1000000</f>
        <v>1.7908828796910684E-5</v>
      </c>
      <c r="M24" s="122">
        <f>('Water Heaters Purchased'!M8*'Capital Cost'!$E7)/1000000</f>
        <v>1.775122699182596E-5</v>
      </c>
      <c r="N24" s="122">
        <f>('Water Heaters Purchased'!N8*'Capital Cost'!$E7)/1000000</f>
        <v>1.7594731969728483E-5</v>
      </c>
      <c r="O24" s="122">
        <f>('Water Heaters Purchased'!O8*'Capital Cost'!$E7)/1000000</f>
        <v>1.7439352281201843E-5</v>
      </c>
      <c r="P24" s="122">
        <f>('Water Heaters Purchased'!P8*'Capital Cost'!$E7)/1000000</f>
        <v>1.7285096035349647E-5</v>
      </c>
      <c r="Q24" s="122">
        <f>('Water Heaters Purchased'!Q8*'Capital Cost'!$E7)/1000000</f>
        <v>1.7131970902167439E-5</v>
      </c>
      <c r="R24" s="122">
        <f>('Water Heaters Purchased'!R8*'Capital Cost'!$E7)/1000000</f>
        <v>1.6979984115217202E-5</v>
      </c>
      <c r="S24" s="122">
        <f>('Water Heaters Purchased'!S8*'Capital Cost'!$E7)/1000000</f>
        <v>1.6829142474594833E-5</v>
      </c>
      <c r="T24" s="122">
        <f>('Water Heaters Purchased'!T8*'Capital Cost'!$E7)/1000000</f>
        <v>1.667945235018276E-5</v>
      </c>
      <c r="U24" s="122">
        <f>('Water Heaters Purchased'!U8*'Capital Cost'!$E7)/1000000</f>
        <v>1.6530919685177589E-5</v>
      </c>
      <c r="V24" s="122">
        <f>('Water Heaters Purchased'!V8*'Capital Cost'!$E7)/1000000</f>
        <v>1.6383549999883746E-5</v>
      </c>
      <c r="W24" s="122">
        <f>('Water Heaters Purchased'!W8*'Capital Cost'!$E7)/1000000</f>
        <v>1.6237348395763652E-5</v>
      </c>
    </row>
    <row r="25" spans="1:23">
      <c r="A25" s="9" t="str">
        <f>'Water Heaters Purchased'!A9</f>
        <v>Instant Gas</v>
      </c>
      <c r="B25" s="122">
        <f>('Water Heaters Purchased'!B9*'Capital Cost'!$E8)/1000000</f>
        <v>0</v>
      </c>
      <c r="C25" s="122">
        <f>('Water Heaters Purchased'!C9*'Capital Cost'!$E8)/1000000</f>
        <v>0.27229858390353906</v>
      </c>
      <c r="D25" s="122">
        <f>('Water Heaters Purchased'!D9*'Capital Cost'!$E8)/1000000</f>
        <v>0.27362149285488441</v>
      </c>
      <c r="E25" s="122">
        <f>('Water Heaters Purchased'!E9*'Capital Cost'!$E8)/1000000</f>
        <v>0.27495294914869151</v>
      </c>
      <c r="F25" s="122">
        <f>('Water Heaters Purchased'!F9*'Capital Cost'!$E8)/1000000</f>
        <v>0.27629289452433836</v>
      </c>
      <c r="G25" s="122">
        <f>('Water Heaters Purchased'!G9*'Capital Cost'!$E8)/1000000</f>
        <v>0.27764126756826496</v>
      </c>
      <c r="H25" s="122">
        <f>('Water Heaters Purchased'!H9*'Capital Cost'!$E8)/1000000</f>
        <v>0.27899800367673333</v>
      </c>
      <c r="I25" s="122">
        <f>('Water Heaters Purchased'!I9*'Capital Cost'!$E8)/1000000</f>
        <v>0.28036303501982462</v>
      </c>
      <c r="J25" s="122">
        <f>('Water Heaters Purchased'!J9*'Capital Cost'!$E8)/1000000</f>
        <v>0.28173629050673382</v>
      </c>
      <c r="K25" s="122">
        <f>('Water Heaters Purchased'!K9*'Capital Cost'!$E8)/1000000</f>
        <v>0.28311769575244028</v>
      </c>
      <c r="L25" s="122">
        <f>('Water Heaters Purchased'!L9*'Capital Cost'!$E8)/1000000</f>
        <v>0.28450717304581724</v>
      </c>
      <c r="M25" s="122">
        <f>('Water Heaters Purchased'!M9*'Capital Cost'!$E8)/1000000</f>
        <v>0.2859046413192558</v>
      </c>
      <c r="N25" s="122">
        <f>('Water Heaters Purchased'!N9*'Capital Cost'!$E8)/1000000</f>
        <v>0.2873100161198669</v>
      </c>
      <c r="O25" s="122">
        <f>('Water Heaters Purchased'!O9*'Capital Cost'!$E8)/1000000</f>
        <v>0.28872320958234043</v>
      </c>
      <c r="P25" s="122">
        <f>('Water Heaters Purchased'!P9*'Capital Cost'!$E8)/1000000</f>
        <v>0.29014413040352105</v>
      </c>
      <c r="Q25" s="122">
        <f>('Water Heaters Purchased'!Q9*'Capital Cost'!$E8)/1000000</f>
        <v>0.29157268381877938</v>
      </c>
      <c r="R25" s="122">
        <f>('Water Heaters Purchased'!R9*'Capital Cost'!$E8)/1000000</f>
        <v>0.29300877158024297</v>
      </c>
      <c r="S25" s="122">
        <f>('Water Heaters Purchased'!S9*'Capital Cost'!$E8)/1000000</f>
        <v>0.29445229193695616</v>
      </c>
      <c r="T25" s="122">
        <f>('Water Heaters Purchased'!T9*'Capital Cost'!$E8)/1000000</f>
        <v>0.29590313961703796</v>
      </c>
      <c r="U25" s="122">
        <f>('Water Heaters Purchased'!U9*'Capital Cost'!$E8)/1000000</f>
        <v>0.29736120581190545</v>
      </c>
      <c r="V25" s="122">
        <f>('Water Heaters Purchased'!V9*'Capital Cost'!$E8)/1000000</f>
        <v>0.2988263781626263</v>
      </c>
      <c r="W25" s="122">
        <f>('Water Heaters Purchased'!W9*'Capital Cost'!$E8)/1000000</f>
        <v>0.3002985407484689</v>
      </c>
    </row>
    <row r="26" spans="1:23">
      <c r="A26" s="9" t="str">
        <f>'Water Heaters Purchased'!A10</f>
        <v>Condensing Gas</v>
      </c>
      <c r="B26" s="122">
        <f>('Water Heaters Purchased'!B10*'Capital Cost'!$E9)/1000000</f>
        <v>0</v>
      </c>
      <c r="C26" s="122">
        <f>('Water Heaters Purchased'!C10*'Capital Cost'!$E9)/1000000</f>
        <v>0.43199972825315408</v>
      </c>
      <c r="D26" s="122">
        <f>('Water Heaters Purchased'!D10*'Capital Cost'!$E9)/1000000</f>
        <v>0.43223981064669331</v>
      </c>
      <c r="E26" s="122">
        <f>('Water Heaters Purchased'!E10*'Capital Cost'!$E9)/1000000</f>
        <v>0.4324717192040729</v>
      </c>
      <c r="F26" s="122">
        <f>('Water Heaters Purchased'!F10*'Capital Cost'!$E9)/1000000</f>
        <v>0.43269534774772117</v>
      </c>
      <c r="G26" s="122">
        <f>('Water Heaters Purchased'!G10*'Capital Cost'!$E9)/1000000</f>
        <v>0.43291059203011645</v>
      </c>
      <c r="H26" s="122">
        <f>('Water Heaters Purchased'!H10*'Capital Cost'!$E9)/1000000</f>
        <v>0.43311734980438921</v>
      </c>
      <c r="I26" s="122">
        <f>('Water Heaters Purchased'!I10*'Capital Cost'!$E9)/1000000</f>
        <v>0.43331552089409447</v>
      </c>
      <c r="J26" s="122">
        <f>('Water Heaters Purchased'!J10*'Capital Cost'!$E9)/1000000</f>
        <v>0.43350500726207841</v>
      </c>
      <c r="K26" s="122">
        <f>('Water Heaters Purchased'!K10*'Capital Cost'!$E9)/1000000</f>
        <v>0.4336857130783488</v>
      </c>
      <c r="L26" s="122">
        <f>('Water Heaters Purchased'!L10*'Capital Cost'!$E9)/1000000</f>
        <v>0.43385754478687361</v>
      </c>
      <c r="M26" s="122">
        <f>('Water Heaters Purchased'!M10*'Capital Cost'!$E9)/1000000</f>
        <v>0.43402041117122431</v>
      </c>
      <c r="N26" s="122">
        <f>('Water Heaters Purchased'!N10*'Capital Cost'!$E9)/1000000</f>
        <v>0.4341742234189821</v>
      </c>
      <c r="O26" s="122">
        <f>('Water Heaters Purchased'!O10*'Capital Cost'!$E9)/1000000</f>
        <v>0.43431889518482547</v>
      </c>
      <c r="P26" s="122">
        <f>('Water Heaters Purchased'!P10*'Capital Cost'!$E9)/1000000</f>
        <v>0.43445434265222271</v>
      </c>
      <c r="Q26" s="122">
        <f>('Water Heaters Purchased'!Q10*'Capital Cost'!$E9)/1000000</f>
        <v>0.43458048459364568</v>
      </c>
      <c r="R26" s="122">
        <f>('Water Heaters Purchased'!R10*'Capital Cost'!$E9)/1000000</f>
        <v>0.43469724242923152</v>
      </c>
      <c r="S26" s="122">
        <f>('Water Heaters Purchased'!S10*'Capital Cost'!$E9)/1000000</f>
        <v>0.43480454028381194</v>
      </c>
      <c r="T26" s="122">
        <f>('Water Heaters Purchased'!T10*'Capital Cost'!$E9)/1000000</f>
        <v>0.43490230504223665</v>
      </c>
      <c r="U26" s="122">
        <f>('Water Heaters Purchased'!U10*'Capital Cost'!$E9)/1000000</f>
        <v>0.434990466402916</v>
      </c>
      <c r="V26" s="122">
        <f>('Water Heaters Purchased'!V10*'Capital Cost'!$E9)/1000000</f>
        <v>0.43506895692951109</v>
      </c>
      <c r="W26" s="122">
        <f>('Water Heaters Purchased'!W10*'Capital Cost'!$E9)/1000000</f>
        <v>0.43513771210070085</v>
      </c>
    </row>
    <row r="27" spans="1:23">
      <c r="A27" s="12"/>
    </row>
    <row r="28" spans="1:23">
      <c r="A28" s="12" t="s">
        <v>113</v>
      </c>
    </row>
    <row r="29" spans="1:23">
      <c r="A29" s="14" t="str">
        <f>'Energy Usage'!A16</f>
        <v>Water Heat Ending</v>
      </c>
      <c r="B29" s="9">
        <f>'Water Heater Stock'!B13</f>
        <v>2014</v>
      </c>
      <c r="C29" s="9">
        <f>'Water Heater Stock'!C13</f>
        <v>2015</v>
      </c>
      <c r="D29" s="9">
        <f>'Water Heater Stock'!D13</f>
        <v>2016</v>
      </c>
      <c r="E29" s="9">
        <f>'Water Heater Stock'!E13</f>
        <v>2017</v>
      </c>
      <c r="F29" s="9">
        <f>'Water Heater Stock'!F13</f>
        <v>2018</v>
      </c>
      <c r="G29" s="9">
        <f>'Water Heater Stock'!G13</f>
        <v>2019</v>
      </c>
      <c r="H29" s="9">
        <f>'Water Heater Stock'!H13</f>
        <v>2020</v>
      </c>
      <c r="I29" s="9">
        <f>'Water Heater Stock'!I13</f>
        <v>2021</v>
      </c>
      <c r="J29" s="9">
        <f>'Water Heater Stock'!J13</f>
        <v>2022</v>
      </c>
      <c r="K29" s="9">
        <f>'Water Heater Stock'!K13</f>
        <v>2023</v>
      </c>
      <c r="L29" s="9">
        <f>'Water Heater Stock'!L13</f>
        <v>2024</v>
      </c>
      <c r="M29" s="9">
        <f>'Water Heater Stock'!M13</f>
        <v>2025</v>
      </c>
      <c r="N29" s="9">
        <f>'Water Heater Stock'!N13</f>
        <v>2026</v>
      </c>
      <c r="O29" s="9">
        <f>'Water Heater Stock'!O13</f>
        <v>2027</v>
      </c>
      <c r="P29" s="9">
        <f>'Water Heater Stock'!P13</f>
        <v>2028</v>
      </c>
      <c r="Q29" s="9">
        <f>'Water Heater Stock'!Q13</f>
        <v>2029</v>
      </c>
      <c r="R29" s="9">
        <f>'Water Heater Stock'!R13</f>
        <v>2030</v>
      </c>
      <c r="S29" s="9">
        <f>'Water Heater Stock'!S13</f>
        <v>2031</v>
      </c>
      <c r="T29" s="9">
        <f>'Water Heater Stock'!T13</f>
        <v>2032</v>
      </c>
      <c r="U29" s="9">
        <f>'Water Heater Stock'!U13</f>
        <v>2033</v>
      </c>
      <c r="V29" s="9">
        <f>'Water Heater Stock'!V13</f>
        <v>2034</v>
      </c>
      <c r="W29" s="9">
        <f>'Water Heater Stock'!W13</f>
        <v>2035</v>
      </c>
    </row>
    <row r="30" spans="1:23" ht="16.5" thickBot="1">
      <c r="A30" s="47" t="s">
        <v>45</v>
      </c>
      <c r="B30" s="128">
        <f t="shared" ref="B30:W30" si="8">SUM(B31:B35)</f>
        <v>3.1668552365068409E-2</v>
      </c>
      <c r="C30" s="128">
        <f t="shared" si="8"/>
        <v>4.0416546869663388E-2</v>
      </c>
      <c r="D30" s="128">
        <f t="shared" si="8"/>
        <v>4.856357194351988E-2</v>
      </c>
      <c r="E30" s="128">
        <f t="shared" si="8"/>
        <v>5.6152680766948189E-2</v>
      </c>
      <c r="F30" s="128">
        <f t="shared" si="8"/>
        <v>6.3223849970506424E-2</v>
      </c>
      <c r="G30" s="128">
        <f t="shared" si="8"/>
        <v>6.981419933870564E-2</v>
      </c>
      <c r="H30" s="128">
        <f t="shared" si="8"/>
        <v>7.5958195820139796E-2</v>
      </c>
      <c r="I30" s="128">
        <f t="shared" si="8"/>
        <v>8.1687842965029567E-2</v>
      </c>
      <c r="J30" s="128">
        <f t="shared" si="8"/>
        <v>8.7032856831099251E-2</v>
      </c>
      <c r="K30" s="128">
        <f t="shared" si="8"/>
        <v>9.2020829324355652E-2</v>
      </c>
      <c r="L30" s="128">
        <f t="shared" si="8"/>
        <v>9.6677379872298158E-2</v>
      </c>
      <c r="M30" s="128">
        <f t="shared" si="8"/>
        <v>0.10102629626298112</v>
      </c>
      <c r="N30" s="128">
        <f t="shared" si="8"/>
        <v>0.10508966542382052</v>
      </c>
      <c r="O30" s="128">
        <f t="shared" si="8"/>
        <v>0.10888799485875961</v>
      </c>
      <c r="P30" s="128">
        <f t="shared" si="8"/>
        <v>0.11244032541108026</v>
      </c>
      <c r="Q30" s="128">
        <f t="shared" si="8"/>
        <v>0.11576433597148351</v>
      </c>
      <c r="R30" s="128">
        <f t="shared" si="8"/>
        <v>0.11887644070680602</v>
      </c>
      <c r="S30" s="128">
        <f t="shared" si="8"/>
        <v>0.1217918793436415</v>
      </c>
      <c r="T30" s="128">
        <f t="shared" si="8"/>
        <v>0.12452480100297575</v>
      </c>
      <c r="U30" s="128">
        <f t="shared" si="8"/>
        <v>0.12708834204650848</v>
      </c>
      <c r="V30" s="128">
        <f t="shared" si="8"/>
        <v>0.12949469836243024</v>
      </c>
      <c r="W30" s="128">
        <f t="shared" si="8"/>
        <v>0.13175519248787021</v>
      </c>
    </row>
    <row r="31" spans="1:23" ht="16.5" thickTop="1">
      <c r="A31" s="9" t="str">
        <f>'Energy Usage'!A18</f>
        <v>Electric Resistance</v>
      </c>
      <c r="B31" s="122">
        <f>'Water Heater Stock'!B6*'O&amp;M Cost'!$D5/1000000</f>
        <v>3.1668552365068409E-2</v>
      </c>
      <c r="C31" s="122">
        <f>'Water Heater Stock'!C6*'O&amp;M Cost'!$D5/1000000</f>
        <v>2.9406554064209382E-2</v>
      </c>
      <c r="D31" s="122">
        <f>'Water Heater Stock'!D6*'O&amp;M Cost'!$D5/1000000</f>
        <v>2.7306126589658117E-2</v>
      </c>
      <c r="E31" s="122">
        <f>'Water Heater Stock'!E6*'O&amp;M Cost'!$D5/1000000</f>
        <v>2.5355729175357885E-2</v>
      </c>
      <c r="F31" s="122">
        <f>'Water Heater Stock'!F6*'O&amp;M Cost'!$D5/1000000</f>
        <v>2.3544645395592079E-2</v>
      </c>
      <c r="G31" s="122">
        <f>'Water Heater Stock'!G6*'O&amp;M Cost'!$D5/1000000</f>
        <v>2.1862924283531905E-2</v>
      </c>
      <c r="H31" s="122">
        <f>'Water Heater Stock'!H6*'O&amp;M Cost'!$D5/1000000</f>
        <v>2.0301325655602206E-2</v>
      </c>
      <c r="I31" s="122">
        <f>'Water Heater Stock'!I6*'O&amp;M Cost'!$D5/1000000</f>
        <v>1.8851269341249702E-2</v>
      </c>
      <c r="J31" s="122">
        <f>'Water Heater Stock'!J6*'O&amp;M Cost'!$D5/1000000</f>
        <v>1.7504788039156401E-2</v>
      </c>
      <c r="K31" s="122">
        <f>'Water Heater Stock'!K6*'O&amp;M Cost'!$D5/1000000</f>
        <v>1.6254483540866279E-2</v>
      </c>
      <c r="L31" s="122">
        <f>'Water Heater Stock'!L6*'O&amp;M Cost'!$D5/1000000</f>
        <v>1.5093486081295892E-2</v>
      </c>
      <c r="M31" s="122">
        <f>'Water Heater Stock'!M6*'O&amp;M Cost'!$D5/1000000</f>
        <v>1.4015416592779866E-2</v>
      </c>
      <c r="N31" s="122">
        <f>'Water Heater Stock'!N6*'O&amp;M Cost'!$D5/1000000</f>
        <v>1.3014351655256046E-2</v>
      </c>
      <c r="O31" s="122">
        <f>'Water Heater Stock'!O6*'O&amp;M Cost'!$D5/1000000</f>
        <v>1.2084790950008861E-2</v>
      </c>
      <c r="P31" s="122">
        <f>'Water Heater Stock'!P6*'O&amp;M Cost'!$D5/1000000</f>
        <v>1.1221627038145301E-2</v>
      </c>
      <c r="Q31" s="122">
        <f>'Water Heater Stock'!Q6*'O&amp;M Cost'!$D5/1000000</f>
        <v>1.0420117297751214E-2</v>
      </c>
      <c r="R31" s="122">
        <f>'Water Heater Stock'!R6*'O&amp;M Cost'!$D5/1000000</f>
        <v>9.6758578655364181E-3</v>
      </c>
      <c r="S31" s="122">
        <f>'Water Heater Stock'!S6*'O&amp;M Cost'!$D5/1000000</f>
        <v>8.9847594397909208E-3</v>
      </c>
      <c r="T31" s="122">
        <f>'Water Heater Stock'!T6*'O&amp;M Cost'!$D5/1000000</f>
        <v>8.3430248117013842E-3</v>
      </c>
      <c r="U31" s="122">
        <f>'Water Heater Stock'!U6*'O&amp;M Cost'!$D5/1000000</f>
        <v>7.7471280015735848E-3</v>
      </c>
      <c r="V31" s="122">
        <f>'Water Heater Stock'!V6*'O&amp;M Cost'!$D5/1000000</f>
        <v>7.1937948853246997E-3</v>
      </c>
      <c r="W31" s="122">
        <f>'Water Heater Stock'!W6*'O&amp;M Cost'!$D5/1000000</f>
        <v>6.679985204797575E-3</v>
      </c>
    </row>
    <row r="32" spans="1:23">
      <c r="A32" s="9" t="str">
        <f>'Energy Usage'!A19</f>
        <v>HPWH</v>
      </c>
      <c r="B32" s="122">
        <f>'Water Heater Stock'!B7*'O&amp;M Cost'!$D6/1000000</f>
        <v>0</v>
      </c>
      <c r="C32" s="122">
        <f>'Water Heater Stock'!C7*'O&amp;M Cost'!$D6/1000000</f>
        <v>2.434141123260057E-3</v>
      </c>
      <c r="D32" s="122">
        <f>'Water Heater Stock'!D7*'O&amp;M Cost'!$D6/1000000</f>
        <v>4.6898357345038612E-3</v>
      </c>
      <c r="E32" s="122">
        <f>'Water Heater Stock'!E7*'O&amp;M Cost'!$D6/1000000</f>
        <v>6.7798418585787116E-3</v>
      </c>
      <c r="F32" s="122">
        <f>'Water Heater Stock'!F7*'O&amp;M Cost'!$D6/1000000</f>
        <v>8.7160068424999692E-3</v>
      </c>
      <c r="G32" s="122">
        <f>'Water Heater Stock'!G7*'O&amp;M Cost'!$D6/1000000</f>
        <v>1.0509332404120334E-2</v>
      </c>
      <c r="H32" s="122">
        <f>'Water Heater Stock'!H7*'O&amp;M Cost'!$D6/1000000</f>
        <v>1.2170035034264557E-2</v>
      </c>
      <c r="I32" s="122">
        <f>'Water Heater Stock'!I7*'O&amp;M Cost'!$D6/1000000</f>
        <v>1.3707602084225194E-2</v>
      </c>
      <c r="J32" s="122">
        <f>'Water Heater Stock'!J7*'O&amp;M Cost'!$D6/1000000</f>
        <v>1.5130843846808189E-2</v>
      </c>
      <c r="K32" s="122">
        <f>'Water Heater Stock'!K7*'O&amp;M Cost'!$D6/1000000</f>
        <v>1.6447941917103935E-2</v>
      </c>
      <c r="L32" s="122">
        <f>'Water Heater Stock'!L7*'O&amp;M Cost'!$D6/1000000</f>
        <v>1.7666494098718278E-2</v>
      </c>
      <c r="M32" s="122">
        <f>'Water Heater Stock'!M7*'O&amp;M Cost'!$D6/1000000</f>
        <v>1.8793556102217366E-2</v>
      </c>
      <c r="N32" s="122">
        <f>'Water Heater Stock'!N7*'O&amp;M Cost'!$D6/1000000</f>
        <v>1.9835680264914703E-2</v>
      </c>
      <c r="O32" s="122">
        <f>'Water Heater Stock'!O7*'O&amp;M Cost'!$D6/1000000</f>
        <v>2.079895150476312E-2</v>
      </c>
      <c r="P32" s="122">
        <f>'Water Heater Stock'!P7*'O&amp;M Cost'!$D6/1000000</f>
        <v>2.1689020705916714E-2</v>
      </c>
      <c r="Q32" s="122">
        <f>'Water Heater Stock'!Q7*'O&amp;M Cost'!$D6/1000000</f>
        <v>2.2511135719416448E-2</v>
      </c>
      <c r="R32" s="122">
        <f>'Water Heater Stock'!R7*'O&amp;M Cost'!$D6/1000000</f>
        <v>2.3270170149349394E-2</v>
      </c>
      <c r="S32" s="122">
        <f>'Water Heater Stock'!S7*'O&amp;M Cost'!$D6/1000000</f>
        <v>2.3970650082663754E-2</v>
      </c>
      <c r="T32" s="122">
        <f>'Water Heater Stock'!T7*'O&amp;M Cost'!$D6/1000000</f>
        <v>2.4616778909523351E-2</v>
      </c>
      <c r="U32" s="122">
        <f>'Water Heater Stock'!U7*'O&amp;M Cost'!$D6/1000000</f>
        <v>2.5212460370593635E-2</v>
      </c>
      <c r="V32" s="122">
        <f>'Water Heater Stock'!V7*'O&amp;M Cost'!$D6/1000000</f>
        <v>2.5761319957909121E-2</v>
      </c>
      <c r="W32" s="122">
        <f>'Water Heater Stock'!W7*'O&amp;M Cost'!$D6/1000000</f>
        <v>2.6266724786925932E-2</v>
      </c>
    </row>
    <row r="33" spans="1:23">
      <c r="A33" s="44" t="str">
        <f>'Energy Usage'!A20</f>
        <v>Gas Tank</v>
      </c>
      <c r="B33" s="122">
        <f>'Water Heater Stock'!B8*'O&amp;M Cost'!$D7/1000000</f>
        <v>0</v>
      </c>
      <c r="C33" s="122">
        <f>'Water Heater Stock'!C8*'O&amp;M Cost'!$D7/1000000</f>
        <v>3.4715260253841908E-7</v>
      </c>
      <c r="D33" s="122">
        <f>'Water Heater Stock'!D8*'O&amp;M Cost'!$D7/1000000</f>
        <v>6.6651455200274836E-7</v>
      </c>
      <c r="E33" s="122">
        <f>'Water Heater Stock'!E8*'O&amp;M Cost'!$D7/1000000</f>
        <v>9.6008898653717855E-7</v>
      </c>
      <c r="F33" s="122">
        <f>'Water Heater Stock'!F8*'O&amp;M Cost'!$D7/1000000</f>
        <v>1.2297361883309019E-6</v>
      </c>
      <c r="G33" s="122">
        <f>'Water Heater Stock'!G8*'O&amp;M Cost'!$D7/1000000</f>
        <v>1.4771837795892147E-6</v>
      </c>
      <c r="H33" s="122">
        <f>'Water Heater Stock'!H8*'O&amp;M Cost'!$D7/1000000</f>
        <v>1.7040361902085904E-6</v>
      </c>
      <c r="I33" s="122">
        <f>'Water Heater Stock'!I8*'O&amp;M Cost'!$D7/1000000</f>
        <v>1.9117834491834441E-6</v>
      </c>
      <c r="J33" s="122">
        <f>'Water Heater Stock'!J8*'O&amp;M Cost'!$D7/1000000</f>
        <v>2.1018093480559156E-6</v>
      </c>
      <c r="K33" s="122">
        <f>'Water Heater Stock'!K8*'O&amp;M Cost'!$D7/1000000</f>
        <v>2.2753990212691189E-6</v>
      </c>
      <c r="L33" s="122">
        <f>'Water Heater Stock'!L8*'O&amp;M Cost'!$D7/1000000</f>
        <v>2.4337459850798311E-6</v>
      </c>
      <c r="M33" s="122">
        <f>'Water Heater Stock'!M8*'O&amp;M Cost'!$D7/1000000</f>
        <v>2.5779586737110787E-6</v>
      </c>
      <c r="N33" s="122">
        <f>'Water Heater Stock'!N8*'O&amp;M Cost'!$D7/1000000</f>
        <v>2.7090665086620453E-6</v>
      </c>
      <c r="O33" s="122">
        <f>'Water Heater Stock'!O8*'O&amp;M Cost'!$D7/1000000</f>
        <v>2.8280255345270586E-6</v>
      </c>
      <c r="P33" s="122">
        <f>'Water Heater Stock'!P8*'O&amp;M Cost'!$D7/1000000</f>
        <v>2.935723652293009E-6</v>
      </c>
      <c r="Q33" s="122">
        <f>'Water Heater Stock'!Q8*'O&amp;M Cost'!$D7/1000000</f>
        <v>3.0329854788723097E-6</v>
      </c>
      <c r="R33" s="122">
        <f>'Water Heater Stock'!R8*'O&amp;M Cost'!$D7/1000000</f>
        <v>3.120576859574281E-6</v>
      </c>
      <c r="S33" s="122">
        <f>'Water Heater Stock'!S8*'O&amp;M Cost'!$D7/1000000</f>
        <v>3.1992090583103078E-6</v>
      </c>
      <c r="T33" s="122">
        <f>'Water Heater Stock'!T8*'O&amp;M Cost'!$D7/1000000</f>
        <v>3.2695426485569236E-6</v>
      </c>
      <c r="U33" s="122">
        <f>'Water Heater Stock'!U8*'O&amp;M Cost'!$D7/1000000</f>
        <v>3.3321911264561499E-6</v>
      </c>
      <c r="V33" s="122">
        <f>'Water Heater Stock'!V8*'O&amp;M Cost'!$D7/1000000</f>
        <v>3.3877242659052203E-6</v>
      </c>
      <c r="W33" s="122">
        <f>'Water Heater Stock'!W8*'O&amp;M Cost'!$D7/1000000</f>
        <v>3.4366712340696021E-6</v>
      </c>
    </row>
    <row r="34" spans="1:23">
      <c r="A34" s="43" t="str">
        <f>'Energy Usage'!A21</f>
        <v>Instant Gas</v>
      </c>
      <c r="B34" s="122">
        <f>'Water Heater Stock'!B9*'O&amp;M Cost'!$D8/1000000</f>
        <v>0</v>
      </c>
      <c r="C34" s="122">
        <f>'Water Heater Stock'!C9*'O&amp;M Cost'!$D8/1000000</f>
        <v>5.5093472807955114E-3</v>
      </c>
      <c r="D34" s="122">
        <f>'Water Heater Stock'!D9*'O&amp;M Cost'!$D8/1000000</f>
        <v>1.0651935832710038E-2</v>
      </c>
      <c r="E34" s="122">
        <f>'Water Heater Stock'!E9*'O&amp;M Cost'!$D8/1000000</f>
        <v>1.5454135643990296E-2</v>
      </c>
      <c r="F34" s="122">
        <f>'Water Heater Stock'!F9*'O&amp;M Cost'!$D8/1000000</f>
        <v>1.9940431953521742E-2</v>
      </c>
      <c r="G34" s="122">
        <f>'Water Heater Stock'!G9*'O&amp;M Cost'!$D8/1000000</f>
        <v>2.4133559811990394E-2</v>
      </c>
      <c r="H34" s="122">
        <f>'Water Heater Stock'!H9*'O&amp;M Cost'!$D8/1000000</f>
        <v>2.8054629030779567E-2</v>
      </c>
      <c r="I34" s="122">
        <f>'Water Heater Stock'!I9*'O&amp;M Cost'!$D8/1000000</f>
        <v>3.1723240205217024E-2</v>
      </c>
      <c r="J34" s="122">
        <f>'Water Heater Stock'!J9*'O&amp;M Cost'!$D8/1000000</f>
        <v>3.5157592449745124E-2</v>
      </c>
      <c r="K34" s="122">
        <f>'Water Heater Stock'!K9*'O&amp;M Cost'!$D8/1000000</f>
        <v>3.8374583437047353E-2</v>
      </c>
      <c r="L34" s="122">
        <f>'Water Heater Stock'!L9*'O&amp;M Cost'!$D8/1000000</f>
        <v>4.1389902290877661E-2</v>
      </c>
      <c r="M34" s="122">
        <f>'Water Heater Stock'!M9*'O&amp;M Cost'!$D8/1000000</f>
        <v>4.4218115843073197E-2</v>
      </c>
      <c r="N34" s="122">
        <f>'Water Heater Stock'!N9*'O&amp;M Cost'!$D8/1000000</f>
        <v>4.6872748728769134E-2</v>
      </c>
      <c r="O34" s="122">
        <f>'Water Heater Stock'!O9*'O&amp;M Cost'!$D8/1000000</f>
        <v>4.9366357759977608E-2</v>
      </c>
      <c r="P34" s="122">
        <f>'Water Heater Stock'!P9*'O&amp;M Cost'!$D8/1000000</f>
        <v>5.1710600986253769E-2</v>
      </c>
      <c r="Q34" s="122">
        <f>'Water Heater Stock'!Q9*'O&amp;M Cost'!$D8/1000000</f>
        <v>5.3916301821978964E-2</v>
      </c>
      <c r="R34" s="122">
        <f>'Water Heater Stock'!R9*'O&amp;M Cost'!$D8/1000000</f>
        <v>5.5993508592683379E-2</v>
      </c>
      <c r="S34" s="122">
        <f>'Water Heater Stock'!S9*'O&amp;M Cost'!$D8/1000000</f>
        <v>5.7951549827658363E-2</v>
      </c>
      <c r="T34" s="122">
        <f>'Water Heater Stock'!T9*'O&amp;M Cost'!$D8/1000000</f>
        <v>5.9799085602735537E-2</v>
      </c>
      <c r="U34" s="122">
        <f>'Water Heater Stock'!U9*'O&amp;M Cost'!$D8/1000000</f>
        <v>6.1544155215405336E-2</v>
      </c>
      <c r="V34" s="122">
        <f>'Water Heater Stock'!V9*'O&amp;M Cost'!$D8/1000000</f>
        <v>6.3194221454293709E-2</v>
      </c>
      <c r="W34" s="122">
        <f>'Water Heater Stock'!W9*'O&amp;M Cost'!$D8/1000000</f>
        <v>6.4756211706301858E-2</v>
      </c>
    </row>
    <row r="35" spans="1:23">
      <c r="A35" s="44" t="str">
        <f>'Energy Usage'!A22</f>
        <v>Condensing Gas</v>
      </c>
      <c r="B35" s="122">
        <f>'Water Heater Stock'!B10*'O&amp;M Cost'!$D9/1000000</f>
        <v>0</v>
      </c>
      <c r="C35" s="122">
        <f>'Water Heater Stock'!C10*'O&amp;M Cost'!$D9/1000000</f>
        <v>3.0661572487958983E-3</v>
      </c>
      <c r="D35" s="122">
        <f>'Water Heater Stock'!D10*'O&amp;M Cost'!$D9/1000000</f>
        <v>5.9150072720958657E-3</v>
      </c>
      <c r="E35" s="122">
        <f>'Water Heater Stock'!E10*'O&amp;M Cost'!$D9/1000000</f>
        <v>8.5620140000347653E-3</v>
      </c>
      <c r="F35" s="122">
        <f>'Water Heater Stock'!F10*'O&amp;M Cost'!$D9/1000000</f>
        <v>1.1021536042704311E-2</v>
      </c>
      <c r="G35" s="122">
        <f>'Water Heater Stock'!G10*'O&amp;M Cost'!$D9/1000000</f>
        <v>1.3306905655283426E-2</v>
      </c>
      <c r="H35" s="122">
        <f>'Water Heater Stock'!H10*'O&amp;M Cost'!$D9/1000000</f>
        <v>1.5430502063303254E-2</v>
      </c>
      <c r="I35" s="122">
        <f>'Water Heater Stock'!I10*'O&amp;M Cost'!$D9/1000000</f>
        <v>1.7403819550888454E-2</v>
      </c>
      <c r="J35" s="122">
        <f>'Water Heater Stock'!J10*'O&amp;M Cost'!$D9/1000000</f>
        <v>1.9237530686041476E-2</v>
      </c>
      <c r="K35" s="122">
        <f>'Water Heater Stock'!K10*'O&amp;M Cost'!$D9/1000000</f>
        <v>2.0941545030316814E-2</v>
      </c>
      <c r="L35" s="122">
        <f>'Water Heater Stock'!L10*'O&amp;M Cost'!$D9/1000000</f>
        <v>2.2525063655421236E-2</v>
      </c>
      <c r="M35" s="122">
        <f>'Water Heater Stock'!M10*'O&amp;M Cost'!$D9/1000000</f>
        <v>2.3996629766236986E-2</v>
      </c>
      <c r="N35" s="122">
        <f>'Water Heater Stock'!N10*'O&amp;M Cost'!$D9/1000000</f>
        <v>2.5364175708371975E-2</v>
      </c>
      <c r="O35" s="122">
        <f>'Water Heater Stock'!O10*'O&amp;M Cost'!$D9/1000000</f>
        <v>2.6635066618475499E-2</v>
      </c>
      <c r="P35" s="122">
        <f>'Water Heater Stock'!P10*'O&amp;M Cost'!$D9/1000000</f>
        <v>2.7816140957112184E-2</v>
      </c>
      <c r="Q35" s="122">
        <f>'Water Heater Stock'!Q10*'O&amp;M Cost'!$D9/1000000</f>
        <v>2.8913748146858011E-2</v>
      </c>
      <c r="R35" s="122">
        <f>'Water Heater Stock'!R10*'O&amp;M Cost'!$D9/1000000</f>
        <v>2.9933783522377262E-2</v>
      </c>
      <c r="S35" s="122">
        <f>'Water Heater Stock'!S10*'O&amp;M Cost'!$D9/1000000</f>
        <v>3.0881720784470157E-2</v>
      </c>
      <c r="T35" s="122">
        <f>'Water Heater Stock'!T10*'O&amp;M Cost'!$D9/1000000</f>
        <v>3.1762642136366925E-2</v>
      </c>
      <c r="U35" s="122">
        <f>'Water Heater Stock'!U10*'O&amp;M Cost'!$D9/1000000</f>
        <v>3.258126626780946E-2</v>
      </c>
      <c r="V35" s="122">
        <f>'Water Heater Stock'!V10*'O&amp;M Cost'!$D9/1000000</f>
        <v>3.3341974340636807E-2</v>
      </c>
      <c r="W35" s="122">
        <f>'Water Heater Stock'!W10*'O&amp;M Cost'!$D9/1000000</f>
        <v>3.404883411861076E-2</v>
      </c>
    </row>
    <row r="37" spans="1:23">
      <c r="A37" s="12" t="s">
        <v>114</v>
      </c>
    </row>
    <row r="38" spans="1:23">
      <c r="A38" s="14" t="str">
        <f>'Energy Usage'!A25</f>
        <v>Water Heat Ending</v>
      </c>
      <c r="B38" s="9">
        <f>'Energy Usage'!B25</f>
        <v>2014</v>
      </c>
      <c r="C38" s="9">
        <f>'Energy Usage'!C25</f>
        <v>2015</v>
      </c>
      <c r="D38" s="9">
        <f>'Energy Usage'!D25</f>
        <v>2016</v>
      </c>
      <c r="E38" s="9">
        <f>'Energy Usage'!E25</f>
        <v>2017</v>
      </c>
      <c r="F38" s="9">
        <f>'Energy Usage'!F25</f>
        <v>2018</v>
      </c>
      <c r="G38" s="9">
        <f>'Energy Usage'!G25</f>
        <v>2019</v>
      </c>
      <c r="H38" s="9">
        <f>'Energy Usage'!H25</f>
        <v>2020</v>
      </c>
      <c r="I38" s="9">
        <f>'Energy Usage'!I25</f>
        <v>2021</v>
      </c>
      <c r="J38" s="9">
        <f>'Energy Usage'!J25</f>
        <v>2022</v>
      </c>
      <c r="K38" s="9">
        <f>'Energy Usage'!K25</f>
        <v>2023</v>
      </c>
      <c r="L38" s="9">
        <f>'Energy Usage'!L25</f>
        <v>2024</v>
      </c>
      <c r="M38" s="9">
        <f>'Energy Usage'!M25</f>
        <v>2025</v>
      </c>
      <c r="N38" s="9">
        <f>'Energy Usage'!N25</f>
        <v>2026</v>
      </c>
      <c r="O38" s="9">
        <f>'Energy Usage'!O25</f>
        <v>2027</v>
      </c>
      <c r="P38" s="9">
        <f>'Energy Usage'!P25</f>
        <v>2028</v>
      </c>
      <c r="Q38" s="9">
        <f>'Energy Usage'!Q25</f>
        <v>2029</v>
      </c>
      <c r="R38" s="9">
        <f>'Energy Usage'!R25</f>
        <v>2030</v>
      </c>
      <c r="S38" s="9">
        <f>'Energy Usage'!S25</f>
        <v>2031</v>
      </c>
      <c r="T38" s="9">
        <f>'Energy Usage'!T25</f>
        <v>2032</v>
      </c>
      <c r="U38" s="9">
        <f>'Energy Usage'!U25</f>
        <v>2033</v>
      </c>
      <c r="V38" s="9">
        <f>'Energy Usage'!V25</f>
        <v>2034</v>
      </c>
      <c r="W38" s="9">
        <f>'Energy Usage'!W25</f>
        <v>2035</v>
      </c>
    </row>
    <row r="39" spans="1:23" ht="16.5" thickBot="1">
      <c r="A39" s="47" t="s">
        <v>45</v>
      </c>
      <c r="B39" s="128">
        <f t="shared" ref="B39" si="9">SUM(B40:B44)</f>
        <v>2.1061632537406823</v>
      </c>
      <c r="C39" s="128">
        <f t="shared" ref="C39:W39" si="10">SUM(C40:C44)</f>
        <v>2.0558681617495163</v>
      </c>
      <c r="D39" s="128">
        <f t="shared" si="10"/>
        <v>2.009645963406558</v>
      </c>
      <c r="E39" s="128">
        <f t="shared" si="10"/>
        <v>1.9672667011028524</v>
      </c>
      <c r="F39" s="128">
        <f t="shared" si="10"/>
        <v>1.92851444203228</v>
      </c>
      <c r="G39" s="128">
        <f t="shared" si="10"/>
        <v>1.893186439434958</v>
      </c>
      <c r="H39" s="128">
        <f t="shared" si="10"/>
        <v>1.8610923442087715</v>
      </c>
      <c r="I39" s="128">
        <f t="shared" si="10"/>
        <v>1.8320534638688615</v>
      </c>
      <c r="J39" s="128">
        <f t="shared" si="10"/>
        <v>1.8059020660159701</v>
      </c>
      <c r="K39" s="128">
        <f t="shared" si="10"/>
        <v>1.7824807236447309</v>
      </c>
      <c r="L39" s="128">
        <f t="shared" si="10"/>
        <v>1.7616416997830355</v>
      </c>
      <c r="M39" s="128">
        <f t="shared" si="10"/>
        <v>1.7432463691039903</v>
      </c>
      <c r="N39" s="128">
        <f t="shared" si="10"/>
        <v>1.7271646742934053</v>
      </c>
      <c r="O39" s="128">
        <f t="shared" si="10"/>
        <v>1.7132746150886879</v>
      </c>
      <c r="P39" s="128">
        <f t="shared" si="10"/>
        <v>1.7014617680299695</v>
      </c>
      <c r="Q39" s="128">
        <f t="shared" si="10"/>
        <v>1.6916188350817776</v>
      </c>
      <c r="R39" s="128">
        <f t="shared" si="10"/>
        <v>1.6836452193939977</v>
      </c>
      <c r="S39" s="128">
        <f t="shared" si="10"/>
        <v>1.6774466265746846</v>
      </c>
      <c r="T39" s="128">
        <f t="shared" si="10"/>
        <v>1.6729346899448845</v>
      </c>
      <c r="U39" s="128">
        <f t="shared" si="10"/>
        <v>1.6700266183373571</v>
      </c>
      <c r="V39" s="128">
        <f t="shared" si="10"/>
        <v>1.6686448650873587</v>
      </c>
      <c r="W39" s="128">
        <f t="shared" si="10"/>
        <v>1.6687168169446922</v>
      </c>
    </row>
    <row r="40" spans="1:23" ht="16.5" thickTop="1">
      <c r="A40" s="9" t="str">
        <f>'Energy Usage'!A27</f>
        <v>Electric Resistance</v>
      </c>
      <c r="B40" s="122">
        <f>(('Energy Usage'!B18*'Retail Rates'!B$5*'Device Energy Use'!$E5+'Energy Usage'!B18*'Retail Rates'!B$6*(1-'Device Energy Use'!$E5)))/1000000</f>
        <v>2.1061632537406823</v>
      </c>
      <c r="C40" s="122">
        <f>(('Energy Usage'!C18*'Retail Rates'!C$5*'Device Energy Use'!$E5+'Energy Usage'!C18*'Retail Rates'!C$6*(1-'Device Energy Use'!$E5)))/1000000</f>
        <v>1.9811501931815658</v>
      </c>
      <c r="D40" s="122">
        <f>(('Energy Usage'!D18*'Retail Rates'!D$5*'Device Energy Use'!$E5+'Energy Usage'!D18*'Retail Rates'!D$6*(1-'Device Energy Use'!$E5)))/1000000</f>
        <v>1.8635575539408469</v>
      </c>
      <c r="E40" s="122">
        <f>(('Energy Usage'!E18*'Retail Rates'!E$5*'Device Energy Use'!$E5+'Energy Usage'!E18*'Retail Rates'!E$6*(1-'Device Energy Use'!$E5)))/1000000</f>
        <v>1.7529448811268118</v>
      </c>
      <c r="F40" s="122">
        <f>(('Energy Usage'!F18*'Retail Rates'!F$5*'Device Energy Use'!$E5+'Energy Usage'!F18*'Retail Rates'!F$6*(1-'Device Energy Use'!$E5)))/1000000</f>
        <v>1.6488978639941996</v>
      </c>
      <c r="G40" s="122">
        <f>(('Energy Usage'!G18*'Retail Rates'!G$5*'Device Energy Use'!$E5+'Energy Usage'!G18*'Retail Rates'!G$6*(1-'Device Energy Use'!$E5)))/1000000</f>
        <v>1.5510267841023695</v>
      </c>
      <c r="H40" s="122">
        <f>(('Energy Usage'!H18*'Retail Rates'!H$5*'Device Energy Use'!$E5+'Energy Usage'!H18*'Retail Rates'!H$6*(1-'Device Energy Use'!$E5)))/1000000</f>
        <v>1.45896505558637</v>
      </c>
      <c r="I40" s="122">
        <f>(('Energy Usage'!I18*'Retail Rates'!I$5*'Device Energy Use'!$E5+'Energy Usage'!I18*'Retail Rates'!I$6*(1-'Device Energy Use'!$E5)))/1000000</f>
        <v>1.3723678520733449</v>
      </c>
      <c r="J40" s="122">
        <f>(('Energy Usage'!J18*'Retail Rates'!J$5*'Device Energy Use'!$E5+'Energy Usage'!J18*'Retail Rates'!J$6*(1-'Device Energy Use'!$E5)))/1000000</f>
        <v>1.2909108151012627</v>
      </c>
      <c r="K40" s="122">
        <f>(('Energy Usage'!K18*'Retail Rates'!K$5*'Device Energy Use'!$E5+'Energy Usage'!K18*'Retail Rates'!K$6*(1-'Device Energy Use'!$E5)))/1000000</f>
        <v>1.2142888392022131</v>
      </c>
      <c r="L40" s="122">
        <f>(('Energy Usage'!L18*'Retail Rates'!L$5*'Device Energy Use'!$E5+'Energy Usage'!L18*'Retail Rates'!L$6*(1-'Device Energy Use'!$E5)))/1000000</f>
        <v>1.1422149290996975</v>
      </c>
      <c r="M40" s="122">
        <f>(('Energy Usage'!M18*'Retail Rates'!M$5*'Device Energy Use'!$E5+'Energy Usage'!M18*'Retail Rates'!M$6*(1-'Device Energy Use'!$E5)))/1000000</f>
        <v>1.0744191247394168</v>
      </c>
      <c r="N40" s="122">
        <f>(('Energy Usage'!N18*'Retail Rates'!N$5*'Device Energy Use'!$E5+'Energy Usage'!N18*'Retail Rates'!N$6*(1-'Device Energy Use'!$E5)))/1000000</f>
        <v>1.0106474901271629</v>
      </c>
      <c r="O40" s="122">
        <f>(('Energy Usage'!O18*'Retail Rates'!O$5*'Device Energy Use'!$E5+'Energy Usage'!O18*'Retail Rates'!O$6*(1-'Device Energy Use'!$E5)))/1000000</f>
        <v>0.95066116218640684</v>
      </c>
      <c r="P40" s="122">
        <f>(('Energy Usage'!P18*'Retail Rates'!P$5*'Device Energy Use'!$E5+'Energy Usage'!P18*'Retail Rates'!P$6*(1-'Device Energy Use'!$E5)))/1000000</f>
        <v>0.8942354560729795</v>
      </c>
      <c r="Q40" s="122">
        <f>(('Energy Usage'!Q18*'Retail Rates'!Q$5*'Device Energy Use'!$E5+'Energy Usage'!Q18*'Retail Rates'!Q$6*(1-'Device Energy Use'!$E5)))/1000000</f>
        <v>0.84115902359572137</v>
      </c>
      <c r="R40" s="122">
        <f>(('Energy Usage'!R18*'Retail Rates'!R$5*'Device Energy Use'!$E5+'Energy Usage'!R18*'Retail Rates'!R$6*(1-'Device Energy Use'!$E5)))/1000000</f>
        <v>0.79123306159087481</v>
      </c>
      <c r="S40" s="122">
        <f>(('Energy Usage'!S18*'Retail Rates'!S$5*'Device Energy Use'!$E5+'Energy Usage'!S18*'Retail Rates'!S$6*(1-'Device Energy Use'!$E5)))/1000000</f>
        <v>0.74427056728511432</v>
      </c>
      <c r="T40" s="122">
        <f>(('Energy Usage'!T18*'Retail Rates'!T$5*'Device Energy Use'!$E5+'Energy Usage'!T18*'Retail Rates'!T$6*(1-'Device Energy Use'!$E5)))/1000000</f>
        <v>0.70009563785809836</v>
      </c>
      <c r="U40" s="122">
        <f>(('Energy Usage'!U18*'Retail Rates'!U$5*'Device Energy Use'!$E5+'Energy Usage'!U18*'Retail Rates'!U$6*(1-'Device Energy Use'!$E5)))/1000000</f>
        <v>0.65854281158098937</v>
      </c>
      <c r="V40" s="122">
        <f>(('Energy Usage'!V18*'Retail Rates'!V$5*'Device Energy Use'!$E5+'Energy Usage'!V18*'Retail Rates'!V$6*(1-'Device Energy Use'!$E5)))/1000000</f>
        <v>0.61945644806310718</v>
      </c>
      <c r="W40" s="122">
        <f>(('Energy Usage'!W18*'Retail Rates'!W$5*'Device Energy Use'!$E5+'Energy Usage'!W18*'Retail Rates'!W$6*(1-'Device Energy Use'!$E5)))/1000000</f>
        <v>0.58269014528537366</v>
      </c>
    </row>
    <row r="41" spans="1:23">
      <c r="A41" s="9" t="str">
        <f>'Energy Usage'!A28</f>
        <v>HPWH</v>
      </c>
      <c r="B41" s="122">
        <f>(('Energy Usage'!B19*'Retail Rates'!B$5*'Device Energy Use'!$E6+'Energy Usage'!B19*'Retail Rates'!B$6*(1-'Device Energy Use'!$E6)))/1000000</f>
        <v>0</v>
      </c>
      <c r="C41" s="122">
        <f>(('Energy Usage'!C19*'Retail Rates'!C$5*'Device Energy Use'!$E6+'Energy Usage'!C19*'Retail Rates'!C$6*(1-'Device Energy Use'!$E6)))/1000000</f>
        <v>4.038596855550898E-2</v>
      </c>
      <c r="D41" s="122">
        <f>(('Energy Usage'!D19*'Retail Rates'!D$5*'Device Energy Use'!$E6+'Energy Usage'!D19*'Retail Rates'!D$6*(1-'Device Energy Use'!$E6)))/1000000</f>
        <v>7.8822794180381253E-2</v>
      </c>
      <c r="E41" s="122">
        <f>(('Energy Usage'!E19*'Retail Rates'!E$5*'Device Energy Use'!$E6+'Energy Usage'!E19*'Retail Rates'!E$6*(1-'Device Energy Use'!$E6)))/1000000</f>
        <v>0.11543119824935166</v>
      </c>
      <c r="F41" s="122">
        <f>(('Energy Usage'!F19*'Retail Rates'!F$5*'Device Energy Use'!$E6+'Energy Usage'!F19*'Retail Rates'!F$6*(1-'Device Energy Use'!$E6)))/1000000</f>
        <v>0.15032480454818539</v>
      </c>
      <c r="G41" s="122">
        <f>(('Energy Usage'!G19*'Retail Rates'!G$5*'Device Energy Use'!$E6+'Energy Usage'!G19*'Retail Rates'!G$6*(1-'Device Energy Use'!$E6)))/1000000</f>
        <v>0.18361056179905849</v>
      </c>
      <c r="H41" s="122">
        <f>(('Energy Usage'!H19*'Retail Rates'!H$5*'Device Energy Use'!$E6+'Energy Usage'!H19*'Retail Rates'!H$6*(1-'Device Energy Use'!$E6)))/1000000</f>
        <v>0.21538914112897273</v>
      </c>
      <c r="I41" s="122">
        <f>(('Energy Usage'!I19*'Retail Rates'!I$5*'Device Energy Use'!$E6+'Energy Usage'!I19*'Retail Rates'!I$6*(1-'Device Energy Use'!$E6)))/1000000</f>
        <v>0.24575530996882508</v>
      </c>
      <c r="J41" s="122">
        <f>(('Energy Usage'!J19*'Retail Rates'!J$5*'Device Energy Use'!$E6+'Energy Usage'!J19*'Retail Rates'!J$6*(1-'Device Energy Use'!$E6)))/1000000</f>
        <v>0.27479828378245208</v>
      </c>
      <c r="K41" s="122">
        <f>(('Energy Usage'!K19*'Retail Rates'!K$5*'Device Energy Use'!$E6+'Energy Usage'!K19*'Retail Rates'!K$6*(1-'Device Energy Use'!$E6)))/1000000</f>
        <v>0.30260205694191467</v>
      </c>
      <c r="L41" s="122">
        <f>(('Energy Usage'!L19*'Retail Rates'!L$5*'Device Energy Use'!$E6+'Energy Usage'!L19*'Retail Rates'!L$6*(1-'Device Energy Use'!$E6)))/1000000</f>
        <v>0.32924571398716257</v>
      </c>
      <c r="M41" s="122">
        <f>(('Energy Usage'!M19*'Retail Rates'!M$5*'Device Energy Use'!$E6+'Energy Usage'!M19*'Retail Rates'!M$6*(1-'Device Energy Use'!$E6)))/1000000</f>
        <v>0.35480372243472635</v>
      </c>
      <c r="N41" s="122">
        <f>(('Energy Usage'!N19*'Retail Rates'!N$5*'Device Energy Use'!$E6+'Energy Usage'!N19*'Retail Rates'!N$6*(1-'Device Energy Use'!$E6)))/1000000</f>
        <v>0.37934620823096088</v>
      </c>
      <c r="O41" s="122">
        <f>(('Energy Usage'!O19*'Retail Rates'!O$5*'Device Energy Use'!$E6+'Energy Usage'!O19*'Retail Rates'!O$6*(1-'Device Energy Use'!$E6)))/1000000</f>
        <v>0.40293921488033962</v>
      </c>
      <c r="P41" s="122">
        <f>(('Energy Usage'!P19*'Retail Rates'!P$5*'Device Energy Use'!$E6+'Energy Usage'!P19*'Retail Rates'!P$6*(1-'Device Energy Use'!$E6)))/1000000</f>
        <v>0.42564494721813562</v>
      </c>
      <c r="Q41" s="122">
        <f>(('Energy Usage'!Q19*'Retail Rates'!Q$5*'Device Energy Use'!$E6+'Energy Usage'!Q19*'Retail Rates'!Q$6*(1-'Device Energy Use'!$E6)))/1000000</f>
        <v>0.44752200073929049</v>
      </c>
      <c r="R41" s="122">
        <f>(('Energy Usage'!R19*'Retail Rates'!R$5*'Device Energy Use'!$E6+'Energy Usage'!R19*'Retail Rates'!R$6*(1-'Device Energy Use'!$E6)))/1000000</f>
        <v>0.46862557734115812</v>
      </c>
      <c r="S41" s="122">
        <f>(('Energy Usage'!S19*'Retail Rates'!S$5*'Device Energy Use'!$E6+'Energy Usage'!S19*'Retail Rates'!S$6*(1-'Device Energy Use'!$E6)))/1000000</f>
        <v>0.4890076882869005</v>
      </c>
      <c r="T41" s="122">
        <f>(('Energy Usage'!T19*'Retail Rates'!T$5*'Device Energy Use'!$E6+'Energy Usage'!T19*'Retail Rates'!T$6*(1-'Device Energy Use'!$E6)))/1000000</f>
        <v>0.50871734514843192</v>
      </c>
      <c r="U41" s="122">
        <f>(('Energy Usage'!U19*'Retail Rates'!U$5*'Device Energy Use'!$E6+'Energy Usage'!U19*'Retail Rates'!U$6*(1-'Device Energy Use'!$E6)))/1000000</f>
        <v>0.52780073944276529</v>
      </c>
      <c r="V41" s="122">
        <f>(('Energy Usage'!V19*'Retail Rates'!V$5*'Device Energy Use'!$E6+'Energy Usage'!V19*'Retail Rates'!V$6*(1-'Device Energy Use'!$E6)))/1000000</f>
        <v>0.54630141163324608</v>
      </c>
      <c r="W41" s="122">
        <f>(('Energy Usage'!W19*'Retail Rates'!W$5*'Device Energy Use'!$E6+'Energy Usage'!W19*'Retail Rates'!W$6*(1-'Device Energy Use'!$E6)))/1000000</f>
        <v>0.56426041012730965</v>
      </c>
    </row>
    <row r="42" spans="1:23">
      <c r="A42" s="9" t="str">
        <f>'Energy Usage'!A29</f>
        <v>Gas Tank</v>
      </c>
      <c r="B42" s="122">
        <f>(('Energy Usage'!B20*'Retail Rates'!B$5*'Device Energy Use'!$E7+'Energy Usage'!B20*'Retail Rates'!B$6*(1-'Device Energy Use'!$E7)))/1000000</f>
        <v>0</v>
      </c>
      <c r="C42" s="122">
        <f>(('Energy Usage'!C20*'Retail Rates'!C$5*'Device Energy Use'!$E7+'Energy Usage'!C20*'Retail Rates'!C$6*(1-'Device Energy Use'!$E7)))/1000000</f>
        <v>3.7046651587730792E-6</v>
      </c>
      <c r="D42" s="122">
        <f>(('Energy Usage'!D20*'Retail Rates'!D$5*'Device Energy Use'!$E7+'Energy Usage'!D20*'Retail Rates'!D$6*(1-'Device Energy Use'!$E7)))/1000000</f>
        <v>7.219451673048488E-6</v>
      </c>
      <c r="E42" s="122">
        <f>(('Energy Usage'!E20*'Retail Rates'!E$5*'Device Energy Use'!$E7+'Energy Usage'!E20*'Retail Rates'!E$6*(1-'Device Energy Use'!$E7)))/1000000</f>
        <v>1.0555337103433897E-5</v>
      </c>
      <c r="F42" s="122">
        <f>(('Energy Usage'!F20*'Retail Rates'!F$5*'Device Energy Use'!$E7+'Energy Usage'!F20*'Retail Rates'!F$6*(1-'Device Energy Use'!$E7)))/1000000</f>
        <v>1.3722669878638611E-5</v>
      </c>
      <c r="G42" s="122">
        <f>(('Energy Usage'!G20*'Retail Rates'!G$5*'Device Energy Use'!$E7+'Energy Usage'!G20*'Retail Rates'!G$6*(1-'Device Energy Use'!$E7)))/1000000</f>
        <v>1.6731205548784583E-5</v>
      </c>
      <c r="H42" s="122">
        <f>(('Energy Usage'!H20*'Retail Rates'!H$5*'Device Energy Use'!$E7+'Energy Usage'!H20*'Retail Rates'!H$6*(1-'Device Energy Use'!$E7)))/1000000</f>
        <v>1.9590140954167037E-5</v>
      </c>
      <c r="I42" s="122">
        <f>(('Energy Usage'!I20*'Retail Rates'!I$5*'Device Energy Use'!$E7+'Energy Usage'!I20*'Retail Rates'!I$6*(1-'Device Energy Use'!$E7)))/1000000</f>
        <v>2.2308146429298683E-5</v>
      </c>
      <c r="J42" s="122">
        <f>(('Energy Usage'!J20*'Retail Rates'!J$5*'Device Energy Use'!$E7+'Energy Usage'!J20*'Retail Rates'!J$6*(1-'Device Energy Use'!$E7)))/1000000</f>
        <v>2.4893396155181969E-5</v>
      </c>
      <c r="K42" s="122">
        <f>(('Energy Usage'!K20*'Retail Rates'!K$5*'Device Energy Use'!$E7+'Energy Usage'!K20*'Retail Rates'!K$6*(1-'Device Energy Use'!$E7)))/1000000</f>
        <v>2.7353596766260781E-5</v>
      </c>
      <c r="L42" s="122">
        <f>(('Energy Usage'!L20*'Retail Rates'!L$5*'Device Energy Use'!$E7+'Energy Usage'!L20*'Retail Rates'!L$6*(1-'Device Energy Use'!$E7)))/1000000</f>
        <v>2.9696014312383217E-5</v>
      </c>
      <c r="M42" s="122">
        <f>(('Energy Usage'!M20*'Retail Rates'!M$5*'Device Energy Use'!$E7+'Energy Usage'!M20*'Retail Rates'!M$6*(1-'Device Energy Use'!$E7)))/1000000</f>
        <v>3.192749967033913E-5</v>
      </c>
      <c r="N42" s="122">
        <f>(('Energy Usage'!N20*'Retail Rates'!N$5*'Device Energy Use'!$E7+'Energy Usage'!N20*'Retail Rates'!N$6*(1-'Device Energy Use'!$E7)))/1000000</f>
        <v>3.4054512494100139E-5</v>
      </c>
      <c r="O42" s="122">
        <f>(('Energy Usage'!O20*'Retail Rates'!O$5*'Device Energy Use'!$E7+'Energy Usage'!O20*'Retail Rates'!O$6*(1-'Device Energy Use'!$E7)))/1000000</f>
        <v>3.6083143787765955E-5</v>
      </c>
      <c r="P42" s="122">
        <f>(('Energy Usage'!P20*'Retail Rates'!P$5*'Device Energy Use'!$E7+'Energy Usage'!P20*'Retail Rates'!P$6*(1-'Device Energy Use'!$E7)))/1000000</f>
        <v>3.8019137180392327E-5</v>
      </c>
      <c r="Q42" s="122">
        <f>(('Energy Usage'!Q20*'Retail Rates'!Q$5*'Device Energy Use'!$E7+'Energy Usage'!Q20*'Retail Rates'!Q$6*(1-'Device Energy Use'!$E7)))/1000000</f>
        <v>3.9867908977324064E-5</v>
      </c>
      <c r="R42" s="122">
        <f>(('Energy Usage'!R20*'Retail Rates'!R$5*'Device Energy Use'!$E7+'Energy Usage'!R20*'Retail Rates'!R$6*(1-'Device Energy Use'!$E7)))/1000000</f>
        <v>4.1634567058367793E-5</v>
      </c>
      <c r="S42" s="122">
        <f>(('Energy Usage'!S20*'Retail Rates'!S$5*'Device Energy Use'!$E7+'Energy Usage'!S20*'Retail Rates'!S$6*(1-'Device Energy Use'!$E7)))/1000000</f>
        <v>4.3323928689095459E-5</v>
      </c>
      <c r="T42" s="122">
        <f>(('Energy Usage'!T20*'Retail Rates'!T$5*'Device Energy Use'!$E7+'Energy Usage'!T20*'Retail Rates'!T$6*(1-'Device Energy Use'!$E7)))/1000000</f>
        <v>4.4940537307759632E-5</v>
      </c>
      <c r="U42" s="122">
        <f>(('Energy Usage'!U20*'Retail Rates'!U$5*'Device Energy Use'!$E7+'Energy Usage'!U20*'Retail Rates'!U$6*(1-'Device Energy Use'!$E7)))/1000000</f>
        <v>4.6488678346710427E-5</v>
      </c>
      <c r="V42" s="122">
        <f>(('Energy Usage'!V20*'Retail Rates'!V$5*'Device Energy Use'!$E7+'Energy Usage'!V20*'Retail Rates'!V$6*(1-'Device Energy Use'!$E7)))/1000000</f>
        <v>4.7972394143818414E-5</v>
      </c>
      <c r="W42" s="122">
        <f>(('Energy Usage'!W20*'Retail Rates'!W$5*'Device Energy Use'!$E7+'Energy Usage'!W20*'Retail Rates'!W$6*(1-'Device Energy Use'!$E7)))/1000000</f>
        <v>4.9395497996218594E-5</v>
      </c>
    </row>
    <row r="43" spans="1:23">
      <c r="A43" s="9" t="str">
        <f>'Energy Usage'!A30</f>
        <v>Instant Gas</v>
      </c>
      <c r="B43" s="122">
        <f>(('Energy Usage'!B21*'Retail Rates'!B$5*'Device Energy Use'!$E8+'Energy Usage'!B21*'Retail Rates'!B$6*(1-'Device Energy Use'!$E8)))/1000000</f>
        <v>0</v>
      </c>
      <c r="C43" s="122">
        <f>(('Energy Usage'!C21*'Retail Rates'!C$5*'Device Energy Use'!$E8+'Energy Usage'!C21*'Retail Rates'!C$6*(1-'Device Energy Use'!$E8)))/1000000</f>
        <v>9.4785423098565774E-3</v>
      </c>
      <c r="D43" s="122">
        <f>(('Energy Usage'!D21*'Retail Rates'!D$5*'Device Energy Use'!$E8+'Energy Usage'!D21*'Retail Rates'!D$6*(1-'Device Energy Use'!$E8)))/1000000</f>
        <v>1.8600986943866322E-2</v>
      </c>
      <c r="E43" s="122">
        <f>(('Energy Usage'!E21*'Retail Rates'!E$5*'Device Energy Use'!$E8+'Energy Usage'!E21*'Retail Rates'!E$6*(1-'Device Energy Use'!$E8)))/1000000</f>
        <v>2.7391650921962905E-2</v>
      </c>
      <c r="F43" s="122">
        <f>(('Energy Usage'!F21*'Retail Rates'!F$5*'Device Energy Use'!$E8+'Energy Usage'!F21*'Retail Rates'!F$6*(1-'Device Energy Use'!$E8)))/1000000</f>
        <v>3.5873528248030619E-2</v>
      </c>
      <c r="G43" s="122">
        <f>(('Energy Usage'!G21*'Retail Rates'!G$5*'Device Energy Use'!$E8+'Energy Usage'!G21*'Retail Rates'!G$6*(1-'Device Energy Use'!$E8)))/1000000</f>
        <v>4.406836726425032E-2</v>
      </c>
      <c r="H43" s="122">
        <f>(('Energy Usage'!H21*'Retail Rates'!H$5*'Device Energy Use'!$E8+'Energy Usage'!H21*'Retail Rates'!H$6*(1-'Device Energy Use'!$E8)))/1000000</f>
        <v>5.1996743572039941E-2</v>
      </c>
      <c r="I43" s="122">
        <f>(('Energy Usage'!I21*'Retail Rates'!I$5*'Device Energy Use'!$E8+'Energy Usage'!I21*'Retail Rates'!I$6*(1-'Device Energy Use'!$E8)))/1000000</f>
        <v>5.9678128774449446E-2</v>
      </c>
      <c r="J43" s="122">
        <f>(('Energy Usage'!J21*'Retail Rates'!J$5*'Device Energy Use'!$E8+'Energy Usage'!J21*'Retail Rates'!J$6*(1-'Device Energy Use'!$E8)))/1000000</f>
        <v>6.7130955280208418E-2</v>
      </c>
      <c r="K43" s="122">
        <f>(('Energy Usage'!K21*'Retail Rates'!K$5*'Device Energy Use'!$E8+'Energy Usage'!K21*'Retail Rates'!K$6*(1-'Device Energy Use'!$E8)))/1000000</f>
        <v>7.4372677395807954E-2</v>
      </c>
      <c r="L43" s="122">
        <f>(('Energy Usage'!L21*'Retail Rates'!L$5*'Device Energy Use'!$E8+'Energy Usage'!L21*'Retail Rates'!L$6*(1-'Device Energy Use'!$E8)))/1000000</f>
        <v>8.1419828918974507E-2</v>
      </c>
      <c r="M43" s="122">
        <f>(('Energy Usage'!M21*'Retail Rates'!M$5*'Device Energy Use'!$E8+'Energy Usage'!M21*'Retail Rates'!M$6*(1-'Device Energy Use'!$E8)))/1000000</f>
        <v>8.8288077434619722E-2</v>
      </c>
      <c r="N43" s="122">
        <f>(('Energy Usage'!N21*'Retail Rates'!N$5*'Device Energy Use'!$E8+'Energy Usage'!N21*'Retail Rates'!N$6*(1-'Device Energy Use'!$E8)))/1000000</f>
        <v>9.4992275502781762E-2</v>
      </c>
      <c r="O43" s="122">
        <f>(('Energy Usage'!O21*'Retail Rates'!O$5*'Device Energy Use'!$E8+'Energy Usage'!O21*'Retail Rates'!O$6*(1-'Device Energy Use'!$E8)))/1000000</f>
        <v>0.1015465089171706</v>
      </c>
      <c r="P43" s="122">
        <f>(('Energy Usage'!P21*'Retail Rates'!P$5*'Device Energy Use'!$E8+'Energy Usage'!P21*'Retail Rates'!P$6*(1-'Device Energy Use'!$E8)))/1000000</f>
        <v>0.10796414220265392</v>
      </c>
      <c r="Q43" s="122">
        <f>(('Energy Usage'!Q21*'Retail Rates'!Q$5*'Device Energy Use'!$E8+'Energy Usage'!Q21*'Retail Rates'!Q$6*(1-'Device Energy Use'!$E8)))/1000000</f>
        <v>0.11425786151033522</v>
      </c>
      <c r="R43" s="122">
        <f>(('Energy Usage'!R21*'Retail Rates'!R$5*'Device Energy Use'!$E8+'Energy Usage'!R21*'Retail Rates'!R$6*(1-'Device Energy Use'!$E8)))/1000000</f>
        <v>0.12043971505974747</v>
      </c>
      <c r="S43" s="122">
        <f>(('Energy Usage'!S21*'Retail Rates'!S$5*'Device Energy Use'!$E8+'Energy Usage'!S21*'Retail Rates'!S$6*(1-'Device Energy Use'!$E8)))/1000000</f>
        <v>0.12652115126908384</v>
      </c>
      <c r="T43" s="122">
        <f>(('Energy Usage'!T21*'Retail Rates'!T$5*'Device Energy Use'!$E8+'Energy Usage'!T21*'Retail Rates'!T$6*(1-'Device Energy Use'!$E8)))/1000000</f>
        <v>0.13251305470627728</v>
      </c>
      <c r="U43" s="122">
        <f>(('Energy Usage'!U21*'Retail Rates'!U$5*'Device Energy Use'!$E8+'Energy Usage'!U21*'Retail Rates'!U$6*(1-'Device Energy Use'!$E8)))/1000000</f>
        <v>0.13842577998610092</v>
      </c>
      <c r="V43" s="122">
        <f>(('Energy Usage'!V21*'Retail Rates'!V$5*'Device Energy Use'!$E8+'Energy Usage'!V21*'Retail Rates'!V$6*(1-'Device Energy Use'!$E8)))/1000000</f>
        <v>0.14426918373125805</v>
      </c>
      <c r="W43" s="122">
        <f>(('Energy Usage'!W21*'Retail Rates'!W$5*'Device Energy Use'!$E8+'Energy Usage'!W21*'Retail Rates'!W$6*(1-'Device Energy Use'!$E8)))/1000000</f>
        <v>0.15005265470864301</v>
      </c>
    </row>
    <row r="44" spans="1:23">
      <c r="A44" s="9" t="str">
        <f>'Energy Usage'!A31</f>
        <v>Condensing Gas</v>
      </c>
      <c r="B44" s="122">
        <f>(('Energy Usage'!B22*'Retail Rates'!B$5*'Device Energy Use'!$E9+'Energy Usage'!B22*'Retail Rates'!B$6*(1-'Device Energy Use'!$E9)))/1000000</f>
        <v>0</v>
      </c>
      <c r="C44" s="122">
        <f>(('Energy Usage'!C22*'Retail Rates'!C$5*'Device Energy Use'!$E9+'Energy Usage'!C22*'Retail Rates'!C$6*(1-'Device Energy Use'!$E9)))/1000000</f>
        <v>2.4849753037426519E-2</v>
      </c>
      <c r="D44" s="122">
        <f>(('Energy Usage'!D22*'Retail Rates'!D$5*'Device Energy Use'!$E9+'Energy Usage'!D22*'Retail Rates'!D$6*(1-'Device Energy Use'!$E9)))/1000000</f>
        <v>4.8657408889790338E-2</v>
      </c>
      <c r="E44" s="122">
        <f>(('Energy Usage'!E22*'Retail Rates'!E$5*'Device Energy Use'!$E9+'Energy Usage'!E22*'Retail Rates'!E$6*(1-'Device Energy Use'!$E9)))/1000000</f>
        <v>7.1488415467622538E-2</v>
      </c>
      <c r="F44" s="122">
        <f>(('Energy Usage'!F22*'Retail Rates'!F$5*'Device Energy Use'!$E9+'Energy Usage'!F22*'Retail Rates'!F$6*(1-'Device Energy Use'!$E9)))/1000000</f>
        <v>9.3404522571985782E-2</v>
      </c>
      <c r="G44" s="122">
        <f>(('Energy Usage'!G22*'Retail Rates'!G$5*'Device Energy Use'!$E9+'Energy Usage'!G22*'Retail Rates'!G$6*(1-'Device Energy Use'!$E9)))/1000000</f>
        <v>0.11446399506373096</v>
      </c>
      <c r="H44" s="122">
        <f>(('Energy Usage'!H22*'Retail Rates'!H$5*'Device Energy Use'!$E9+'Energy Usage'!H22*'Retail Rates'!H$6*(1-'Device Energy Use'!$E9)))/1000000</f>
        <v>0.13472181378043466</v>
      </c>
      <c r="I44" s="122">
        <f>(('Energy Usage'!I22*'Retail Rates'!I$5*'Device Energy Use'!$E9+'Energy Usage'!I22*'Retail Rates'!I$6*(1-'Device Energy Use'!$E9)))/1000000</f>
        <v>0.15422986490581292</v>
      </c>
      <c r="J44" s="122">
        <f>(('Energy Usage'!J22*'Retail Rates'!J$5*'Device Energy Use'!$E9+'Energy Usage'!J22*'Retail Rates'!J$6*(1-'Device Energy Use'!$E9)))/1000000</f>
        <v>0.17303711845589181</v>
      </c>
      <c r="K44" s="122">
        <f>(('Energy Usage'!K22*'Retail Rates'!K$5*'Device Energy Use'!$E9+'Energy Usage'!K22*'Retail Rates'!K$6*(1-'Device Energy Use'!$E9)))/1000000</f>
        <v>0.1911897965080287</v>
      </c>
      <c r="L44" s="122">
        <f>(('Energy Usage'!L22*'Retail Rates'!L$5*'Device Energy Use'!$E9+'Energy Usage'!L22*'Retail Rates'!L$6*(1-'Device Energy Use'!$E9)))/1000000</f>
        <v>0.2087315317628885</v>
      </c>
      <c r="M44" s="122">
        <f>(('Energy Usage'!M22*'Retail Rates'!M$5*'Device Energy Use'!$E9+'Energy Usage'!M22*'Retail Rates'!M$6*(1-'Device Energy Use'!$E9)))/1000000</f>
        <v>0.22570351699555716</v>
      </c>
      <c r="N44" s="122">
        <f>(('Energy Usage'!N22*'Retail Rates'!N$5*'Device Energy Use'!$E9+'Energy Usage'!N22*'Retail Rates'!N$6*(1-'Device Energy Use'!$E9)))/1000000</f>
        <v>0.2421446459200057</v>
      </c>
      <c r="O44" s="122">
        <f>(('Energy Usage'!O22*'Retail Rates'!O$5*'Device Energy Use'!$E9+'Energy Usage'!O22*'Retail Rates'!O$6*(1-'Device Energy Use'!$E9)))/1000000</f>
        <v>0.25809164596098322</v>
      </c>
      <c r="P44" s="122">
        <f>(('Energy Usage'!P22*'Retail Rates'!P$5*'Device Energy Use'!$E9+'Energy Usage'!P22*'Retail Rates'!P$6*(1-'Device Energy Use'!$E9)))/1000000</f>
        <v>0.27357920339902014</v>
      </c>
      <c r="Q44" s="122">
        <f>(('Energy Usage'!Q22*'Retail Rates'!Q$5*'Device Energy Use'!$E9+'Energy Usage'!Q22*'Retail Rates'!Q$6*(1-'Device Energy Use'!$E9)))/1000000</f>
        <v>0.28864008132745339</v>
      </c>
      <c r="R44" s="122">
        <f>(('Energy Usage'!R22*'Retail Rates'!R$5*'Device Energy Use'!$E9+'Energy Usage'!R22*'Retail Rates'!R$6*(1-'Device Energy Use'!$E9)))/1000000</f>
        <v>0.30330523083515887</v>
      </c>
      <c r="S44" s="122">
        <f>(('Energy Usage'!S22*'Retail Rates'!S$5*'Device Energy Use'!$E9+'Energy Usage'!S22*'Retail Rates'!S$6*(1-'Device Energy Use'!$E9)))/1000000</f>
        <v>0.31760389580489706</v>
      </c>
      <c r="T44" s="122">
        <f>(('Energy Usage'!T22*'Retail Rates'!T$5*'Device Energy Use'!$E9+'Energy Usage'!T22*'Retail Rates'!T$6*(1-'Device Energy Use'!$E9)))/1000000</f>
        <v>0.33156371169476906</v>
      </c>
      <c r="U44" s="122">
        <f>(('Energy Usage'!U22*'Retail Rates'!U$5*'Device Energy Use'!$E9+'Energy Usage'!U22*'Retail Rates'!U$6*(1-'Device Energy Use'!$E9)))/1000000</f>
        <v>0.3452107986491551</v>
      </c>
      <c r="V44" s="122">
        <f>(('Energy Usage'!V22*'Retail Rates'!V$5*'Device Energy Use'!$E9+'Energy Usage'!V22*'Retail Rates'!V$6*(1-'Device Energy Use'!$E9)))/1000000</f>
        <v>0.35856984926560359</v>
      </c>
      <c r="W44" s="122">
        <f>(('Energy Usage'!W22*'Retail Rates'!W$5*'Device Energy Use'!$E9+'Energy Usage'!W22*'Retail Rates'!W$6*(1-'Device Energy Use'!$E9)))/1000000</f>
        <v>0.37166421132536975</v>
      </c>
    </row>
    <row r="47" spans="1:23">
      <c r="A47" s="12" t="s">
        <v>115</v>
      </c>
    </row>
    <row r="48" spans="1:23">
      <c r="A48" s="14" t="str">
        <f t="shared" ref="A48:W48" si="11">A57</f>
        <v>Water Heat Ending</v>
      </c>
      <c r="B48" s="9">
        <f t="shared" si="11"/>
        <v>2014</v>
      </c>
      <c r="C48" s="9">
        <f t="shared" si="11"/>
        <v>2015</v>
      </c>
      <c r="D48" s="9">
        <f t="shared" si="11"/>
        <v>2016</v>
      </c>
      <c r="E48" s="9">
        <f t="shared" si="11"/>
        <v>2017</v>
      </c>
      <c r="F48" s="9">
        <f t="shared" si="11"/>
        <v>2018</v>
      </c>
      <c r="G48" s="9">
        <f t="shared" si="11"/>
        <v>2019</v>
      </c>
      <c r="H48" s="9">
        <f t="shared" si="11"/>
        <v>2020</v>
      </c>
      <c r="I48" s="9">
        <f t="shared" si="11"/>
        <v>2021</v>
      </c>
      <c r="J48" s="9">
        <f t="shared" si="11"/>
        <v>2022</v>
      </c>
      <c r="K48" s="9">
        <f t="shared" si="11"/>
        <v>2023</v>
      </c>
      <c r="L48" s="9">
        <f t="shared" si="11"/>
        <v>2024</v>
      </c>
      <c r="M48" s="9">
        <f t="shared" si="11"/>
        <v>2025</v>
      </c>
      <c r="N48" s="9">
        <f t="shared" si="11"/>
        <v>2026</v>
      </c>
      <c r="O48" s="9">
        <f t="shared" si="11"/>
        <v>2027</v>
      </c>
      <c r="P48" s="9">
        <f t="shared" si="11"/>
        <v>2028</v>
      </c>
      <c r="Q48" s="9">
        <f t="shared" si="11"/>
        <v>2029</v>
      </c>
      <c r="R48" s="9">
        <f t="shared" si="11"/>
        <v>2030</v>
      </c>
      <c r="S48" s="9">
        <f t="shared" si="11"/>
        <v>2031</v>
      </c>
      <c r="T48" s="9">
        <f t="shared" si="11"/>
        <v>2032</v>
      </c>
      <c r="U48" s="9">
        <f t="shared" si="11"/>
        <v>2033</v>
      </c>
      <c r="V48" s="9">
        <f t="shared" si="11"/>
        <v>2034</v>
      </c>
      <c r="W48" s="9">
        <f t="shared" si="11"/>
        <v>2035</v>
      </c>
    </row>
    <row r="49" spans="1:23" ht="16.5" thickBot="1">
      <c r="A49" s="47" t="str">
        <f t="shared" ref="A49:A54" si="12">A58</f>
        <v>Total</v>
      </c>
      <c r="B49" s="128">
        <f t="shared" ref="B49:W49" si="13">SUM(B50:B54)</f>
        <v>2.1378318061057509</v>
      </c>
      <c r="C49" s="128">
        <f t="shared" si="13"/>
        <v>2.9304082261317594</v>
      </c>
      <c r="D49" s="128">
        <f t="shared" si="13"/>
        <v>2.8946282637885092</v>
      </c>
      <c r="E49" s="128">
        <f t="shared" si="13"/>
        <v>2.8620358677050035</v>
      </c>
      <c r="F49" s="128">
        <f t="shared" si="13"/>
        <v>2.8324582623119965</v>
      </c>
      <c r="G49" s="128">
        <f t="shared" si="13"/>
        <v>2.8057329553527568</v>
      </c>
      <c r="H49" s="128">
        <f t="shared" si="13"/>
        <v>2.7817071411236074</v>
      </c>
      <c r="I49" s="128">
        <f t="shared" si="13"/>
        <v>2.7602371383659787</v>
      </c>
      <c r="J49" s="128">
        <f t="shared" si="13"/>
        <v>2.7411878608107973</v>
      </c>
      <c r="K49" s="128">
        <f t="shared" si="13"/>
        <v>2.7244323184906771</v>
      </c>
      <c r="L49" s="128">
        <f t="shared" si="13"/>
        <v>2.709851148043394</v>
      </c>
      <c r="M49" s="128">
        <f t="shared" si="13"/>
        <v>2.6973321703320901</v>
      </c>
      <c r="N49" s="128">
        <f t="shared" si="13"/>
        <v>2.6867699738037607</v>
      </c>
      <c r="O49" s="128">
        <f t="shared" si="13"/>
        <v>2.678065522098239</v>
      </c>
      <c r="P49" s="128">
        <f t="shared" si="13"/>
        <v>2.6711257845053926</v>
      </c>
      <c r="Q49" s="128">
        <f t="shared" si="13"/>
        <v>2.6658633879488516</v>
      </c>
      <c r="R49" s="128">
        <f t="shared" si="13"/>
        <v>2.6621962892506232</v>
      </c>
      <c r="S49" s="128">
        <f t="shared" si="13"/>
        <v>2.6600474665026259</v>
      </c>
      <c r="T49" s="128">
        <f t="shared" si="13"/>
        <v>2.6593446284387596</v>
      </c>
      <c r="U49" s="128">
        <f t="shared" si="13"/>
        <v>2.660019940764871</v>
      </c>
      <c r="V49" s="128">
        <f t="shared" si="13"/>
        <v>2.6620097684640429</v>
      </c>
      <c r="W49" s="128">
        <f t="shared" si="13"/>
        <v>2.6652544331512935</v>
      </c>
    </row>
    <row r="50" spans="1:23" ht="16.5" thickTop="1">
      <c r="A50" s="9" t="str">
        <f t="shared" si="12"/>
        <v>Electric Resistance</v>
      </c>
      <c r="B50" s="122">
        <f t="shared" ref="B50:W50" si="14">B59+B68+B77</f>
        <v>2.1378318061057509</v>
      </c>
      <c r="C50" s="122">
        <f t="shared" si="14"/>
        <v>2.0105539335183531</v>
      </c>
      <c r="D50" s="122">
        <f t="shared" si="14"/>
        <v>1.8908582178443802</v>
      </c>
      <c r="E50" s="122">
        <f t="shared" si="14"/>
        <v>1.7782926534807797</v>
      </c>
      <c r="F50" s="122">
        <f t="shared" si="14"/>
        <v>1.6724322039022188</v>
      </c>
      <c r="G50" s="122">
        <f t="shared" si="14"/>
        <v>1.572877190902507</v>
      </c>
      <c r="H50" s="122">
        <f t="shared" si="14"/>
        <v>1.4792517801568348</v>
      </c>
      <c r="I50" s="122">
        <f t="shared" si="14"/>
        <v>1.3912025573367475</v>
      </c>
      <c r="J50" s="122">
        <f t="shared" si="14"/>
        <v>1.3083971893557405</v>
      </c>
      <c r="K50" s="122">
        <f t="shared" si="14"/>
        <v>1.2305231656486022</v>
      </c>
      <c r="L50" s="122">
        <f t="shared" si="14"/>
        <v>1.1572866146932712</v>
      </c>
      <c r="M50" s="122">
        <f t="shared" si="14"/>
        <v>1.0884111912712817</v>
      </c>
      <c r="N50" s="122">
        <f t="shared" si="14"/>
        <v>1.0236370302329107</v>
      </c>
      <c r="O50" s="122">
        <f t="shared" si="14"/>
        <v>0.96271976278694327</v>
      </c>
      <c r="P50" s="122">
        <f t="shared" si="14"/>
        <v>0.9054295915735594</v>
      </c>
      <c r="Q50" s="122">
        <f t="shared" si="14"/>
        <v>0.85155042100307343</v>
      </c>
      <c r="R50" s="122">
        <f t="shared" si="14"/>
        <v>0.80087903955404771</v>
      </c>
      <c r="S50" s="122">
        <f t="shared" si="14"/>
        <v>0.75322435092242357</v>
      </c>
      <c r="T50" s="122">
        <f t="shared" si="14"/>
        <v>0.70840665109954271</v>
      </c>
      <c r="U50" s="122">
        <f t="shared" si="14"/>
        <v>0.66625694863198426</v>
      </c>
      <c r="V50" s="122">
        <f t="shared" si="14"/>
        <v>0.62661632548069934</v>
      </c>
      <c r="W50" s="122">
        <f t="shared" si="14"/>
        <v>0.5893353360515925</v>
      </c>
    </row>
    <row r="51" spans="1:23">
      <c r="A51" s="9" t="str">
        <f t="shared" si="12"/>
        <v>HPWH</v>
      </c>
      <c r="B51" s="122">
        <f t="shared" ref="B51:W51" si="15">B60+B69+B78</f>
        <v>0</v>
      </c>
      <c r="C51" s="122">
        <f t="shared" si="15"/>
        <v>0.91985429261340612</v>
      </c>
      <c r="D51" s="122">
        <f t="shared" si="15"/>
        <v>1.0037700459441288</v>
      </c>
      <c r="E51" s="122">
        <f t="shared" si="15"/>
        <v>1.0837432142242236</v>
      </c>
      <c r="F51" s="122">
        <f t="shared" si="15"/>
        <v>1.1600260584097777</v>
      </c>
      <c r="G51" s="122">
        <f t="shared" si="15"/>
        <v>1.2328557644502496</v>
      </c>
      <c r="H51" s="122">
        <f t="shared" si="15"/>
        <v>1.3024553609667726</v>
      </c>
      <c r="I51" s="122">
        <f t="shared" si="15"/>
        <v>1.3690345810292313</v>
      </c>
      <c r="J51" s="122">
        <f t="shared" si="15"/>
        <v>1.4327906714550569</v>
      </c>
      <c r="K51" s="122">
        <f t="shared" si="15"/>
        <v>1.4939091528420749</v>
      </c>
      <c r="L51" s="122">
        <f t="shared" si="15"/>
        <v>1.552564533350123</v>
      </c>
      <c r="M51" s="122">
        <f t="shared" si="15"/>
        <v>1.6089209790608083</v>
      </c>
      <c r="N51" s="122">
        <f t="shared" si="15"/>
        <v>1.66313294357085</v>
      </c>
      <c r="O51" s="122">
        <f t="shared" si="15"/>
        <v>1.7153457593112957</v>
      </c>
      <c r="P51" s="122">
        <f t="shared" si="15"/>
        <v>1.7656961929318331</v>
      </c>
      <c r="Q51" s="122">
        <f t="shared" si="15"/>
        <v>1.814312966945778</v>
      </c>
      <c r="R51" s="122">
        <f t="shared" si="15"/>
        <v>1.8613172496965757</v>
      </c>
      <c r="S51" s="122">
        <f t="shared" si="15"/>
        <v>1.9068231155802022</v>
      </c>
      <c r="T51" s="122">
        <f t="shared" si="15"/>
        <v>1.9509379773392168</v>
      </c>
      <c r="U51" s="122">
        <f t="shared" si="15"/>
        <v>1.9937629921328868</v>
      </c>
      <c r="V51" s="122">
        <f t="shared" si="15"/>
        <v>2.0353934429833433</v>
      </c>
      <c r="W51" s="122">
        <f t="shared" si="15"/>
        <v>2.075919097099701</v>
      </c>
    </row>
    <row r="52" spans="1:23">
      <c r="A52" s="9" t="str">
        <f t="shared" si="12"/>
        <v>Gas Tank</v>
      </c>
      <c r="B52" s="122">
        <f t="shared" ref="B52:W52" si="16">B61+B70+B79</f>
        <v>0</v>
      </c>
      <c r="C52" s="122">
        <f t="shared" si="16"/>
        <v>0</v>
      </c>
      <c r="D52" s="122">
        <f t="shared" si="16"/>
        <v>0</v>
      </c>
      <c r="E52" s="122">
        <f t="shared" si="16"/>
        <v>0</v>
      </c>
      <c r="F52" s="122">
        <f t="shared" si="16"/>
        <v>0</v>
      </c>
      <c r="G52" s="122">
        <f t="shared" si="16"/>
        <v>0</v>
      </c>
      <c r="H52" s="122">
        <f t="shared" si="16"/>
        <v>0</v>
      </c>
      <c r="I52" s="122">
        <f t="shared" si="16"/>
        <v>0</v>
      </c>
      <c r="J52" s="122">
        <f t="shared" si="16"/>
        <v>0</v>
      </c>
      <c r="K52" s="122">
        <f t="shared" si="16"/>
        <v>0</v>
      </c>
      <c r="L52" s="122">
        <f t="shared" si="16"/>
        <v>0</v>
      </c>
      <c r="M52" s="122">
        <f t="shared" si="16"/>
        <v>0</v>
      </c>
      <c r="N52" s="122">
        <f t="shared" si="16"/>
        <v>0</v>
      </c>
      <c r="O52" s="122">
        <f t="shared" si="16"/>
        <v>0</v>
      </c>
      <c r="P52" s="122">
        <f t="shared" si="16"/>
        <v>0</v>
      </c>
      <c r="Q52" s="122">
        <f t="shared" si="16"/>
        <v>0</v>
      </c>
      <c r="R52" s="122">
        <f t="shared" si="16"/>
        <v>0</v>
      </c>
      <c r="S52" s="122">
        <f t="shared" si="16"/>
        <v>0</v>
      </c>
      <c r="T52" s="122">
        <f t="shared" si="16"/>
        <v>0</v>
      </c>
      <c r="U52" s="122">
        <f t="shared" si="16"/>
        <v>0</v>
      </c>
      <c r="V52" s="122">
        <f t="shared" si="16"/>
        <v>0</v>
      </c>
      <c r="W52" s="122">
        <f t="shared" si="16"/>
        <v>0</v>
      </c>
    </row>
    <row r="53" spans="1:23">
      <c r="A53" s="9" t="str">
        <f t="shared" si="12"/>
        <v>Instant Gas</v>
      </c>
      <c r="B53" s="122">
        <f t="shared" ref="B53:W53" si="17">B62+B71+B80</f>
        <v>0</v>
      </c>
      <c r="C53" s="122">
        <f t="shared" si="17"/>
        <v>0</v>
      </c>
      <c r="D53" s="122">
        <f t="shared" si="17"/>
        <v>0</v>
      </c>
      <c r="E53" s="122">
        <f t="shared" si="17"/>
        <v>0</v>
      </c>
      <c r="F53" s="122">
        <f t="shared" si="17"/>
        <v>0</v>
      </c>
      <c r="G53" s="122">
        <f t="shared" si="17"/>
        <v>0</v>
      </c>
      <c r="H53" s="122">
        <f t="shared" si="17"/>
        <v>0</v>
      </c>
      <c r="I53" s="122">
        <f t="shared" si="17"/>
        <v>0</v>
      </c>
      <c r="J53" s="122">
        <f t="shared" si="17"/>
        <v>0</v>
      </c>
      <c r="K53" s="122">
        <f t="shared" si="17"/>
        <v>0</v>
      </c>
      <c r="L53" s="122">
        <f t="shared" si="17"/>
        <v>0</v>
      </c>
      <c r="M53" s="122">
        <f t="shared" si="17"/>
        <v>0</v>
      </c>
      <c r="N53" s="122">
        <f t="shared" si="17"/>
        <v>0</v>
      </c>
      <c r="O53" s="122">
        <f t="shared" si="17"/>
        <v>0</v>
      </c>
      <c r="P53" s="122">
        <f t="shared" si="17"/>
        <v>0</v>
      </c>
      <c r="Q53" s="122">
        <f t="shared" si="17"/>
        <v>0</v>
      </c>
      <c r="R53" s="122">
        <f t="shared" si="17"/>
        <v>0</v>
      </c>
      <c r="S53" s="122">
        <f t="shared" si="17"/>
        <v>0</v>
      </c>
      <c r="T53" s="122">
        <f t="shared" si="17"/>
        <v>0</v>
      </c>
      <c r="U53" s="122">
        <f t="shared" si="17"/>
        <v>0</v>
      </c>
      <c r="V53" s="122">
        <f t="shared" si="17"/>
        <v>0</v>
      </c>
      <c r="W53" s="122">
        <f t="shared" si="17"/>
        <v>0</v>
      </c>
    </row>
    <row r="54" spans="1:23">
      <c r="A54" s="9" t="str">
        <f t="shared" si="12"/>
        <v>Condensing Gas</v>
      </c>
      <c r="B54" s="122">
        <f t="shared" ref="B54:W54" si="18">B63+B72+B81</f>
        <v>0</v>
      </c>
      <c r="C54" s="122">
        <f t="shared" si="18"/>
        <v>0</v>
      </c>
      <c r="D54" s="122">
        <f t="shared" si="18"/>
        <v>0</v>
      </c>
      <c r="E54" s="122">
        <f t="shared" si="18"/>
        <v>0</v>
      </c>
      <c r="F54" s="122">
        <f t="shared" si="18"/>
        <v>0</v>
      </c>
      <c r="G54" s="122">
        <f t="shared" si="18"/>
        <v>0</v>
      </c>
      <c r="H54" s="122">
        <f t="shared" si="18"/>
        <v>0</v>
      </c>
      <c r="I54" s="122">
        <f t="shared" si="18"/>
        <v>0</v>
      </c>
      <c r="J54" s="122">
        <f t="shared" si="18"/>
        <v>0</v>
      </c>
      <c r="K54" s="122">
        <f t="shared" si="18"/>
        <v>0</v>
      </c>
      <c r="L54" s="122">
        <f t="shared" si="18"/>
        <v>0</v>
      </c>
      <c r="M54" s="122">
        <f t="shared" si="18"/>
        <v>0</v>
      </c>
      <c r="N54" s="122">
        <f t="shared" si="18"/>
        <v>0</v>
      </c>
      <c r="O54" s="122">
        <f t="shared" si="18"/>
        <v>0</v>
      </c>
      <c r="P54" s="122">
        <f t="shared" si="18"/>
        <v>0</v>
      </c>
      <c r="Q54" s="122">
        <f t="shared" si="18"/>
        <v>0</v>
      </c>
      <c r="R54" s="122">
        <f t="shared" si="18"/>
        <v>0</v>
      </c>
      <c r="S54" s="122">
        <f t="shared" si="18"/>
        <v>0</v>
      </c>
      <c r="T54" s="122">
        <f t="shared" si="18"/>
        <v>0</v>
      </c>
      <c r="U54" s="122">
        <f t="shared" si="18"/>
        <v>0</v>
      </c>
      <c r="V54" s="122">
        <f t="shared" si="18"/>
        <v>0</v>
      </c>
      <c r="W54" s="122">
        <f t="shared" si="18"/>
        <v>0</v>
      </c>
    </row>
    <row r="55" spans="1:23">
      <c r="A55" s="12"/>
    </row>
    <row r="56" spans="1:23">
      <c r="A56" s="12" t="s">
        <v>116</v>
      </c>
    </row>
    <row r="57" spans="1:23">
      <c r="A57" s="14" t="str">
        <f>'Water Heaters Purchased'!A13</f>
        <v>Water Heat Ending</v>
      </c>
      <c r="B57" s="9">
        <f>'Water Heaters Purchased'!B13</f>
        <v>2014</v>
      </c>
      <c r="C57" s="9">
        <f>'Water Heaters Purchased'!C13</f>
        <v>2015</v>
      </c>
      <c r="D57" s="9">
        <f>'Water Heaters Purchased'!D13</f>
        <v>2016</v>
      </c>
      <c r="E57" s="9">
        <f>'Water Heaters Purchased'!E13</f>
        <v>2017</v>
      </c>
      <c r="F57" s="9">
        <f>'Water Heaters Purchased'!F13</f>
        <v>2018</v>
      </c>
      <c r="G57" s="9">
        <f>'Water Heaters Purchased'!G13</f>
        <v>2019</v>
      </c>
      <c r="H57" s="9">
        <f>'Water Heaters Purchased'!H13</f>
        <v>2020</v>
      </c>
      <c r="I57" s="9">
        <f>'Water Heaters Purchased'!I13</f>
        <v>2021</v>
      </c>
      <c r="J57" s="9">
        <f>'Water Heaters Purchased'!J13</f>
        <v>2022</v>
      </c>
      <c r="K57" s="9">
        <f>'Water Heaters Purchased'!K13</f>
        <v>2023</v>
      </c>
      <c r="L57" s="9">
        <f>'Water Heaters Purchased'!L13</f>
        <v>2024</v>
      </c>
      <c r="M57" s="9">
        <f>'Water Heaters Purchased'!M13</f>
        <v>2025</v>
      </c>
      <c r="N57" s="9">
        <f>'Water Heaters Purchased'!N13</f>
        <v>2026</v>
      </c>
      <c r="O57" s="9">
        <f>'Water Heaters Purchased'!O13</f>
        <v>2027</v>
      </c>
      <c r="P57" s="9">
        <f>'Water Heaters Purchased'!P13</f>
        <v>2028</v>
      </c>
      <c r="Q57" s="9">
        <f>'Water Heaters Purchased'!Q13</f>
        <v>2029</v>
      </c>
      <c r="R57" s="9">
        <f>'Water Heaters Purchased'!R13</f>
        <v>2030</v>
      </c>
      <c r="S57" s="9">
        <f>'Water Heaters Purchased'!S13</f>
        <v>2031</v>
      </c>
      <c r="T57" s="9">
        <f>'Water Heaters Purchased'!T13</f>
        <v>2032</v>
      </c>
      <c r="U57" s="9">
        <f>'Water Heaters Purchased'!U13</f>
        <v>2033</v>
      </c>
      <c r="V57" s="9">
        <f>'Water Heaters Purchased'!V13</f>
        <v>2034</v>
      </c>
      <c r="W57" s="9">
        <f>'Water Heaters Purchased'!W13</f>
        <v>2035</v>
      </c>
    </row>
    <row r="58" spans="1:23" ht="16.5" thickBot="1">
      <c r="A58" s="47" t="s">
        <v>45</v>
      </c>
      <c r="B58" s="128">
        <f t="shared" ref="B58" si="19">SUM(B59:B63)</f>
        <v>0</v>
      </c>
      <c r="C58" s="128">
        <f t="shared" ref="C58:D58" si="20">SUM(C59:C63)</f>
        <v>0.83172764104231978</v>
      </c>
      <c r="D58" s="128">
        <f t="shared" si="20"/>
        <v>0.83172764104231978</v>
      </c>
      <c r="E58" s="128">
        <f t="shared" ref="E58:W58" si="21">SUM(E59:E63)</f>
        <v>0.83172764104231989</v>
      </c>
      <c r="F58" s="128">
        <f t="shared" si="21"/>
        <v>0.83172764104231989</v>
      </c>
      <c r="G58" s="128">
        <f t="shared" si="21"/>
        <v>0.83172764104231989</v>
      </c>
      <c r="H58" s="128">
        <f t="shared" si="21"/>
        <v>0.83172764104231989</v>
      </c>
      <c r="I58" s="128">
        <f t="shared" si="21"/>
        <v>0.83172764104231989</v>
      </c>
      <c r="J58" s="128">
        <f t="shared" si="21"/>
        <v>0.83172764104231989</v>
      </c>
      <c r="K58" s="128">
        <f t="shared" si="21"/>
        <v>0.83172764104231989</v>
      </c>
      <c r="L58" s="128">
        <f t="shared" si="21"/>
        <v>0.83172764104231989</v>
      </c>
      <c r="M58" s="128">
        <f t="shared" si="21"/>
        <v>0.83172764104231989</v>
      </c>
      <c r="N58" s="128">
        <f t="shared" si="21"/>
        <v>0.83172764104231989</v>
      </c>
      <c r="O58" s="128">
        <f t="shared" si="21"/>
        <v>0.83172764104231989</v>
      </c>
      <c r="P58" s="128">
        <f t="shared" si="21"/>
        <v>0.83172764104231989</v>
      </c>
      <c r="Q58" s="128">
        <f t="shared" si="21"/>
        <v>0.83172764104231978</v>
      </c>
      <c r="R58" s="128">
        <f t="shared" si="21"/>
        <v>0.83172764104231967</v>
      </c>
      <c r="S58" s="128">
        <f t="shared" si="21"/>
        <v>0.83172764104231967</v>
      </c>
      <c r="T58" s="128">
        <f t="shared" si="21"/>
        <v>0.83172764104231967</v>
      </c>
      <c r="U58" s="128">
        <f t="shared" si="21"/>
        <v>0.83172764104231967</v>
      </c>
      <c r="V58" s="128">
        <f t="shared" si="21"/>
        <v>0.83172764104231955</v>
      </c>
      <c r="W58" s="128">
        <f t="shared" si="21"/>
        <v>0.83172764104231955</v>
      </c>
    </row>
    <row r="59" spans="1:23" ht="16.5" thickTop="1">
      <c r="A59" s="37" t="str">
        <f>'Water Heaters Purchased'!A15</f>
        <v>Electric Resistance</v>
      </c>
      <c r="B59" s="122">
        <f>'Water Heaters Purchased'!B15*'Capital Cost'!$E5/1000000</f>
        <v>0</v>
      </c>
      <c r="C59" s="122">
        <f>'Water Heaters Purchased'!C15*'Capital Cost'!$E5/1000000</f>
        <v>0</v>
      </c>
      <c r="D59" s="122">
        <f>'Water Heaters Purchased'!D15*'Capital Cost'!$E5/1000000</f>
        <v>0</v>
      </c>
      <c r="E59" s="122">
        <f>'Water Heaters Purchased'!E15*'Capital Cost'!$E5/1000000</f>
        <v>0</v>
      </c>
      <c r="F59" s="122">
        <f>'Water Heaters Purchased'!F15*'Capital Cost'!$E5/1000000</f>
        <v>0</v>
      </c>
      <c r="G59" s="122">
        <f>'Water Heaters Purchased'!G15*'Capital Cost'!$E5/1000000</f>
        <v>0</v>
      </c>
      <c r="H59" s="122">
        <f>'Water Heaters Purchased'!H15*'Capital Cost'!$E5/1000000</f>
        <v>0</v>
      </c>
      <c r="I59" s="122">
        <f>'Water Heaters Purchased'!I15*'Capital Cost'!$E5/1000000</f>
        <v>0</v>
      </c>
      <c r="J59" s="122">
        <f>'Water Heaters Purchased'!J15*'Capital Cost'!$E5/1000000</f>
        <v>0</v>
      </c>
      <c r="K59" s="122">
        <f>'Water Heaters Purchased'!K15*'Capital Cost'!$E5/1000000</f>
        <v>0</v>
      </c>
      <c r="L59" s="122">
        <f>'Water Heaters Purchased'!L15*'Capital Cost'!$E5/1000000</f>
        <v>0</v>
      </c>
      <c r="M59" s="122">
        <f>'Water Heaters Purchased'!M15*'Capital Cost'!$E5/1000000</f>
        <v>0</v>
      </c>
      <c r="N59" s="122">
        <f>'Water Heaters Purchased'!N15*'Capital Cost'!$E5/1000000</f>
        <v>0</v>
      </c>
      <c r="O59" s="122">
        <f>'Water Heaters Purchased'!O15*'Capital Cost'!$E5/1000000</f>
        <v>0</v>
      </c>
      <c r="P59" s="122">
        <f>'Water Heaters Purchased'!P15*'Capital Cost'!$E5/1000000</f>
        <v>0</v>
      </c>
      <c r="Q59" s="122">
        <f>'Water Heaters Purchased'!Q15*'Capital Cost'!$E5/1000000</f>
        <v>0</v>
      </c>
      <c r="R59" s="122">
        <f>'Water Heaters Purchased'!R15*'Capital Cost'!$E5/1000000</f>
        <v>0</v>
      </c>
      <c r="S59" s="122">
        <f>'Water Heaters Purchased'!S15*'Capital Cost'!$E5/1000000</f>
        <v>0</v>
      </c>
      <c r="T59" s="122">
        <f>'Water Heaters Purchased'!T15*'Capital Cost'!$E5/1000000</f>
        <v>0</v>
      </c>
      <c r="U59" s="122">
        <f>'Water Heaters Purchased'!U15*'Capital Cost'!$E5/1000000</f>
        <v>0</v>
      </c>
      <c r="V59" s="122">
        <f>'Water Heaters Purchased'!V15*'Capital Cost'!$E5/1000000</f>
        <v>0</v>
      </c>
      <c r="W59" s="122">
        <f>'Water Heaters Purchased'!W15*'Capital Cost'!$E5/1000000</f>
        <v>0</v>
      </c>
    </row>
    <row r="60" spans="1:23">
      <c r="A60" s="37" t="str">
        <f>'Water Heaters Purchased'!A16</f>
        <v>HPWH</v>
      </c>
      <c r="B60" s="122">
        <f>'Water Heaters Purchased'!B16*'Capital Cost'!$E6/1000000</f>
        <v>0</v>
      </c>
      <c r="C60" s="122">
        <f>'Water Heaters Purchased'!C16*'Capital Cost'!$E6/1000000</f>
        <v>0.83172764104231978</v>
      </c>
      <c r="D60" s="122">
        <f>'Water Heaters Purchased'!D16*'Capital Cost'!$E6/1000000</f>
        <v>0.83172764104231978</v>
      </c>
      <c r="E60" s="122">
        <f>'Water Heaters Purchased'!E16*'Capital Cost'!$E6/1000000</f>
        <v>0.83172764104231989</v>
      </c>
      <c r="F60" s="122">
        <f>'Water Heaters Purchased'!F16*'Capital Cost'!$E6/1000000</f>
        <v>0.83172764104231989</v>
      </c>
      <c r="G60" s="122">
        <f>'Water Heaters Purchased'!G16*'Capital Cost'!$E6/1000000</f>
        <v>0.83172764104231989</v>
      </c>
      <c r="H60" s="122">
        <f>'Water Heaters Purchased'!H16*'Capital Cost'!$E6/1000000</f>
        <v>0.83172764104231989</v>
      </c>
      <c r="I60" s="122">
        <f>'Water Heaters Purchased'!I16*'Capital Cost'!$E6/1000000</f>
        <v>0.83172764104231989</v>
      </c>
      <c r="J60" s="122">
        <f>'Water Heaters Purchased'!J16*'Capital Cost'!$E6/1000000</f>
        <v>0.83172764104231989</v>
      </c>
      <c r="K60" s="122">
        <f>'Water Heaters Purchased'!K16*'Capital Cost'!$E6/1000000</f>
        <v>0.83172764104231989</v>
      </c>
      <c r="L60" s="122">
        <f>'Water Heaters Purchased'!L16*'Capital Cost'!$E6/1000000</f>
        <v>0.83172764104231989</v>
      </c>
      <c r="M60" s="122">
        <f>'Water Heaters Purchased'!M16*'Capital Cost'!$E6/1000000</f>
        <v>0.83172764104231989</v>
      </c>
      <c r="N60" s="122">
        <f>'Water Heaters Purchased'!N16*'Capital Cost'!$E6/1000000</f>
        <v>0.83172764104231989</v>
      </c>
      <c r="O60" s="122">
        <f>'Water Heaters Purchased'!O16*'Capital Cost'!$E6/1000000</f>
        <v>0.83172764104231989</v>
      </c>
      <c r="P60" s="122">
        <f>'Water Heaters Purchased'!P16*'Capital Cost'!$E6/1000000</f>
        <v>0.83172764104231989</v>
      </c>
      <c r="Q60" s="122">
        <f>'Water Heaters Purchased'!Q16*'Capital Cost'!$E6/1000000</f>
        <v>0.83172764104231978</v>
      </c>
      <c r="R60" s="122">
        <f>'Water Heaters Purchased'!R16*'Capital Cost'!$E6/1000000</f>
        <v>0.83172764104231967</v>
      </c>
      <c r="S60" s="122">
        <f>'Water Heaters Purchased'!S16*'Capital Cost'!$E6/1000000</f>
        <v>0.83172764104231967</v>
      </c>
      <c r="T60" s="122">
        <f>'Water Heaters Purchased'!T16*'Capital Cost'!$E6/1000000</f>
        <v>0.83172764104231967</v>
      </c>
      <c r="U60" s="122">
        <f>'Water Heaters Purchased'!U16*'Capital Cost'!$E6/1000000</f>
        <v>0.83172764104231967</v>
      </c>
      <c r="V60" s="122">
        <f>'Water Heaters Purchased'!V16*'Capital Cost'!$E6/1000000</f>
        <v>0.83172764104231955</v>
      </c>
      <c r="W60" s="122">
        <f>'Water Heaters Purchased'!W16*'Capital Cost'!$E6/1000000</f>
        <v>0.83172764104231955</v>
      </c>
    </row>
    <row r="61" spans="1:23">
      <c r="A61" s="37" t="str">
        <f>'Water Heaters Purchased'!A17</f>
        <v>Gas Tank</v>
      </c>
      <c r="B61" s="122">
        <f>'Water Heaters Purchased'!B17*'Capital Cost'!$E7/1000000</f>
        <v>0</v>
      </c>
      <c r="C61" s="122">
        <f>'Water Heaters Purchased'!C17*'Capital Cost'!$E7/1000000</f>
        <v>0</v>
      </c>
      <c r="D61" s="122">
        <f>'Water Heaters Purchased'!D17*'Capital Cost'!$E7/1000000</f>
        <v>0</v>
      </c>
      <c r="E61" s="122">
        <f>'Water Heaters Purchased'!E17*'Capital Cost'!$E7/1000000</f>
        <v>0</v>
      </c>
      <c r="F61" s="122">
        <f>'Water Heaters Purchased'!F17*'Capital Cost'!$E7/1000000</f>
        <v>0</v>
      </c>
      <c r="G61" s="122">
        <f>'Water Heaters Purchased'!G17*'Capital Cost'!$E7/1000000</f>
        <v>0</v>
      </c>
      <c r="H61" s="122">
        <f>'Water Heaters Purchased'!H17*'Capital Cost'!$E7/1000000</f>
        <v>0</v>
      </c>
      <c r="I61" s="122">
        <f>'Water Heaters Purchased'!I17*'Capital Cost'!$E7/1000000</f>
        <v>0</v>
      </c>
      <c r="J61" s="122">
        <f>'Water Heaters Purchased'!J17*'Capital Cost'!$E7/1000000</f>
        <v>0</v>
      </c>
      <c r="K61" s="122">
        <f>'Water Heaters Purchased'!K17*'Capital Cost'!$E7/1000000</f>
        <v>0</v>
      </c>
      <c r="L61" s="122">
        <f>'Water Heaters Purchased'!L17*'Capital Cost'!$E7/1000000</f>
        <v>0</v>
      </c>
      <c r="M61" s="122">
        <f>'Water Heaters Purchased'!M17*'Capital Cost'!$E7/1000000</f>
        <v>0</v>
      </c>
      <c r="N61" s="122">
        <f>'Water Heaters Purchased'!N17*'Capital Cost'!$E7/1000000</f>
        <v>0</v>
      </c>
      <c r="O61" s="122">
        <f>'Water Heaters Purchased'!O17*'Capital Cost'!$E7/1000000</f>
        <v>0</v>
      </c>
      <c r="P61" s="122">
        <f>'Water Heaters Purchased'!P17*'Capital Cost'!$E7/1000000</f>
        <v>0</v>
      </c>
      <c r="Q61" s="122">
        <f>'Water Heaters Purchased'!Q17*'Capital Cost'!$E7/1000000</f>
        <v>0</v>
      </c>
      <c r="R61" s="122">
        <f>'Water Heaters Purchased'!R17*'Capital Cost'!$E7/1000000</f>
        <v>0</v>
      </c>
      <c r="S61" s="122">
        <f>'Water Heaters Purchased'!S17*'Capital Cost'!$E7/1000000</f>
        <v>0</v>
      </c>
      <c r="T61" s="122">
        <f>'Water Heaters Purchased'!T17*'Capital Cost'!$E7/1000000</f>
        <v>0</v>
      </c>
      <c r="U61" s="122">
        <f>'Water Heaters Purchased'!U17*'Capital Cost'!$E7/1000000</f>
        <v>0</v>
      </c>
      <c r="V61" s="122">
        <f>'Water Heaters Purchased'!V17*'Capital Cost'!$E7/1000000</f>
        <v>0</v>
      </c>
      <c r="W61" s="122">
        <f>'Water Heaters Purchased'!W17*'Capital Cost'!$E7/1000000</f>
        <v>0</v>
      </c>
    </row>
    <row r="62" spans="1:23">
      <c r="A62" s="37" t="str">
        <f>'Water Heaters Purchased'!A18</f>
        <v>Instant Gas</v>
      </c>
      <c r="B62" s="122">
        <f>'Water Heaters Purchased'!B18*'Capital Cost'!$E8/1000000</f>
        <v>0</v>
      </c>
      <c r="C62" s="122">
        <f>'Water Heaters Purchased'!C18*'Capital Cost'!$E8/1000000</f>
        <v>0</v>
      </c>
      <c r="D62" s="122">
        <f>'Water Heaters Purchased'!D18*'Capital Cost'!$E8/1000000</f>
        <v>0</v>
      </c>
      <c r="E62" s="122">
        <f>'Water Heaters Purchased'!E18*'Capital Cost'!$E8/1000000</f>
        <v>0</v>
      </c>
      <c r="F62" s="122">
        <f>'Water Heaters Purchased'!F18*'Capital Cost'!$E8/1000000</f>
        <v>0</v>
      </c>
      <c r="G62" s="122">
        <f>'Water Heaters Purchased'!G18*'Capital Cost'!$E8/1000000</f>
        <v>0</v>
      </c>
      <c r="H62" s="122">
        <f>'Water Heaters Purchased'!H18*'Capital Cost'!$E8/1000000</f>
        <v>0</v>
      </c>
      <c r="I62" s="122">
        <f>'Water Heaters Purchased'!I18*'Capital Cost'!$E8/1000000</f>
        <v>0</v>
      </c>
      <c r="J62" s="122">
        <f>'Water Heaters Purchased'!J18*'Capital Cost'!$E8/1000000</f>
        <v>0</v>
      </c>
      <c r="K62" s="122">
        <f>'Water Heaters Purchased'!K18*'Capital Cost'!$E8/1000000</f>
        <v>0</v>
      </c>
      <c r="L62" s="122">
        <f>'Water Heaters Purchased'!L18*'Capital Cost'!$E8/1000000</f>
        <v>0</v>
      </c>
      <c r="M62" s="122">
        <f>'Water Heaters Purchased'!M18*'Capital Cost'!$E8/1000000</f>
        <v>0</v>
      </c>
      <c r="N62" s="122">
        <f>'Water Heaters Purchased'!N18*'Capital Cost'!$E8/1000000</f>
        <v>0</v>
      </c>
      <c r="O62" s="122">
        <f>'Water Heaters Purchased'!O18*'Capital Cost'!$E8/1000000</f>
        <v>0</v>
      </c>
      <c r="P62" s="122">
        <f>'Water Heaters Purchased'!P18*'Capital Cost'!$E8/1000000</f>
        <v>0</v>
      </c>
      <c r="Q62" s="122">
        <f>'Water Heaters Purchased'!Q18*'Capital Cost'!$E8/1000000</f>
        <v>0</v>
      </c>
      <c r="R62" s="122">
        <f>'Water Heaters Purchased'!R18*'Capital Cost'!$E8/1000000</f>
        <v>0</v>
      </c>
      <c r="S62" s="122">
        <f>'Water Heaters Purchased'!S18*'Capital Cost'!$E8/1000000</f>
        <v>0</v>
      </c>
      <c r="T62" s="122">
        <f>'Water Heaters Purchased'!T18*'Capital Cost'!$E8/1000000</f>
        <v>0</v>
      </c>
      <c r="U62" s="122">
        <f>'Water Heaters Purchased'!U18*'Capital Cost'!$E8/1000000</f>
        <v>0</v>
      </c>
      <c r="V62" s="122">
        <f>'Water Heaters Purchased'!V18*'Capital Cost'!$E8/1000000</f>
        <v>0</v>
      </c>
      <c r="W62" s="122">
        <f>'Water Heaters Purchased'!W18*'Capital Cost'!$E8/1000000</f>
        <v>0</v>
      </c>
    </row>
    <row r="63" spans="1:23">
      <c r="A63" s="37" t="str">
        <f>'Water Heaters Purchased'!A19</f>
        <v>Condensing Gas</v>
      </c>
      <c r="B63" s="122">
        <f>'Water Heaters Purchased'!B19*'Capital Cost'!$E9/1000000</f>
        <v>0</v>
      </c>
      <c r="C63" s="122">
        <f>'Water Heaters Purchased'!C19*'Capital Cost'!$E9/1000000</f>
        <v>0</v>
      </c>
      <c r="D63" s="122">
        <f>'Water Heaters Purchased'!D19*'Capital Cost'!$E9/1000000</f>
        <v>0</v>
      </c>
      <c r="E63" s="122">
        <f>'Water Heaters Purchased'!E19*'Capital Cost'!$E9/1000000</f>
        <v>0</v>
      </c>
      <c r="F63" s="122">
        <f>'Water Heaters Purchased'!F19*'Capital Cost'!$E9/1000000</f>
        <v>0</v>
      </c>
      <c r="G63" s="122">
        <f>'Water Heaters Purchased'!G19*'Capital Cost'!$E9/1000000</f>
        <v>0</v>
      </c>
      <c r="H63" s="122">
        <f>'Water Heaters Purchased'!H19*'Capital Cost'!$E9/1000000</f>
        <v>0</v>
      </c>
      <c r="I63" s="122">
        <f>'Water Heaters Purchased'!I19*'Capital Cost'!$E9/1000000</f>
        <v>0</v>
      </c>
      <c r="J63" s="122">
        <f>'Water Heaters Purchased'!J19*'Capital Cost'!$E9/1000000</f>
        <v>0</v>
      </c>
      <c r="K63" s="122">
        <f>'Water Heaters Purchased'!K19*'Capital Cost'!$E9/1000000</f>
        <v>0</v>
      </c>
      <c r="L63" s="122">
        <f>'Water Heaters Purchased'!L19*'Capital Cost'!$E9/1000000</f>
        <v>0</v>
      </c>
      <c r="M63" s="122">
        <f>'Water Heaters Purchased'!M19*'Capital Cost'!$E9/1000000</f>
        <v>0</v>
      </c>
      <c r="N63" s="122">
        <f>'Water Heaters Purchased'!N19*'Capital Cost'!$E9/1000000</f>
        <v>0</v>
      </c>
      <c r="O63" s="122">
        <f>'Water Heaters Purchased'!O19*'Capital Cost'!$E9/1000000</f>
        <v>0</v>
      </c>
      <c r="P63" s="122">
        <f>'Water Heaters Purchased'!P19*'Capital Cost'!$E9/1000000</f>
        <v>0</v>
      </c>
      <c r="Q63" s="122">
        <f>'Water Heaters Purchased'!Q19*'Capital Cost'!$E9/1000000</f>
        <v>0</v>
      </c>
      <c r="R63" s="122">
        <f>'Water Heaters Purchased'!R19*'Capital Cost'!$E9/1000000</f>
        <v>0</v>
      </c>
      <c r="S63" s="122">
        <f>'Water Heaters Purchased'!S19*'Capital Cost'!$E9/1000000</f>
        <v>0</v>
      </c>
      <c r="T63" s="122">
        <f>'Water Heaters Purchased'!T19*'Capital Cost'!$E9/1000000</f>
        <v>0</v>
      </c>
      <c r="U63" s="122">
        <f>'Water Heaters Purchased'!U19*'Capital Cost'!$E9/1000000</f>
        <v>0</v>
      </c>
      <c r="V63" s="122">
        <f>'Water Heaters Purchased'!V19*'Capital Cost'!$E9/1000000</f>
        <v>0</v>
      </c>
      <c r="W63" s="122">
        <f>'Water Heaters Purchased'!W19*'Capital Cost'!$E9/1000000</f>
        <v>0</v>
      </c>
    </row>
    <row r="64" spans="1:23">
      <c r="A64" s="12"/>
    </row>
    <row r="65" spans="1:23">
      <c r="A65" s="12" t="s">
        <v>117</v>
      </c>
    </row>
    <row r="66" spans="1:23">
      <c r="A66" s="23" t="str">
        <f>'Water Heater Stock'!A13</f>
        <v>Water Heat Ending</v>
      </c>
      <c r="B66" s="9">
        <f>'Water Heater Stock'!B13</f>
        <v>2014</v>
      </c>
      <c r="C66" s="9">
        <f>'Water Heater Stock'!C13</f>
        <v>2015</v>
      </c>
      <c r="D66" s="9">
        <f>'Water Heater Stock'!D13</f>
        <v>2016</v>
      </c>
      <c r="E66" s="9">
        <f>'Water Heater Stock'!E13</f>
        <v>2017</v>
      </c>
      <c r="F66" s="9">
        <f>'Water Heater Stock'!F13</f>
        <v>2018</v>
      </c>
      <c r="G66" s="9">
        <f>'Water Heater Stock'!G13</f>
        <v>2019</v>
      </c>
      <c r="H66" s="9">
        <f>'Water Heater Stock'!H13</f>
        <v>2020</v>
      </c>
      <c r="I66" s="9">
        <f>'Water Heater Stock'!I13</f>
        <v>2021</v>
      </c>
      <c r="J66" s="9">
        <f>'Water Heater Stock'!J13</f>
        <v>2022</v>
      </c>
      <c r="K66" s="9">
        <f>'Water Heater Stock'!K13</f>
        <v>2023</v>
      </c>
      <c r="L66" s="9">
        <f>'Water Heater Stock'!L13</f>
        <v>2024</v>
      </c>
      <c r="M66" s="9">
        <f>'Water Heater Stock'!M13</f>
        <v>2025</v>
      </c>
      <c r="N66" s="9">
        <f>'Water Heater Stock'!N13</f>
        <v>2026</v>
      </c>
      <c r="O66" s="9">
        <f>'Water Heater Stock'!O13</f>
        <v>2027</v>
      </c>
      <c r="P66" s="9">
        <f>'Water Heater Stock'!P13</f>
        <v>2028</v>
      </c>
      <c r="Q66" s="9">
        <f>'Water Heater Stock'!Q13</f>
        <v>2029</v>
      </c>
      <c r="R66" s="9">
        <f>'Water Heater Stock'!R13</f>
        <v>2030</v>
      </c>
      <c r="S66" s="9">
        <f>'Water Heater Stock'!S13</f>
        <v>2031</v>
      </c>
      <c r="T66" s="9">
        <f>'Water Heater Stock'!T13</f>
        <v>2032</v>
      </c>
      <c r="U66" s="9">
        <f>'Water Heater Stock'!U13</f>
        <v>2033</v>
      </c>
      <c r="V66" s="9">
        <f>'Water Heater Stock'!V13</f>
        <v>2034</v>
      </c>
      <c r="W66" s="9">
        <f>'Water Heater Stock'!W13</f>
        <v>2035</v>
      </c>
    </row>
    <row r="67" spans="1:23" ht="16.5" thickBot="1">
      <c r="A67" s="47" t="str">
        <f t="shared" ref="A67" si="22">A68</f>
        <v>Electric Resistance</v>
      </c>
      <c r="B67" s="128">
        <f t="shared" ref="B67" si="23">SUM(B68:B72)</f>
        <v>3.1668552365068409E-2</v>
      </c>
      <c r="C67" s="128">
        <f t="shared" ref="C67:W67" si="24">SUM(C68:C72)</f>
        <v>3.441613825359794E-2</v>
      </c>
      <c r="D67" s="128">
        <f t="shared" si="24"/>
        <v>3.6967468007232503E-2</v>
      </c>
      <c r="E67" s="128">
        <f t="shared" si="24"/>
        <v>3.9336559921321741E-2</v>
      </c>
      <c r="F67" s="128">
        <f t="shared" si="24"/>
        <v>4.1536430984404599E-2</v>
      </c>
      <c r="G67" s="128">
        <f t="shared" si="24"/>
        <v>4.3579168400124407E-2</v>
      </c>
      <c r="H67" s="128">
        <f t="shared" si="24"/>
        <v>4.5475996000435642E-2</v>
      </c>
      <c r="I67" s="128">
        <f t="shared" si="24"/>
        <v>4.7237335915010371E-2</v>
      </c>
      <c r="J67" s="128">
        <f t="shared" si="24"/>
        <v>4.8872865835686903E-2</v>
      </c>
      <c r="K67" s="128">
        <f t="shared" si="24"/>
        <v>5.0391572190600822E-2</v>
      </c>
      <c r="L67" s="128">
        <f t="shared" si="24"/>
        <v>5.1801799520163755E-2</v>
      </c>
      <c r="M67" s="128">
        <f t="shared" si="24"/>
        <v>5.3111296326186476E-2</v>
      </c>
      <c r="N67" s="128">
        <f t="shared" si="24"/>
        <v>5.4327257646064712E-2</v>
      </c>
      <c r="O67" s="128">
        <f t="shared" si="24"/>
        <v>5.5456364585951642E-2</v>
      </c>
      <c r="P67" s="128">
        <f t="shared" si="24"/>
        <v>5.6504821030132366E-2</v>
      </c>
      <c r="Q67" s="128">
        <f t="shared" si="24"/>
        <v>5.7478387728300176E-2</v>
      </c>
      <c r="R67" s="128">
        <f t="shared" si="24"/>
        <v>5.8382413948027435E-2</v>
      </c>
      <c r="S67" s="128">
        <f t="shared" si="24"/>
        <v>5.9221866866345604E-2</v>
      </c>
      <c r="T67" s="128">
        <f t="shared" si="24"/>
        <v>6.0001358861926757E-2</v>
      </c>
      <c r="U67" s="128">
        <f t="shared" si="24"/>
        <v>6.0725172857823528E-2</v>
      </c>
      <c r="V67" s="128">
        <f t="shared" si="24"/>
        <v>6.1397285854013411E-2</v>
      </c>
      <c r="W67" s="128">
        <f t="shared" si="24"/>
        <v>6.2021390779046857E-2</v>
      </c>
    </row>
    <row r="68" spans="1:23" ht="16.5" thickTop="1">
      <c r="A68" s="37" t="str">
        <f>'Water Heater Stock'!A15</f>
        <v>Electric Resistance</v>
      </c>
      <c r="B68" s="122">
        <f>'Water Heater Stock'!B15*'O&amp;M Cost'!$D5/1000000</f>
        <v>3.1668552365068409E-2</v>
      </c>
      <c r="C68" s="122">
        <f>'Water Heater Stock'!C15*'O&amp;M Cost'!$D5/1000000</f>
        <v>2.9406512910420669E-2</v>
      </c>
      <c r="D68" s="122">
        <f>'Water Heater Stock'!D15*'O&amp;M Cost'!$D5/1000000</f>
        <v>2.7306047702533479E-2</v>
      </c>
      <c r="E68" s="122">
        <f>'Water Heater Stock'!E15*'O&amp;M Cost'!$D5/1000000</f>
        <v>2.5355615723781092E-2</v>
      </c>
      <c r="F68" s="122">
        <f>'Water Heater Stock'!F15*'O&amp;M Cost'!$D5/1000000</f>
        <v>2.3544500314939584E-2</v>
      </c>
      <c r="G68" s="122">
        <f>'Water Heater Stock'!G15*'O&amp;M Cost'!$D5/1000000</f>
        <v>2.1862750292443899E-2</v>
      </c>
      <c r="H68" s="122">
        <f>'Water Heater Stock'!H15*'O&amp;M Cost'!$D5/1000000</f>
        <v>2.0301125271555046E-2</v>
      </c>
      <c r="I68" s="122">
        <f>'Water Heater Stock'!I15*'O&amp;M Cost'!$D5/1000000</f>
        <v>1.8851044895015403E-2</v>
      </c>
      <c r="J68" s="122">
        <f>'Water Heater Stock'!J15*'O&amp;M Cost'!$D5/1000000</f>
        <v>1.7504541688228591E-2</v>
      </c>
      <c r="K68" s="122">
        <f>'Water Heater Stock'!K15*'O&amp;M Cost'!$D5/1000000</f>
        <v>1.6254217281926546E-2</v>
      </c>
      <c r="L68" s="122">
        <f>'Water Heater Stock'!L15*'O&amp;M Cost'!$D5/1000000</f>
        <v>1.5093201761788936E-2</v>
      </c>
      <c r="M68" s="122">
        <f>'Water Heater Stock'!M15*'O&amp;M Cost'!$D5/1000000</f>
        <v>1.4015115921661154E-2</v>
      </c>
      <c r="N68" s="122">
        <f>'Water Heater Stock'!N15*'O&amp;M Cost'!$D5/1000000</f>
        <v>1.3014036212971073E-2</v>
      </c>
      <c r="O68" s="122">
        <f>'Water Heater Stock'!O15*'O&amp;M Cost'!$D5/1000000</f>
        <v>1.2084462197758852E-2</v>
      </c>
      <c r="P68" s="122">
        <f>'Water Heater Stock'!P15*'O&amp;M Cost'!$D5/1000000</f>
        <v>1.1221286326490363E-2</v>
      </c>
      <c r="Q68" s="122">
        <f>'Water Heater Stock'!Q15*'O&amp;M Cost'!$D5/1000000</f>
        <v>1.0419765874598195E-2</v>
      </c>
      <c r="R68" s="122">
        <f>'Water Heater Stock'!R15*'O&amp;M Cost'!$D5/1000000</f>
        <v>9.6754968835554688E-3</v>
      </c>
      <c r="S68" s="122">
        <f>'Water Heater Stock'!S15*'O&amp;M Cost'!$D5/1000000</f>
        <v>8.9843899633015069E-3</v>
      </c>
      <c r="T68" s="122">
        <f>'Water Heater Stock'!T15*'O&amp;M Cost'!$D5/1000000</f>
        <v>8.3426478230656832E-3</v>
      </c>
      <c r="U68" s="122">
        <f>'Water Heater Stock'!U15*'O&amp;M Cost'!$D5/1000000</f>
        <v>7.7467444071324205E-3</v>
      </c>
      <c r="V68" s="122">
        <f>'Water Heater Stock'!V15*'O&amp;M Cost'!$D5/1000000</f>
        <v>7.1934055209086755E-3</v>
      </c>
      <c r="W68" s="122">
        <f>'Water Heater Stock'!W15*'O&amp;M Cost'!$D5/1000000</f>
        <v>6.6795908408437696E-3</v>
      </c>
    </row>
    <row r="69" spans="1:23">
      <c r="A69" s="37" t="str">
        <f>'Water Heater Stock'!A16</f>
        <v>HPWH</v>
      </c>
      <c r="B69" s="122">
        <f>'Water Heater Stock'!B16*'O&amp;M Cost'!$D6/1000000</f>
        <v>0</v>
      </c>
      <c r="C69" s="122">
        <f>'Water Heater Stock'!C16*'O&amp;M Cost'!$D6/1000000</f>
        <v>5.0096253431772715E-3</v>
      </c>
      <c r="D69" s="122">
        <f>'Water Heater Stock'!D16*'O&amp;M Cost'!$D6/1000000</f>
        <v>9.6614203046990234E-3</v>
      </c>
      <c r="E69" s="122">
        <f>'Water Heater Stock'!E16*'O&amp;M Cost'!$D6/1000000</f>
        <v>1.3980944197540651E-2</v>
      </c>
      <c r="F69" s="122">
        <f>'Water Heater Stock'!F16*'O&amp;M Cost'!$D6/1000000</f>
        <v>1.7991930669465018E-2</v>
      </c>
      <c r="G69" s="122">
        <f>'Water Heater Stock'!G16*'O&amp;M Cost'!$D6/1000000</f>
        <v>2.1716418107680505E-2</v>
      </c>
      <c r="H69" s="122">
        <f>'Water Heater Stock'!H16*'O&amp;M Cost'!$D6/1000000</f>
        <v>2.5174870728880597E-2</v>
      </c>
      <c r="I69" s="122">
        <f>'Water Heater Stock'!I16*'O&amp;M Cost'!$D6/1000000</f>
        <v>2.8386291019994968E-2</v>
      </c>
      <c r="J69" s="122">
        <f>'Water Heater Stock'!J16*'O&amp;M Cost'!$D6/1000000</f>
        <v>3.1368324147458312E-2</v>
      </c>
      <c r="K69" s="122">
        <f>'Water Heater Stock'!K16*'O&amp;M Cost'!$D6/1000000</f>
        <v>3.4137354908674276E-2</v>
      </c>
      <c r="L69" s="122">
        <f>'Water Heater Stock'!L16*'O&amp;M Cost'!$D6/1000000</f>
        <v>3.6708597758374817E-2</v>
      </c>
      <c r="M69" s="122">
        <f>'Water Heater Stock'!M16*'O&amp;M Cost'!$D6/1000000</f>
        <v>3.9096180404525324E-2</v>
      </c>
      <c r="N69" s="122">
        <f>'Water Heater Stock'!N16*'O&amp;M Cost'!$D6/1000000</f>
        <v>4.1313221433093641E-2</v>
      </c>
      <c r="O69" s="122">
        <f>'Water Heater Stock'!O16*'O&amp;M Cost'!$D6/1000000</f>
        <v>4.3371902388192794E-2</v>
      </c>
      <c r="P69" s="122">
        <f>'Water Heater Stock'!P16*'O&amp;M Cost'!$D6/1000000</f>
        <v>4.5283534703641999E-2</v>
      </c>
      <c r="Q69" s="122">
        <f>'Water Heater Stock'!Q16*'O&amp;M Cost'!$D6/1000000</f>
        <v>4.7058621853701979E-2</v>
      </c>
      <c r="R69" s="122">
        <f>'Water Heater Stock'!R16*'O&amp;M Cost'!$D6/1000000</f>
        <v>4.8706917064471965E-2</v>
      </c>
      <c r="S69" s="122">
        <f>'Water Heater Stock'!S16*'O&amp;M Cost'!$D6/1000000</f>
        <v>5.0237476903044094E-2</v>
      </c>
      <c r="T69" s="122">
        <f>'Water Heater Stock'!T16*'O&amp;M Cost'!$D6/1000000</f>
        <v>5.165871103886107E-2</v>
      </c>
      <c r="U69" s="122">
        <f>'Water Heater Stock'!U16*'O&amp;M Cost'!$D6/1000000</f>
        <v>5.297842845069111E-2</v>
      </c>
      <c r="V69" s="122">
        <f>'Water Heater Stock'!V16*'O&amp;M Cost'!$D6/1000000</f>
        <v>5.4203880333104734E-2</v>
      </c>
      <c r="W69" s="122">
        <f>'Water Heater Stock'!W16*'O&amp;M Cost'!$D6/1000000</f>
        <v>5.5341799938203089E-2</v>
      </c>
    </row>
    <row r="70" spans="1:23">
      <c r="A70" s="37" t="str">
        <f>'Water Heater Stock'!A17</f>
        <v>Gas Tank</v>
      </c>
      <c r="B70" s="122">
        <f>'Water Heater Stock'!B17*'O&amp;M Cost'!$D7/1000000</f>
        <v>0</v>
      </c>
      <c r="C70" s="122">
        <f>'Water Heater Stock'!C17*'O&amp;M Cost'!$D7/1000000</f>
        <v>0</v>
      </c>
      <c r="D70" s="122">
        <f>'Water Heater Stock'!D17*'O&amp;M Cost'!$D7/1000000</f>
        <v>0</v>
      </c>
      <c r="E70" s="122">
        <f>'Water Heater Stock'!E17*'O&amp;M Cost'!$D7/1000000</f>
        <v>0</v>
      </c>
      <c r="F70" s="122">
        <f>'Water Heater Stock'!F17*'O&amp;M Cost'!$D7/1000000</f>
        <v>0</v>
      </c>
      <c r="G70" s="122">
        <f>'Water Heater Stock'!G17*'O&amp;M Cost'!$D7/1000000</f>
        <v>0</v>
      </c>
      <c r="H70" s="122">
        <f>'Water Heater Stock'!H17*'O&amp;M Cost'!$D7/1000000</f>
        <v>0</v>
      </c>
      <c r="I70" s="122">
        <f>'Water Heater Stock'!I17*'O&amp;M Cost'!$D7/1000000</f>
        <v>0</v>
      </c>
      <c r="J70" s="122">
        <f>'Water Heater Stock'!J17*'O&amp;M Cost'!$D7/1000000</f>
        <v>0</v>
      </c>
      <c r="K70" s="122">
        <f>'Water Heater Stock'!K17*'O&amp;M Cost'!$D7/1000000</f>
        <v>0</v>
      </c>
      <c r="L70" s="122">
        <f>'Water Heater Stock'!L17*'O&amp;M Cost'!$D7/1000000</f>
        <v>0</v>
      </c>
      <c r="M70" s="122">
        <f>'Water Heater Stock'!M17*'O&amp;M Cost'!$D7/1000000</f>
        <v>0</v>
      </c>
      <c r="N70" s="122">
        <f>'Water Heater Stock'!N17*'O&amp;M Cost'!$D7/1000000</f>
        <v>0</v>
      </c>
      <c r="O70" s="122">
        <f>'Water Heater Stock'!O17*'O&amp;M Cost'!$D7/1000000</f>
        <v>0</v>
      </c>
      <c r="P70" s="122">
        <f>'Water Heater Stock'!P17*'O&amp;M Cost'!$D7/1000000</f>
        <v>0</v>
      </c>
      <c r="Q70" s="122">
        <f>'Water Heater Stock'!Q17*'O&amp;M Cost'!$D7/1000000</f>
        <v>0</v>
      </c>
      <c r="R70" s="122">
        <f>'Water Heater Stock'!R17*'O&amp;M Cost'!$D7/1000000</f>
        <v>0</v>
      </c>
      <c r="S70" s="122">
        <f>'Water Heater Stock'!S17*'O&amp;M Cost'!$D7/1000000</f>
        <v>0</v>
      </c>
      <c r="T70" s="122">
        <f>'Water Heater Stock'!T17*'O&amp;M Cost'!$D7/1000000</f>
        <v>0</v>
      </c>
      <c r="U70" s="122">
        <f>'Water Heater Stock'!U17*'O&amp;M Cost'!$D7/1000000</f>
        <v>0</v>
      </c>
      <c r="V70" s="122">
        <f>'Water Heater Stock'!V17*'O&amp;M Cost'!$D7/1000000</f>
        <v>0</v>
      </c>
      <c r="W70" s="122">
        <f>'Water Heater Stock'!W17*'O&amp;M Cost'!$D7/1000000</f>
        <v>0</v>
      </c>
    </row>
    <row r="71" spans="1:23">
      <c r="A71" s="37" t="str">
        <f>'Water Heater Stock'!A18</f>
        <v>Instant Gas</v>
      </c>
      <c r="B71" s="122">
        <f>'Water Heater Stock'!B18*'O&amp;M Cost'!$D8/1000000</f>
        <v>0</v>
      </c>
      <c r="C71" s="122">
        <f>'Water Heater Stock'!C18*'O&amp;M Cost'!$D8/1000000</f>
        <v>0</v>
      </c>
      <c r="D71" s="122">
        <f>'Water Heater Stock'!D18*'O&amp;M Cost'!$D8/1000000</f>
        <v>0</v>
      </c>
      <c r="E71" s="122">
        <f>'Water Heater Stock'!E18*'O&amp;M Cost'!$D8/1000000</f>
        <v>0</v>
      </c>
      <c r="F71" s="122">
        <f>'Water Heater Stock'!F18*'O&amp;M Cost'!$D8/1000000</f>
        <v>0</v>
      </c>
      <c r="G71" s="122">
        <f>'Water Heater Stock'!G18*'O&amp;M Cost'!$D8/1000000</f>
        <v>0</v>
      </c>
      <c r="H71" s="122">
        <f>'Water Heater Stock'!H18*'O&amp;M Cost'!$D8/1000000</f>
        <v>0</v>
      </c>
      <c r="I71" s="122">
        <f>'Water Heater Stock'!I18*'O&amp;M Cost'!$D8/1000000</f>
        <v>0</v>
      </c>
      <c r="J71" s="122">
        <f>'Water Heater Stock'!J18*'O&amp;M Cost'!$D8/1000000</f>
        <v>0</v>
      </c>
      <c r="K71" s="122">
        <f>'Water Heater Stock'!K18*'O&amp;M Cost'!$D8/1000000</f>
        <v>0</v>
      </c>
      <c r="L71" s="122">
        <f>'Water Heater Stock'!L18*'O&amp;M Cost'!$D8/1000000</f>
        <v>0</v>
      </c>
      <c r="M71" s="122">
        <f>'Water Heater Stock'!M18*'O&amp;M Cost'!$D8/1000000</f>
        <v>0</v>
      </c>
      <c r="N71" s="122">
        <f>'Water Heater Stock'!N18*'O&amp;M Cost'!$D8/1000000</f>
        <v>0</v>
      </c>
      <c r="O71" s="122">
        <f>'Water Heater Stock'!O18*'O&amp;M Cost'!$D8/1000000</f>
        <v>0</v>
      </c>
      <c r="P71" s="122">
        <f>'Water Heater Stock'!P18*'O&amp;M Cost'!$D8/1000000</f>
        <v>0</v>
      </c>
      <c r="Q71" s="122">
        <f>'Water Heater Stock'!Q18*'O&amp;M Cost'!$D8/1000000</f>
        <v>0</v>
      </c>
      <c r="R71" s="122">
        <f>'Water Heater Stock'!R18*'O&amp;M Cost'!$D8/1000000</f>
        <v>0</v>
      </c>
      <c r="S71" s="122">
        <f>'Water Heater Stock'!S18*'O&amp;M Cost'!$D8/1000000</f>
        <v>0</v>
      </c>
      <c r="T71" s="122">
        <f>'Water Heater Stock'!T18*'O&amp;M Cost'!$D8/1000000</f>
        <v>0</v>
      </c>
      <c r="U71" s="122">
        <f>'Water Heater Stock'!U18*'O&amp;M Cost'!$D8/1000000</f>
        <v>0</v>
      </c>
      <c r="V71" s="122">
        <f>'Water Heater Stock'!V18*'O&amp;M Cost'!$D8/1000000</f>
        <v>0</v>
      </c>
      <c r="W71" s="122">
        <f>'Water Heater Stock'!W18*'O&amp;M Cost'!$D8/1000000</f>
        <v>0</v>
      </c>
    </row>
    <row r="72" spans="1:23">
      <c r="A72" s="37" t="str">
        <f>'Water Heater Stock'!A19</f>
        <v>Condensing Gas</v>
      </c>
      <c r="B72" s="122">
        <f>'Water Heater Stock'!B19*'O&amp;M Cost'!$D9/1000000</f>
        <v>0</v>
      </c>
      <c r="C72" s="122">
        <f>'Water Heater Stock'!C19*'O&amp;M Cost'!$D9/1000000</f>
        <v>0</v>
      </c>
      <c r="D72" s="122">
        <f>'Water Heater Stock'!D19*'O&amp;M Cost'!$D9/1000000</f>
        <v>0</v>
      </c>
      <c r="E72" s="122">
        <f>'Water Heater Stock'!E19*'O&amp;M Cost'!$D9/1000000</f>
        <v>0</v>
      </c>
      <c r="F72" s="122">
        <f>'Water Heater Stock'!F19*'O&amp;M Cost'!$D9/1000000</f>
        <v>0</v>
      </c>
      <c r="G72" s="122">
        <f>'Water Heater Stock'!G19*'O&amp;M Cost'!$D9/1000000</f>
        <v>0</v>
      </c>
      <c r="H72" s="122">
        <f>'Water Heater Stock'!H19*'O&amp;M Cost'!$D9/1000000</f>
        <v>0</v>
      </c>
      <c r="I72" s="122">
        <f>'Water Heater Stock'!I19*'O&amp;M Cost'!$D9/1000000</f>
        <v>0</v>
      </c>
      <c r="J72" s="122">
        <f>'Water Heater Stock'!J19*'O&amp;M Cost'!$D9/1000000</f>
        <v>0</v>
      </c>
      <c r="K72" s="122">
        <f>'Water Heater Stock'!K19*'O&amp;M Cost'!$D9/1000000</f>
        <v>0</v>
      </c>
      <c r="L72" s="122">
        <f>'Water Heater Stock'!L19*'O&amp;M Cost'!$D9/1000000</f>
        <v>0</v>
      </c>
      <c r="M72" s="122">
        <f>'Water Heater Stock'!M19*'O&amp;M Cost'!$D9/1000000</f>
        <v>0</v>
      </c>
      <c r="N72" s="122">
        <f>'Water Heater Stock'!N19*'O&amp;M Cost'!$D9/1000000</f>
        <v>0</v>
      </c>
      <c r="O72" s="122">
        <f>'Water Heater Stock'!O19*'O&amp;M Cost'!$D9/1000000</f>
        <v>0</v>
      </c>
      <c r="P72" s="122">
        <f>'Water Heater Stock'!P19*'O&amp;M Cost'!$D9/1000000</f>
        <v>0</v>
      </c>
      <c r="Q72" s="122">
        <f>'Water Heater Stock'!Q19*'O&amp;M Cost'!$D9/1000000</f>
        <v>0</v>
      </c>
      <c r="R72" s="122">
        <f>'Water Heater Stock'!R19*'O&amp;M Cost'!$D9/1000000</f>
        <v>0</v>
      </c>
      <c r="S72" s="122">
        <f>'Water Heater Stock'!S19*'O&amp;M Cost'!$D9/1000000</f>
        <v>0</v>
      </c>
      <c r="T72" s="122">
        <f>'Water Heater Stock'!T19*'O&amp;M Cost'!$D9/1000000</f>
        <v>0</v>
      </c>
      <c r="U72" s="122">
        <f>'Water Heater Stock'!U19*'O&amp;M Cost'!$D9/1000000</f>
        <v>0</v>
      </c>
      <c r="V72" s="122">
        <f>'Water Heater Stock'!V19*'O&amp;M Cost'!$D9/1000000</f>
        <v>0</v>
      </c>
      <c r="W72" s="122">
        <f>'Water Heater Stock'!W19*'O&amp;M Cost'!$D9/1000000</f>
        <v>0</v>
      </c>
    </row>
    <row r="74" spans="1:23">
      <c r="A74" s="12" t="s">
        <v>118</v>
      </c>
    </row>
    <row r="75" spans="1:23">
      <c r="A75" s="14" t="str">
        <f>'Energy Usage'!A25</f>
        <v>Water Heat Ending</v>
      </c>
      <c r="B75" s="55">
        <f>'Energy Usage'!B25</f>
        <v>2014</v>
      </c>
      <c r="C75" s="55">
        <f>'Energy Usage'!C25</f>
        <v>2015</v>
      </c>
      <c r="D75" s="55">
        <f>'Energy Usage'!D25</f>
        <v>2016</v>
      </c>
      <c r="E75" s="55">
        <f>'Energy Usage'!E25</f>
        <v>2017</v>
      </c>
      <c r="F75" s="55">
        <f>'Energy Usage'!F25</f>
        <v>2018</v>
      </c>
      <c r="G75" s="55">
        <f>'Energy Usage'!G25</f>
        <v>2019</v>
      </c>
      <c r="H75" s="55">
        <f>'Energy Usage'!H25</f>
        <v>2020</v>
      </c>
      <c r="I75" s="55">
        <f>'Energy Usage'!I25</f>
        <v>2021</v>
      </c>
      <c r="J75" s="55">
        <f>'Energy Usage'!J25</f>
        <v>2022</v>
      </c>
      <c r="K75" s="55">
        <f>'Energy Usage'!K25</f>
        <v>2023</v>
      </c>
      <c r="L75" s="55">
        <f>'Energy Usage'!L25</f>
        <v>2024</v>
      </c>
      <c r="M75" s="55">
        <f>'Energy Usage'!M25</f>
        <v>2025</v>
      </c>
      <c r="N75" s="55">
        <f>'Energy Usage'!N25</f>
        <v>2026</v>
      </c>
      <c r="O75" s="55">
        <f>'Energy Usage'!O25</f>
        <v>2027</v>
      </c>
      <c r="P75" s="55">
        <f>'Energy Usage'!P25</f>
        <v>2028</v>
      </c>
      <c r="Q75" s="55">
        <f>'Energy Usage'!Q25</f>
        <v>2029</v>
      </c>
      <c r="R75" s="55">
        <f>'Energy Usage'!R25</f>
        <v>2030</v>
      </c>
      <c r="S75" s="55">
        <f>'Energy Usage'!S25</f>
        <v>2031</v>
      </c>
      <c r="T75" s="55">
        <f>'Energy Usage'!T25</f>
        <v>2032</v>
      </c>
      <c r="U75" s="55">
        <f>'Energy Usage'!U25</f>
        <v>2033</v>
      </c>
      <c r="V75" s="55">
        <f>'Energy Usage'!V25</f>
        <v>2034</v>
      </c>
      <c r="W75" s="55">
        <f>'Energy Usage'!W25</f>
        <v>2035</v>
      </c>
    </row>
    <row r="76" spans="1:23" ht="16.5" thickBot="1">
      <c r="A76" s="48" t="s">
        <v>45</v>
      </c>
      <c r="B76" s="128">
        <f t="shared" ref="B76:W76" si="25">SUM(B77:B81)</f>
        <v>2.1061632537406823</v>
      </c>
      <c r="C76" s="128">
        <f t="shared" si="25"/>
        <v>2.0642644468358413</v>
      </c>
      <c r="D76" s="128">
        <f t="shared" si="25"/>
        <v>2.0259331547389565</v>
      </c>
      <c r="E76" s="128">
        <f t="shared" si="25"/>
        <v>1.9909716667413617</v>
      </c>
      <c r="F76" s="128">
        <f t="shared" si="25"/>
        <v>1.9591941902852721</v>
      </c>
      <c r="G76" s="128">
        <f t="shared" si="25"/>
        <v>1.9304261459103123</v>
      </c>
      <c r="H76" s="128">
        <f t="shared" si="25"/>
        <v>1.904503504080852</v>
      </c>
      <c r="I76" s="128">
        <f t="shared" si="25"/>
        <v>1.8812721614086483</v>
      </c>
      <c r="J76" s="128">
        <f t="shared" si="25"/>
        <v>1.8605873539327904</v>
      </c>
      <c r="K76" s="128">
        <f t="shared" si="25"/>
        <v>1.8423131052577564</v>
      </c>
      <c r="L76" s="128">
        <f t="shared" si="25"/>
        <v>1.8263217074809104</v>
      </c>
      <c r="M76" s="128">
        <f t="shared" si="25"/>
        <v>1.8124932329635839</v>
      </c>
      <c r="N76" s="128">
        <f t="shared" si="25"/>
        <v>1.800715075115376</v>
      </c>
      <c r="O76" s="128">
        <f t="shared" si="25"/>
        <v>1.7908815164699674</v>
      </c>
      <c r="P76" s="128">
        <f t="shared" si="25"/>
        <v>1.7828933224329404</v>
      </c>
      <c r="Q76" s="128">
        <f t="shared" si="25"/>
        <v>1.7766573591782315</v>
      </c>
      <c r="R76" s="128">
        <f t="shared" si="25"/>
        <v>1.7720862342602763</v>
      </c>
      <c r="S76" s="128">
        <f t="shared" si="25"/>
        <v>1.7690979585939606</v>
      </c>
      <c r="T76" s="128">
        <f t="shared" si="25"/>
        <v>1.767615628534513</v>
      </c>
      <c r="U76" s="128">
        <f t="shared" si="25"/>
        <v>1.7675671268647277</v>
      </c>
      <c r="V76" s="128">
        <f t="shared" si="25"/>
        <v>1.7688848415677096</v>
      </c>
      <c r="W76" s="128">
        <f t="shared" si="25"/>
        <v>1.771505401329927</v>
      </c>
    </row>
    <row r="77" spans="1:23" ht="16.5" thickTop="1">
      <c r="A77" s="37" t="str">
        <f>'Energy Usage'!A27</f>
        <v>Electric Resistance</v>
      </c>
      <c r="B77" s="122">
        <f>(('Energy Usage'!B27*'Retail Rates'!B$5*'Device Energy Use'!$E5+'Energy Usage'!B27*'Retail Rates'!B$6*(1-'Device Energy Use'!$E5)))/1000000</f>
        <v>2.1061632537406823</v>
      </c>
      <c r="C77" s="122">
        <f>(('Energy Usage'!C27*'Retail Rates'!C$5*'Device Energy Use'!$E5+'Energy Usage'!C27*'Retail Rates'!C$6*(1-'Device Energy Use'!$E5)))/1000000</f>
        <v>1.9811474206079323</v>
      </c>
      <c r="D77" s="122">
        <f>(('Energy Usage'!D27*'Retail Rates'!D$5*'Device Energy Use'!$E5+'Energy Usage'!D27*'Retail Rates'!D$6*(1-'Device Energy Use'!$E5)))/1000000</f>
        <v>1.8635521701418467</v>
      </c>
      <c r="E77" s="122">
        <f>(('Energy Usage'!E27*'Retail Rates'!E$5*'Device Energy Use'!$E5+'Energy Usage'!E27*'Retail Rates'!E$6*(1-'Device Energy Use'!$E5)))/1000000</f>
        <v>1.7529370377569986</v>
      </c>
      <c r="F77" s="122">
        <f>(('Energy Usage'!F27*'Retail Rates'!F$5*'Device Energy Use'!$E5+'Energy Usage'!F27*'Retail Rates'!F$6*(1-'Device Energy Use'!$E5)))/1000000</f>
        <v>1.6488877035872793</v>
      </c>
      <c r="G77" s="122">
        <f>(('Energy Usage'!G27*'Retail Rates'!G$5*'Device Energy Use'!$E5+'Energy Usage'!G27*'Retail Rates'!G$6*(1-'Device Energy Use'!$E5)))/1000000</f>
        <v>1.551014440610063</v>
      </c>
      <c r="H77" s="122">
        <f>(('Energy Usage'!H27*'Retail Rates'!H$5*'Device Energy Use'!$E5+'Energy Usage'!H27*'Retail Rates'!H$6*(1-'Device Energy Use'!$E5)))/1000000</f>
        <v>1.4589506548852798</v>
      </c>
      <c r="I77" s="122">
        <f>(('Energy Usage'!I27*'Retail Rates'!I$5*'Device Energy Use'!$E5+'Energy Usage'!I27*'Retail Rates'!I$6*(1-'Device Energy Use'!$E5)))/1000000</f>
        <v>1.372351512441732</v>
      </c>
      <c r="J77" s="122">
        <f>(('Energy Usage'!J27*'Retail Rates'!J$5*'Device Energy Use'!$E5+'Energy Usage'!J27*'Retail Rates'!J$6*(1-'Device Energy Use'!$E5)))/1000000</f>
        <v>1.2908926476675118</v>
      </c>
      <c r="K77" s="122">
        <f>(('Energy Usage'!K27*'Retail Rates'!K$5*'Device Energy Use'!$E5+'Energy Usage'!K27*'Retail Rates'!K$6*(1-'Device Energy Use'!$E5)))/1000000</f>
        <v>1.2142689483666758</v>
      </c>
      <c r="L77" s="122">
        <f>(('Energy Usage'!L27*'Retail Rates'!L$5*'Device Energy Use'!$E5+'Energy Usage'!L27*'Retail Rates'!L$6*(1-'Device Energy Use'!$E5)))/1000000</f>
        <v>1.1421934129314824</v>
      </c>
      <c r="M77" s="122">
        <f>(('Energy Usage'!M27*'Retail Rates'!M$5*'Device Energy Use'!$E5+'Energy Usage'!M27*'Retail Rates'!M$6*(1-'Device Energy Use'!$E5)))/1000000</f>
        <v>1.0743960753496207</v>
      </c>
      <c r="N77" s="122">
        <f>(('Energy Usage'!N27*'Retail Rates'!N$5*'Device Energy Use'!$E5+'Energy Usage'!N27*'Retail Rates'!N$6*(1-'Device Energy Use'!$E5)))/1000000</f>
        <v>1.0106229940199396</v>
      </c>
      <c r="O77" s="122">
        <f>(('Energy Usage'!O27*'Retail Rates'!O$5*'Device Energy Use'!$E5+'Energy Usage'!O27*'Retail Rates'!O$6*(1-'Device Energy Use'!$E5)))/1000000</f>
        <v>0.95063530058918444</v>
      </c>
      <c r="P77" s="122">
        <f>(('Energy Usage'!P27*'Retail Rates'!P$5*'Device Energy Use'!$E5+'Energy Usage'!P27*'Retail Rates'!P$6*(1-'Device Energy Use'!$E5)))/1000000</f>
        <v>0.89420830524706907</v>
      </c>
      <c r="Q77" s="122">
        <f>(('Energy Usage'!Q27*'Retail Rates'!Q$5*'Device Energy Use'!$E5+'Energy Usage'!Q27*'Retail Rates'!Q$6*(1-'Device Energy Use'!$E5)))/1000000</f>
        <v>0.84113065512847529</v>
      </c>
      <c r="R77" s="122">
        <f>(('Energy Usage'!R27*'Retail Rates'!R$5*'Device Energy Use'!$E5+'Energy Usage'!R27*'Retail Rates'!R$6*(1-'Device Energy Use'!$E5)))/1000000</f>
        <v>0.7912035426704922</v>
      </c>
      <c r="S77" s="122">
        <f>(('Energy Usage'!S27*'Retail Rates'!S$5*'Device Energy Use'!$E5+'Energy Usage'!S27*'Retail Rates'!S$6*(1-'Device Energy Use'!$E5)))/1000000</f>
        <v>0.74423996095912204</v>
      </c>
      <c r="T77" s="122">
        <f>(('Energy Usage'!T27*'Retail Rates'!T$5*'Device Energy Use'!$E5+'Energy Usage'!T27*'Retail Rates'!T$6*(1-'Device Energy Use'!$E5)))/1000000</f>
        <v>0.700064003276477</v>
      </c>
      <c r="U77" s="122">
        <f>(('Energy Usage'!U27*'Retail Rates'!U$5*'Device Energy Use'!$E5+'Energy Usage'!U27*'Retail Rates'!U$6*(1-'Device Energy Use'!$E5)))/1000000</f>
        <v>0.65851020422485185</v>
      </c>
      <c r="V77" s="122">
        <f>(('Energy Usage'!V27*'Retail Rates'!V$5*'Device Energy Use'!$E5+'Energy Usage'!V27*'Retail Rates'!V$6*(1-'Device Energy Use'!$E5)))/1000000</f>
        <v>0.61942291995979071</v>
      </c>
      <c r="W77" s="122">
        <f>(('Energy Usage'!W27*'Retail Rates'!W$5*'Device Energy Use'!$E5+'Energy Usage'!W27*'Retail Rates'!W$6*(1-'Device Energy Use'!$E5)))/1000000</f>
        <v>0.5826557452107487</v>
      </c>
    </row>
    <row r="78" spans="1:23">
      <c r="A78" s="37" t="str">
        <f>'Energy Usage'!A28</f>
        <v>HPWH</v>
      </c>
      <c r="B78" s="122">
        <f>(('Energy Usage'!B28*'Retail Rates'!B$5*'Device Energy Use'!$E6+'Energy Usage'!B28*'Retail Rates'!B$6*(1-'Device Energy Use'!$E6)))/1000000</f>
        <v>0</v>
      </c>
      <c r="C78" s="122">
        <f>(('Energy Usage'!C28*'Retail Rates'!C$5*'Device Energy Use'!$E6+'Energy Usage'!C28*'Retail Rates'!C$6*(1-'Device Energy Use'!$E6)))/1000000</f>
        <v>8.3117026227909035E-2</v>
      </c>
      <c r="D78" s="122">
        <f>(('Energy Usage'!D28*'Retail Rates'!D$5*'Device Energy Use'!$E6+'Energy Usage'!D28*'Retail Rates'!D$6*(1-'Device Energy Use'!$E6)))/1000000</f>
        <v>0.16238098459710998</v>
      </c>
      <c r="E78" s="122">
        <f>(('Energy Usage'!E28*'Retail Rates'!E$5*'Device Energy Use'!$E6+'Energy Usage'!E28*'Retail Rates'!E$6*(1-'Device Energy Use'!$E6)))/1000000</f>
        <v>0.23803462898436301</v>
      </c>
      <c r="F78" s="122">
        <f>(('Energy Usage'!F28*'Retail Rates'!F$5*'Device Energy Use'!$E6+'Energy Usage'!F28*'Retail Rates'!F$6*(1-'Device Energy Use'!$E6)))/1000000</f>
        <v>0.31030648669799282</v>
      </c>
      <c r="G78" s="122">
        <f>(('Energy Usage'!G28*'Retail Rates'!G$5*'Device Energy Use'!$E6+'Energy Usage'!G28*'Retail Rates'!G$6*(1-'Device Energy Use'!$E6)))/1000000</f>
        <v>0.3794117053002492</v>
      </c>
      <c r="H78" s="122">
        <f>(('Energy Usage'!H28*'Retail Rates'!H$5*'Device Energy Use'!$E6+'Energy Usage'!H28*'Retail Rates'!H$6*(1-'Device Energy Use'!$E6)))/1000000</f>
        <v>0.44555284919557225</v>
      </c>
      <c r="I78" s="122">
        <f>(('Energy Usage'!I28*'Retail Rates'!I$5*'Device Energy Use'!$E6+'Energy Usage'!I28*'Retail Rates'!I$6*(1-'Device Energy Use'!$E6)))/1000000</f>
        <v>0.50892064896691636</v>
      </c>
      <c r="J78" s="122">
        <f>(('Energy Usage'!J28*'Retail Rates'!J$5*'Device Energy Use'!$E6+'Energy Usage'!J28*'Retail Rates'!J$6*(1-'Device Energy Use'!$E6)))/1000000</f>
        <v>0.56969470626527874</v>
      </c>
      <c r="K78" s="122">
        <f>(('Energy Usage'!K28*'Retail Rates'!K$5*'Device Energy Use'!$E6+'Energy Usage'!K28*'Retail Rates'!K$6*(1-'Device Energy Use'!$E6)))/1000000</f>
        <v>0.62804415689108062</v>
      </c>
      <c r="L78" s="122">
        <f>(('Energy Usage'!L28*'Retail Rates'!L$5*'Device Energy Use'!$E6+'Energy Usage'!L28*'Retail Rates'!L$6*(1-'Device Energy Use'!$E6)))/1000000</f>
        <v>0.68412829454942814</v>
      </c>
      <c r="M78" s="122">
        <f>(('Energy Usage'!M28*'Retail Rates'!M$5*'Device Energy Use'!$E6+'Energy Usage'!M28*'Retail Rates'!M$6*(1-'Device Energy Use'!$E6)))/1000000</f>
        <v>0.73809715761396322</v>
      </c>
      <c r="N78" s="122">
        <f>(('Energy Usage'!N28*'Retail Rates'!N$5*'Device Energy Use'!$E6+'Energy Usage'!N28*'Retail Rates'!N$6*(1-'Device Energy Use'!$E6)))/1000000</f>
        <v>0.79009208109543649</v>
      </c>
      <c r="O78" s="122">
        <f>(('Energy Usage'!O28*'Retail Rates'!O$5*'Device Energy Use'!$E6+'Energy Usage'!O28*'Retail Rates'!O$6*(1-'Device Energy Use'!$E6)))/1000000</f>
        <v>0.84024621588078308</v>
      </c>
      <c r="P78" s="122">
        <f>(('Energy Usage'!P28*'Retail Rates'!P$5*'Device Energy Use'!$E6+'Energy Usage'!P28*'Retail Rates'!P$6*(1-'Device Energy Use'!$E6)))/1000000</f>
        <v>0.88868501718587123</v>
      </c>
      <c r="Q78" s="122">
        <f>(('Energy Usage'!Q28*'Retail Rates'!Q$5*'Device Energy Use'!$E6+'Energy Usage'!Q28*'Retail Rates'!Q$6*(1-'Device Energy Use'!$E6)))/1000000</f>
        <v>0.93552670404975624</v>
      </c>
      <c r="R78" s="122">
        <f>(('Energy Usage'!R28*'Retail Rates'!R$5*'Device Energy Use'!$E6+'Energy Usage'!R28*'Retail Rates'!R$6*(1-'Device Energy Use'!$E6)))/1000000</f>
        <v>0.98088269158978414</v>
      </c>
      <c r="S78" s="122">
        <f>(('Energy Usage'!S28*'Retail Rates'!S$5*'Device Energy Use'!$E6+'Energy Usage'!S28*'Retail Rates'!S$6*(1-'Device Energy Use'!$E6)))/1000000</f>
        <v>1.0248579976348384</v>
      </c>
      <c r="T78" s="122">
        <f>(('Energy Usage'!T28*'Retail Rates'!T$5*'Device Energy Use'!$E6+'Energy Usage'!T28*'Retail Rates'!T$6*(1-'Device Energy Use'!$E6)))/1000000</f>
        <v>1.0675516252580359</v>
      </c>
      <c r="U78" s="122">
        <f>(('Energy Usage'!U28*'Retail Rates'!U$5*'Device Energy Use'!$E6+'Energy Usage'!U28*'Retail Rates'!U$6*(1-'Device Energy Use'!$E6)))/1000000</f>
        <v>1.1090569226398759</v>
      </c>
      <c r="V78" s="122">
        <f>(('Energy Usage'!V28*'Retail Rates'!V$5*'Device Energy Use'!$E6+'Energy Usage'!V28*'Retail Rates'!V$6*(1-'Device Energy Use'!$E6)))/1000000</f>
        <v>1.1494619216079189</v>
      </c>
      <c r="W78" s="122">
        <f>(('Energy Usage'!W28*'Retail Rates'!W$5*'Device Energy Use'!$E6+'Energy Usage'!W28*'Retail Rates'!W$6*(1-'Device Energy Use'!$E6)))/1000000</f>
        <v>1.1888496561191784</v>
      </c>
    </row>
    <row r="79" spans="1:23">
      <c r="A79" s="37" t="str">
        <f>'Energy Usage'!A29</f>
        <v>Gas Tank</v>
      </c>
      <c r="B79" s="122">
        <f>(('Energy Usage'!B29*'Retail Rates'!B$5*'Device Energy Use'!$E7+'Energy Usage'!B29*'Retail Rates'!B$6*(1-'Device Energy Use'!$E7)))/1000000</f>
        <v>0</v>
      </c>
      <c r="C79" s="122">
        <f>(('Energy Usage'!C29*'Retail Rates'!C$5*'Device Energy Use'!$E7+'Energy Usage'!C29*'Retail Rates'!C$6*(1-'Device Energy Use'!$E7)))/1000000</f>
        <v>0</v>
      </c>
      <c r="D79" s="122">
        <f>(('Energy Usage'!D29*'Retail Rates'!D$5*'Device Energy Use'!$E7+'Energy Usage'!D29*'Retail Rates'!D$6*(1-'Device Energy Use'!$E7)))/1000000</f>
        <v>0</v>
      </c>
      <c r="E79" s="122">
        <f>(('Energy Usage'!E29*'Retail Rates'!E$5*'Device Energy Use'!$E7+'Energy Usage'!E29*'Retail Rates'!E$6*(1-'Device Energy Use'!$E7)))/1000000</f>
        <v>0</v>
      </c>
      <c r="F79" s="122">
        <f>(('Energy Usage'!F29*'Retail Rates'!F$5*'Device Energy Use'!$E7+'Energy Usage'!F29*'Retail Rates'!F$6*(1-'Device Energy Use'!$E7)))/1000000</f>
        <v>0</v>
      </c>
      <c r="G79" s="122">
        <f>(('Energy Usage'!G29*'Retail Rates'!G$5*'Device Energy Use'!$E7+'Energy Usage'!G29*'Retail Rates'!G$6*(1-'Device Energy Use'!$E7)))/1000000</f>
        <v>0</v>
      </c>
      <c r="H79" s="122">
        <f>(('Energy Usage'!H29*'Retail Rates'!H$5*'Device Energy Use'!$E7+'Energy Usage'!H29*'Retail Rates'!H$6*(1-'Device Energy Use'!$E7)))/1000000</f>
        <v>0</v>
      </c>
      <c r="I79" s="122">
        <f>(('Energy Usage'!I29*'Retail Rates'!I$5*'Device Energy Use'!$E7+'Energy Usage'!I29*'Retail Rates'!I$6*(1-'Device Energy Use'!$E7)))/1000000</f>
        <v>0</v>
      </c>
      <c r="J79" s="122">
        <f>(('Energy Usage'!J29*'Retail Rates'!J$5*'Device Energy Use'!$E7+'Energy Usage'!J29*'Retail Rates'!J$6*(1-'Device Energy Use'!$E7)))/1000000</f>
        <v>0</v>
      </c>
      <c r="K79" s="122">
        <f>(('Energy Usage'!K29*'Retail Rates'!K$5*'Device Energy Use'!$E7+'Energy Usage'!K29*'Retail Rates'!K$6*(1-'Device Energy Use'!$E7)))/1000000</f>
        <v>0</v>
      </c>
      <c r="L79" s="122">
        <f>(('Energy Usage'!L29*'Retail Rates'!L$5*'Device Energy Use'!$E7+'Energy Usage'!L29*'Retail Rates'!L$6*(1-'Device Energy Use'!$E7)))/1000000</f>
        <v>0</v>
      </c>
      <c r="M79" s="122">
        <f>(('Energy Usage'!M29*'Retail Rates'!M$5*'Device Energy Use'!$E7+'Energy Usage'!M29*'Retail Rates'!M$6*(1-'Device Energy Use'!$E7)))/1000000</f>
        <v>0</v>
      </c>
      <c r="N79" s="122">
        <f>(('Energy Usage'!N29*'Retail Rates'!N$5*'Device Energy Use'!$E7+'Energy Usage'!N29*'Retail Rates'!N$6*(1-'Device Energy Use'!$E7)))/1000000</f>
        <v>0</v>
      </c>
      <c r="O79" s="122">
        <f>(('Energy Usage'!O29*'Retail Rates'!O$5*'Device Energy Use'!$E7+'Energy Usage'!O29*'Retail Rates'!O$6*(1-'Device Energy Use'!$E7)))/1000000</f>
        <v>0</v>
      </c>
      <c r="P79" s="122">
        <f>(('Energy Usage'!P29*'Retail Rates'!P$5*'Device Energy Use'!$E7+'Energy Usage'!P29*'Retail Rates'!P$6*(1-'Device Energy Use'!$E7)))/1000000</f>
        <v>0</v>
      </c>
      <c r="Q79" s="122">
        <f>(('Energy Usage'!Q29*'Retail Rates'!Q$5*'Device Energy Use'!$E7+'Energy Usage'!Q29*'Retail Rates'!Q$6*(1-'Device Energy Use'!$E7)))/1000000</f>
        <v>0</v>
      </c>
      <c r="R79" s="122">
        <f>(('Energy Usage'!R29*'Retail Rates'!R$5*'Device Energy Use'!$E7+'Energy Usage'!R29*'Retail Rates'!R$6*(1-'Device Energy Use'!$E7)))/1000000</f>
        <v>0</v>
      </c>
      <c r="S79" s="122">
        <f>(('Energy Usage'!S29*'Retail Rates'!S$5*'Device Energy Use'!$E7+'Energy Usage'!S29*'Retail Rates'!S$6*(1-'Device Energy Use'!$E7)))/1000000</f>
        <v>0</v>
      </c>
      <c r="T79" s="122">
        <f>(('Energy Usage'!T29*'Retail Rates'!T$5*'Device Energy Use'!$E7+'Energy Usage'!T29*'Retail Rates'!T$6*(1-'Device Energy Use'!$E7)))/1000000</f>
        <v>0</v>
      </c>
      <c r="U79" s="122">
        <f>(('Energy Usage'!U29*'Retail Rates'!U$5*'Device Energy Use'!$E7+'Energy Usage'!U29*'Retail Rates'!U$6*(1-'Device Energy Use'!$E7)))/1000000</f>
        <v>0</v>
      </c>
      <c r="V79" s="122">
        <f>(('Energy Usage'!V29*'Retail Rates'!V$5*'Device Energy Use'!$E7+'Energy Usage'!V29*'Retail Rates'!V$6*(1-'Device Energy Use'!$E7)))/1000000</f>
        <v>0</v>
      </c>
      <c r="W79" s="122">
        <f>(('Energy Usage'!W29*'Retail Rates'!W$5*'Device Energy Use'!$E7+'Energy Usage'!W29*'Retail Rates'!W$6*(1-'Device Energy Use'!$E7)))/1000000</f>
        <v>0</v>
      </c>
    </row>
    <row r="80" spans="1:23">
      <c r="A80" s="37" t="str">
        <f>'Energy Usage'!A30</f>
        <v>Instant Gas</v>
      </c>
      <c r="B80" s="122">
        <f>(('Energy Usage'!B30*'Retail Rates'!B$5*'Device Energy Use'!$E8+'Energy Usage'!B30*'Retail Rates'!B$6*(1-'Device Energy Use'!$E8)))/1000000</f>
        <v>0</v>
      </c>
      <c r="C80" s="122">
        <f>(('Energy Usage'!C30*'Retail Rates'!C$5*'Device Energy Use'!$E8+'Energy Usage'!C30*'Retail Rates'!C$6*(1-'Device Energy Use'!$E8)))/1000000</f>
        <v>0</v>
      </c>
      <c r="D80" s="122">
        <f>(('Energy Usage'!D30*'Retail Rates'!D$5*'Device Energy Use'!$E8+'Energy Usage'!D30*'Retail Rates'!D$6*(1-'Device Energy Use'!$E8)))/1000000</f>
        <v>0</v>
      </c>
      <c r="E80" s="122">
        <f>(('Energy Usage'!E30*'Retail Rates'!E$5*'Device Energy Use'!$E8+'Energy Usage'!E30*'Retail Rates'!E$6*(1-'Device Energy Use'!$E8)))/1000000</f>
        <v>0</v>
      </c>
      <c r="F80" s="122">
        <f>(('Energy Usage'!F30*'Retail Rates'!F$5*'Device Energy Use'!$E8+'Energy Usage'!F30*'Retail Rates'!F$6*(1-'Device Energy Use'!$E8)))/1000000</f>
        <v>0</v>
      </c>
      <c r="G80" s="122">
        <f>(('Energy Usage'!G30*'Retail Rates'!G$5*'Device Energy Use'!$E8+'Energy Usage'!G30*'Retail Rates'!G$6*(1-'Device Energy Use'!$E8)))/1000000</f>
        <v>0</v>
      </c>
      <c r="H80" s="122">
        <f>(('Energy Usage'!H30*'Retail Rates'!H$5*'Device Energy Use'!$E8+'Energy Usage'!H30*'Retail Rates'!H$6*(1-'Device Energy Use'!$E8)))/1000000</f>
        <v>0</v>
      </c>
      <c r="I80" s="122">
        <f>(('Energy Usage'!I30*'Retail Rates'!I$5*'Device Energy Use'!$E8+'Energy Usage'!I30*'Retail Rates'!I$6*(1-'Device Energy Use'!$E8)))/1000000</f>
        <v>0</v>
      </c>
      <c r="J80" s="122">
        <f>(('Energy Usage'!J30*'Retail Rates'!J$5*'Device Energy Use'!$E8+'Energy Usage'!J30*'Retail Rates'!J$6*(1-'Device Energy Use'!$E8)))/1000000</f>
        <v>0</v>
      </c>
      <c r="K80" s="122">
        <f>(('Energy Usage'!K30*'Retail Rates'!K$5*'Device Energy Use'!$E8+'Energy Usage'!K30*'Retail Rates'!K$6*(1-'Device Energy Use'!$E8)))/1000000</f>
        <v>0</v>
      </c>
      <c r="L80" s="122">
        <f>(('Energy Usage'!L30*'Retail Rates'!L$5*'Device Energy Use'!$E8+'Energy Usage'!L30*'Retail Rates'!L$6*(1-'Device Energy Use'!$E8)))/1000000</f>
        <v>0</v>
      </c>
      <c r="M80" s="122">
        <f>(('Energy Usage'!M30*'Retail Rates'!M$5*'Device Energy Use'!$E8+'Energy Usage'!M30*'Retail Rates'!M$6*(1-'Device Energy Use'!$E8)))/1000000</f>
        <v>0</v>
      </c>
      <c r="N80" s="122">
        <f>(('Energy Usage'!N30*'Retail Rates'!N$5*'Device Energy Use'!$E8+'Energy Usage'!N30*'Retail Rates'!N$6*(1-'Device Energy Use'!$E8)))/1000000</f>
        <v>0</v>
      </c>
      <c r="O80" s="122">
        <f>(('Energy Usage'!O30*'Retail Rates'!O$5*'Device Energy Use'!$E8+'Energy Usage'!O30*'Retail Rates'!O$6*(1-'Device Energy Use'!$E8)))/1000000</f>
        <v>0</v>
      </c>
      <c r="P80" s="122">
        <f>(('Energy Usage'!P30*'Retail Rates'!P$5*'Device Energy Use'!$E8+'Energy Usage'!P30*'Retail Rates'!P$6*(1-'Device Energy Use'!$E8)))/1000000</f>
        <v>0</v>
      </c>
      <c r="Q80" s="122">
        <f>(('Energy Usage'!Q30*'Retail Rates'!Q$5*'Device Energy Use'!$E8+'Energy Usage'!Q30*'Retail Rates'!Q$6*(1-'Device Energy Use'!$E8)))/1000000</f>
        <v>0</v>
      </c>
      <c r="R80" s="122">
        <f>(('Energy Usage'!R30*'Retail Rates'!R$5*'Device Energy Use'!$E8+'Energy Usage'!R30*'Retail Rates'!R$6*(1-'Device Energy Use'!$E8)))/1000000</f>
        <v>0</v>
      </c>
      <c r="S80" s="122">
        <f>(('Energy Usage'!S30*'Retail Rates'!S$5*'Device Energy Use'!$E8+'Energy Usage'!S30*'Retail Rates'!S$6*(1-'Device Energy Use'!$E8)))/1000000</f>
        <v>0</v>
      </c>
      <c r="T80" s="122">
        <f>(('Energy Usage'!T30*'Retail Rates'!T$5*'Device Energy Use'!$E8+'Energy Usage'!T30*'Retail Rates'!T$6*(1-'Device Energy Use'!$E8)))/1000000</f>
        <v>0</v>
      </c>
      <c r="U80" s="122">
        <f>(('Energy Usage'!U30*'Retail Rates'!U$5*'Device Energy Use'!$E8+'Energy Usage'!U30*'Retail Rates'!U$6*(1-'Device Energy Use'!$E8)))/1000000</f>
        <v>0</v>
      </c>
      <c r="V80" s="122">
        <f>(('Energy Usage'!V30*'Retail Rates'!V$5*'Device Energy Use'!$E8+'Energy Usage'!V30*'Retail Rates'!V$6*(1-'Device Energy Use'!$E8)))/1000000</f>
        <v>0</v>
      </c>
      <c r="W80" s="122">
        <f>(('Energy Usage'!W30*'Retail Rates'!W$5*'Device Energy Use'!$E8+'Energy Usage'!W30*'Retail Rates'!W$6*(1-'Device Energy Use'!$E8)))/1000000</f>
        <v>0</v>
      </c>
    </row>
    <row r="81" spans="1:23">
      <c r="A81" s="37" t="str">
        <f>'Energy Usage'!A31</f>
        <v>Condensing Gas</v>
      </c>
      <c r="B81" s="122">
        <f>(('Energy Usage'!B31*'Retail Rates'!B$5*'Device Energy Use'!$E9+'Energy Usage'!B31*'Retail Rates'!B$6*(1-'Device Energy Use'!$E9)))/1000000</f>
        <v>0</v>
      </c>
      <c r="C81" s="122">
        <f>(('Energy Usage'!C31*'Retail Rates'!C$5*'Device Energy Use'!$E9+'Energy Usage'!C31*'Retail Rates'!C$6*(1-'Device Energy Use'!$E9)))/1000000</f>
        <v>0</v>
      </c>
      <c r="D81" s="122">
        <f>(('Energy Usage'!D31*'Retail Rates'!D$5*'Device Energy Use'!$E9+'Energy Usage'!D31*'Retail Rates'!D$6*(1-'Device Energy Use'!$E9)))/1000000</f>
        <v>0</v>
      </c>
      <c r="E81" s="122">
        <f>(('Energy Usage'!E31*'Retail Rates'!E$5*'Device Energy Use'!$E9+'Energy Usage'!E31*'Retail Rates'!E$6*(1-'Device Energy Use'!$E9)))/1000000</f>
        <v>0</v>
      </c>
      <c r="F81" s="122">
        <f>(('Energy Usage'!F31*'Retail Rates'!F$5*'Device Energy Use'!$E9+'Energy Usage'!F31*'Retail Rates'!F$6*(1-'Device Energy Use'!$E9)))/1000000</f>
        <v>0</v>
      </c>
      <c r="G81" s="122">
        <f>(('Energy Usage'!G31*'Retail Rates'!G$5*'Device Energy Use'!$E9+'Energy Usage'!G31*'Retail Rates'!G$6*(1-'Device Energy Use'!$E9)))/1000000</f>
        <v>0</v>
      </c>
      <c r="H81" s="122">
        <f>(('Energy Usage'!H31*'Retail Rates'!H$5*'Device Energy Use'!$E9+'Energy Usage'!H31*'Retail Rates'!H$6*(1-'Device Energy Use'!$E9)))/1000000</f>
        <v>0</v>
      </c>
      <c r="I81" s="122">
        <f>(('Energy Usage'!I31*'Retail Rates'!I$5*'Device Energy Use'!$E9+'Energy Usage'!I31*'Retail Rates'!I$6*(1-'Device Energy Use'!$E9)))/1000000</f>
        <v>0</v>
      </c>
      <c r="J81" s="122">
        <f>(('Energy Usage'!J31*'Retail Rates'!J$5*'Device Energy Use'!$E9+'Energy Usage'!J31*'Retail Rates'!J$6*(1-'Device Energy Use'!$E9)))/1000000</f>
        <v>0</v>
      </c>
      <c r="K81" s="122">
        <f>(('Energy Usage'!K31*'Retail Rates'!K$5*'Device Energy Use'!$E9+'Energy Usage'!K31*'Retail Rates'!K$6*(1-'Device Energy Use'!$E9)))/1000000</f>
        <v>0</v>
      </c>
      <c r="L81" s="122">
        <f>(('Energy Usage'!L31*'Retail Rates'!L$5*'Device Energy Use'!$E9+'Energy Usage'!L31*'Retail Rates'!L$6*(1-'Device Energy Use'!$E9)))/1000000</f>
        <v>0</v>
      </c>
      <c r="M81" s="122">
        <f>(('Energy Usage'!M31*'Retail Rates'!M$5*'Device Energy Use'!$E9+'Energy Usage'!M31*'Retail Rates'!M$6*(1-'Device Energy Use'!$E9)))/1000000</f>
        <v>0</v>
      </c>
      <c r="N81" s="122">
        <f>(('Energy Usage'!N31*'Retail Rates'!N$5*'Device Energy Use'!$E9+'Energy Usage'!N31*'Retail Rates'!N$6*(1-'Device Energy Use'!$E9)))/1000000</f>
        <v>0</v>
      </c>
      <c r="O81" s="122">
        <f>(('Energy Usage'!O31*'Retail Rates'!O$5*'Device Energy Use'!$E9+'Energy Usage'!O31*'Retail Rates'!O$6*(1-'Device Energy Use'!$E9)))/1000000</f>
        <v>0</v>
      </c>
      <c r="P81" s="122">
        <f>(('Energy Usage'!P31*'Retail Rates'!P$5*'Device Energy Use'!$E9+'Energy Usage'!P31*'Retail Rates'!P$6*(1-'Device Energy Use'!$E9)))/1000000</f>
        <v>0</v>
      </c>
      <c r="Q81" s="122">
        <f>(('Energy Usage'!Q31*'Retail Rates'!Q$5*'Device Energy Use'!$E9+'Energy Usage'!Q31*'Retail Rates'!Q$6*(1-'Device Energy Use'!$E9)))/1000000</f>
        <v>0</v>
      </c>
      <c r="R81" s="122">
        <f>(('Energy Usage'!R31*'Retail Rates'!R$5*'Device Energy Use'!$E9+'Energy Usage'!R31*'Retail Rates'!R$6*(1-'Device Energy Use'!$E9)))/1000000</f>
        <v>0</v>
      </c>
      <c r="S81" s="122">
        <f>(('Energy Usage'!S31*'Retail Rates'!S$5*'Device Energy Use'!$E9+'Energy Usage'!S31*'Retail Rates'!S$6*(1-'Device Energy Use'!$E9)))/1000000</f>
        <v>0</v>
      </c>
      <c r="T81" s="122">
        <f>(('Energy Usage'!T31*'Retail Rates'!T$5*'Device Energy Use'!$E9+'Energy Usage'!T31*'Retail Rates'!T$6*(1-'Device Energy Use'!$E9)))/1000000</f>
        <v>0</v>
      </c>
      <c r="U81" s="122">
        <f>(('Energy Usage'!U31*'Retail Rates'!U$5*'Device Energy Use'!$E9+'Energy Usage'!U31*'Retail Rates'!U$6*(1-'Device Energy Use'!$E9)))/1000000</f>
        <v>0</v>
      </c>
      <c r="V81" s="122">
        <f>(('Energy Usage'!V31*'Retail Rates'!V$5*'Device Energy Use'!$E9+'Energy Usage'!V31*'Retail Rates'!V$6*(1-'Device Energy Use'!$E9)))/1000000</f>
        <v>0</v>
      </c>
      <c r="W81" s="122">
        <f>(('Energy Usage'!W31*'Retail Rates'!W$5*'Device Energy Use'!$E9+'Energy Usage'!W31*'Retail Rates'!W$6*(1-'Device Energy Use'!$E9)))/1000000</f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/>
  <dimension ref="A1:Y16"/>
  <sheetViews>
    <sheetView workbookViewId="0">
      <selection activeCell="A2" sqref="A2"/>
    </sheetView>
  </sheetViews>
  <sheetFormatPr defaultColWidth="9.140625" defaultRowHeight="15.75"/>
  <cols>
    <col min="1" max="1" width="54.5703125" style="9" customWidth="1"/>
    <col min="2" max="2" width="9.42578125" style="9" bestFit="1" customWidth="1"/>
    <col min="3" max="3" width="13.42578125" style="9" customWidth="1"/>
    <col min="4" max="13" width="11" style="9" bestFit="1" customWidth="1"/>
    <col min="14" max="23" width="12.7109375" style="9" bestFit="1" customWidth="1"/>
    <col min="24" max="25" width="9.140625" style="44"/>
    <col min="26" max="16384" width="9.140625" style="9"/>
  </cols>
  <sheetData>
    <row r="1" spans="1:25">
      <c r="A1" s="147" t="str">
        <f>CONCATENATE("Segment:  ",State,", Single Family, ", SpaceHeat, ", ", TankSize,", ", StartWH, " is starting water heater")</f>
        <v>Segment:  Idaho, Single Family, Gas FAF, &gt;55 Gallons, Electric Resistance is starting water heater</v>
      </c>
    </row>
    <row r="2" spans="1:25" s="148" customFormat="1">
      <c r="X2" s="149"/>
      <c r="Y2" s="149"/>
    </row>
    <row r="3" spans="1:25">
      <c r="A3" s="12" t="s">
        <v>149</v>
      </c>
      <c r="X3" s="9"/>
      <c r="Y3" s="9"/>
    </row>
    <row r="4" spans="1:25">
      <c r="B4" s="9">
        <f>'Energy Usage'!B10</f>
        <v>2014</v>
      </c>
      <c r="C4" s="9">
        <f>'Energy Usage'!C10</f>
        <v>2015</v>
      </c>
      <c r="D4" s="9">
        <f>'Energy Usage'!D10</f>
        <v>2016</v>
      </c>
      <c r="E4" s="9">
        <f>'Energy Usage'!E10</f>
        <v>2017</v>
      </c>
      <c r="F4" s="9">
        <f>'Energy Usage'!F10</f>
        <v>2018</v>
      </c>
      <c r="G4" s="9">
        <f>'Energy Usage'!G10</f>
        <v>2019</v>
      </c>
      <c r="H4" s="9">
        <f>'Energy Usage'!H10</f>
        <v>2020</v>
      </c>
      <c r="I4" s="9">
        <f>'Energy Usage'!I10</f>
        <v>2021</v>
      </c>
      <c r="J4" s="9">
        <f>'Energy Usage'!J10</f>
        <v>2022</v>
      </c>
      <c r="K4" s="9">
        <f>'Energy Usage'!K10</f>
        <v>2023</v>
      </c>
      <c r="L4" s="9">
        <f>'Energy Usage'!L10</f>
        <v>2024</v>
      </c>
      <c r="M4" s="9">
        <f>'Energy Usage'!M10</f>
        <v>2025</v>
      </c>
      <c r="N4" s="9">
        <f>'Energy Usage'!N10</f>
        <v>2026</v>
      </c>
      <c r="O4" s="9">
        <f>'Energy Usage'!O10</f>
        <v>2027</v>
      </c>
      <c r="P4" s="9">
        <f>'Energy Usage'!P10</f>
        <v>2028</v>
      </c>
      <c r="Q4" s="9">
        <f>'Energy Usage'!Q10</f>
        <v>2029</v>
      </c>
      <c r="R4" s="9">
        <f>'Energy Usage'!R10</f>
        <v>2030</v>
      </c>
      <c r="S4" s="9">
        <f>'Energy Usage'!S10</f>
        <v>2031</v>
      </c>
      <c r="T4" s="9">
        <f>'Energy Usage'!T10</f>
        <v>2032</v>
      </c>
      <c r="U4" s="9">
        <f>'Energy Usage'!U10</f>
        <v>2033</v>
      </c>
      <c r="V4" s="9">
        <f>'Energy Usage'!V10</f>
        <v>2034</v>
      </c>
      <c r="W4" s="9">
        <f>'Energy Usage'!W10</f>
        <v>2035</v>
      </c>
      <c r="X4" s="9"/>
      <c r="Y4" s="9"/>
    </row>
    <row r="5" spans="1:25">
      <c r="A5" s="9" t="s">
        <v>142</v>
      </c>
      <c r="B5" s="130">
        <f>'Energy Usage'!B13</f>
        <v>0</v>
      </c>
      <c r="C5" s="130">
        <f>'Energy Usage'!C13</f>
        <v>-4.0384102141470162E-3</v>
      </c>
      <c r="D5" s="130">
        <f>'Energy Usage'!D13</f>
        <v>-7.7953999953716208E-3</v>
      </c>
      <c r="E5" s="130">
        <f>'Energy Usage'!E13</f>
        <v>-1.1291050517045787E-2</v>
      </c>
      <c r="F5" s="130">
        <f>'Energy Usage'!F13</f>
        <v>-1.4544007626318897E-2</v>
      </c>
      <c r="G5" s="130">
        <f>'Energy Usage'!G13</f>
        <v>-1.7571584367558662E-2</v>
      </c>
      <c r="H5" s="130">
        <f>'Energy Usage'!H13</f>
        <v>-2.0389856183014279E-2</v>
      </c>
      <c r="I5" s="130">
        <f>'Energy Usage'!I13</f>
        <v>-2.3013749313756965E-2</v>
      </c>
      <c r="J5" s="130">
        <f>'Energy Usage'!J13</f>
        <v>-2.5457122886591396E-2</v>
      </c>
      <c r="K5" s="130">
        <f>'Energy Usage'!K13</f>
        <v>-2.7732845137939145E-2</v>
      </c>
      <c r="L5" s="130">
        <f>'Energy Usage'!L13</f>
        <v>-2.9852864193480426E-2</v>
      </c>
      <c r="M5" s="130">
        <f>'Energy Usage'!M13</f>
        <v>-3.1828273792426913E-2</v>
      </c>
      <c r="N5" s="130">
        <f>'Energy Usage'!N13</f>
        <v>-3.3669374317521636E-2</v>
      </c>
      <c r="O5" s="130">
        <f>'Energy Usage'!O13</f>
        <v>-3.5385729466068841E-2</v>
      </c>
      <c r="P5" s="130">
        <f>'Energy Usage'!P13</f>
        <v>-3.6986218873346591E-2</v>
      </c>
      <c r="Q5" s="130">
        <f>'Energy Usage'!Q13</f>
        <v>-3.8479086977514891E-2</v>
      </c>
      <c r="R5" s="130">
        <f>'Energy Usage'!R13</f>
        <v>-3.9871988394481077E-2</v>
      </c>
      <c r="S5" s="130">
        <f>'Energy Usage'!S13</f>
        <v>-4.1172030052008098E-2</v>
      </c>
      <c r="T5" s="130">
        <f>'Energy Usage'!T13</f>
        <v>-4.2385810314544983E-2</v>
      </c>
      <c r="U5" s="130">
        <f>'Energy Usage'!U13</f>
        <v>-4.3519455313724351E-2</v>
      </c>
      <c r="V5" s="130">
        <f>'Energy Usage'!V13</f>
        <v>-4.4578652684118251E-2</v>
      </c>
      <c r="W5" s="130">
        <f>'Energy Usage'!W13</f>
        <v>-4.5568682889587271E-2</v>
      </c>
      <c r="X5" s="9"/>
      <c r="Y5" s="9"/>
    </row>
    <row r="6" spans="1:25">
      <c r="A6" s="41" t="s">
        <v>143</v>
      </c>
      <c r="B6" s="131">
        <f t="shared" ref="B6" si="0">B13*ConvertMMBTU/1000</f>
        <v>0</v>
      </c>
      <c r="C6" s="131">
        <f>C13</f>
        <v>-3.0686592643098132E-3</v>
      </c>
      <c r="D6" s="131">
        <f t="shared" ref="D6:W6" si="1">D13</f>
        <v>-5.9235874310940191E-3</v>
      </c>
      <c r="E6" s="131">
        <f t="shared" si="1"/>
        <v>-8.5800368576433896E-3</v>
      </c>
      <c r="F6" s="131">
        <f t="shared" si="1"/>
        <v>-1.1052169721157369E-2</v>
      </c>
      <c r="G6" s="131">
        <f t="shared" si="1"/>
        <v>-1.3353135888447052E-2</v>
      </c>
      <c r="H6" s="131">
        <f t="shared" si="1"/>
        <v>-1.5495145223755193E-2</v>
      </c>
      <c r="I6" s="131">
        <f t="shared" si="1"/>
        <v>-1.7489534731971394E-2</v>
      </c>
      <c r="J6" s="131">
        <f t="shared" si="1"/>
        <v>-1.9346830906141952E-2</v>
      </c>
      <c r="K6" s="131">
        <f t="shared" si="1"/>
        <v>-2.107680762182447E-2</v>
      </c>
      <c r="L6" s="131">
        <f t="shared" si="1"/>
        <v>-2.2688539896368584E-2</v>
      </c>
      <c r="M6" s="131">
        <f t="shared" si="1"/>
        <v>-2.4190453808484176E-2</v>
      </c>
      <c r="N6" s="131">
        <f t="shared" si="1"/>
        <v>-2.5590372852361636E-2</v>
      </c>
      <c r="O6" s="131">
        <f t="shared" si="1"/>
        <v>-2.6895560981016631E-2</v>
      </c>
      <c r="P6" s="131">
        <f t="shared" si="1"/>
        <v>-2.8112762575342835E-2</v>
      </c>
      <c r="Q6" s="131">
        <f t="shared" si="1"/>
        <v>-2.9248239558462286E-2</v>
      </c>
      <c r="R6" s="131">
        <f t="shared" si="1"/>
        <v>-3.0307805859279332E-2</v>
      </c>
      <c r="S6" s="131">
        <f t="shared" si="1"/>
        <v>-3.1296859414578257E-2</v>
      </c>
      <c r="T6" s="131">
        <f t="shared" si="1"/>
        <v>-3.2220411885481151E-2</v>
      </c>
      <c r="U6" s="131">
        <f t="shared" si="1"/>
        <v>-3.3083116251522819E-2</v>
      </c>
      <c r="V6" s="131">
        <f t="shared" si="1"/>
        <v>-3.3889292433939795E-2</v>
      </c>
      <c r="W6" s="131">
        <f t="shared" si="1"/>
        <v>-3.4642951088940367E-2</v>
      </c>
      <c r="X6" s="9"/>
      <c r="Y6" s="9"/>
    </row>
    <row r="7" spans="1:25">
      <c r="A7" s="9" t="s">
        <v>145</v>
      </c>
      <c r="B7" s="130">
        <f t="shared" ref="B7:W7" si="2">B5-B6</f>
        <v>0</v>
      </c>
      <c r="C7" s="130">
        <f t="shared" si="2"/>
        <v>-9.6975094983720294E-4</v>
      </c>
      <c r="D7" s="130">
        <f t="shared" si="2"/>
        <v>-1.8718125642776017E-3</v>
      </c>
      <c r="E7" s="130">
        <f t="shared" si="2"/>
        <v>-2.7110136594023972E-3</v>
      </c>
      <c r="F7" s="130">
        <f t="shared" si="2"/>
        <v>-3.4918379051615284E-3</v>
      </c>
      <c r="G7" s="130">
        <f t="shared" si="2"/>
        <v>-4.2184484791116094E-3</v>
      </c>
      <c r="H7" s="130">
        <f t="shared" si="2"/>
        <v>-4.8947109592590854E-3</v>
      </c>
      <c r="I7" s="130">
        <f t="shared" si="2"/>
        <v>-5.5242145817855706E-3</v>
      </c>
      <c r="J7" s="130">
        <f t="shared" si="2"/>
        <v>-6.1102919804494442E-3</v>
      </c>
      <c r="K7" s="130">
        <f t="shared" si="2"/>
        <v>-6.6560375161146754E-3</v>
      </c>
      <c r="L7" s="130">
        <f t="shared" si="2"/>
        <v>-7.1643242971118418E-3</v>
      </c>
      <c r="M7" s="130">
        <f t="shared" si="2"/>
        <v>-7.6378199839427369E-3</v>
      </c>
      <c r="N7" s="130">
        <f t="shared" si="2"/>
        <v>-8.0790014651599996E-3</v>
      </c>
      <c r="O7" s="130">
        <f t="shared" si="2"/>
        <v>-8.4901684850522095E-3</v>
      </c>
      <c r="P7" s="130">
        <f t="shared" si="2"/>
        <v>-8.8734562980037554E-3</v>
      </c>
      <c r="Q7" s="130">
        <f t="shared" si="2"/>
        <v>-9.2308474190526055E-3</v>
      </c>
      <c r="R7" s="130">
        <f t="shared" si="2"/>
        <v>-9.564182535201745E-3</v>
      </c>
      <c r="S7" s="130">
        <f t="shared" si="2"/>
        <v>-9.8751706374298406E-3</v>
      </c>
      <c r="T7" s="130">
        <f t="shared" si="2"/>
        <v>-1.0165398429063832E-2</v>
      </c>
      <c r="U7" s="130">
        <f t="shared" si="2"/>
        <v>-1.0436339062201531E-2</v>
      </c>
      <c r="V7" s="130">
        <f t="shared" si="2"/>
        <v>-1.0689360250178456E-2</v>
      </c>
      <c r="W7" s="130">
        <f t="shared" si="2"/>
        <v>-1.0925731800646904E-2</v>
      </c>
      <c r="X7" s="9"/>
      <c r="Y7" s="9"/>
    </row>
    <row r="8" spans="1:25"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9"/>
      <c r="Y8" s="9"/>
    </row>
    <row r="9" spans="1:25" s="148" customFormat="1" ht="23.25" customHeight="1">
      <c r="A9" s="42" t="s">
        <v>147</v>
      </c>
      <c r="X9" s="149"/>
      <c r="Y9" s="149"/>
    </row>
    <row r="10" spans="1:25" s="148" customFormat="1">
      <c r="B10" s="148">
        <f>'Energy Usage'!B5</f>
        <v>2014</v>
      </c>
      <c r="C10" s="148">
        <f>'Energy Usage'!C5</f>
        <v>2015</v>
      </c>
      <c r="D10" s="148">
        <f>'Energy Usage'!D5</f>
        <v>2016</v>
      </c>
      <c r="E10" s="148">
        <f>'Energy Usage'!E5</f>
        <v>2017</v>
      </c>
      <c r="F10" s="148">
        <f>'Energy Usage'!F5</f>
        <v>2018</v>
      </c>
      <c r="G10" s="148">
        <f>'Energy Usage'!G5</f>
        <v>2019</v>
      </c>
      <c r="H10" s="148">
        <f>'Energy Usage'!H5</f>
        <v>2020</v>
      </c>
      <c r="I10" s="148">
        <f>'Energy Usage'!I5</f>
        <v>2021</v>
      </c>
      <c r="J10" s="148">
        <f>'Energy Usage'!J5</f>
        <v>2022</v>
      </c>
      <c r="K10" s="148">
        <f>'Energy Usage'!K5</f>
        <v>2023</v>
      </c>
      <c r="L10" s="148">
        <f>'Energy Usage'!L5</f>
        <v>2024</v>
      </c>
      <c r="M10" s="148">
        <f>'Energy Usage'!M5</f>
        <v>2025</v>
      </c>
      <c r="N10" s="148">
        <f>'Energy Usage'!N5</f>
        <v>2026</v>
      </c>
      <c r="O10" s="148">
        <f>'Energy Usage'!O5</f>
        <v>2027</v>
      </c>
      <c r="P10" s="148">
        <f>'Energy Usage'!P5</f>
        <v>2028</v>
      </c>
      <c r="Q10" s="148">
        <f>'Energy Usage'!Q5</f>
        <v>2029</v>
      </c>
      <c r="R10" s="148">
        <f>'Energy Usage'!R5</f>
        <v>2030</v>
      </c>
      <c r="S10" s="148">
        <f>'Energy Usage'!S5</f>
        <v>2031</v>
      </c>
      <c r="T10" s="148">
        <f>'Energy Usage'!T5</f>
        <v>2032</v>
      </c>
      <c r="U10" s="148">
        <f>'Energy Usage'!U5</f>
        <v>2033</v>
      </c>
      <c r="V10" s="148">
        <f>'Energy Usage'!V5</f>
        <v>2034</v>
      </c>
      <c r="W10" s="148">
        <f>'Energy Usage'!W5</f>
        <v>2035</v>
      </c>
      <c r="X10" s="149"/>
      <c r="Y10" s="149"/>
    </row>
    <row r="11" spans="1:25" s="148" customFormat="1">
      <c r="A11" s="148" t="s">
        <v>161</v>
      </c>
      <c r="B11" s="151">
        <f>-'Energy Usage'!B8/3412*1000000</f>
        <v>0</v>
      </c>
      <c r="C11" s="151">
        <f>-'Energy Usage'!C8/3412*1000000</f>
        <v>-0.47429045816225862</v>
      </c>
      <c r="D11" s="151">
        <f>-'Energy Usage'!D8/3412*1000000</f>
        <v>-0.91554674360031207</v>
      </c>
      <c r="E11" s="151">
        <f>-'Energy Usage'!E8/3412*1000000</f>
        <v>-1.3261262531133524</v>
      </c>
      <c r="F11" s="151">
        <f>-'Energy Usage'!F8/3412*1000000</f>
        <v>-1.7082178858048482</v>
      </c>
      <c r="G11" s="151">
        <f>-'Energy Usage'!G8/3412*1000000</f>
        <v>-2.063854078585325</v>
      </c>
      <c r="H11" s="151">
        <f>-'Energy Usage'!H8/3412*1000000</f>
        <v>-2.3949219820332601</v>
      </c>
      <c r="I11" s="151">
        <f>-'Energy Usage'!I8/3412*1000000</f>
        <v>-2.703173838017217</v>
      </c>
      <c r="J11" s="151">
        <f>-'Energy Usage'!J8/3412*1000000</f>
        <v>-2.9902366160961287</v>
      </c>
      <c r="K11" s="151">
        <f>-'Energy Usage'!K8/3412*1000000</f>
        <v>-3.2576209616421128</v>
      </c>
      <c r="L11" s="151">
        <f>-'Energy Usage'!L8/3412*1000000</f>
        <v>-3.5067295048483129</v>
      </c>
      <c r="M11" s="151">
        <f>-'Energy Usage'!M8/3412*1000000</f>
        <v>-3.7388645762726704</v>
      </c>
      <c r="N11" s="151">
        <f>-'Energy Usage'!N8/3412*1000000</f>
        <v>-3.9552353713078263</v>
      </c>
      <c r="O11" s="151">
        <f>-'Energy Usage'!O8/3412*1000000</f>
        <v>-4.1569646029392011</v>
      </c>
      <c r="P11" s="151">
        <f>-'Energy Usage'!P8/3412*1000000</f>
        <v>-4.3450946793420151</v>
      </c>
      <c r="Q11" s="151">
        <f>-'Energy Usage'!Q8/3412*1000000</f>
        <v>-4.5205934402569223</v>
      </c>
      <c r="R11" s="151">
        <f>-'Energy Usage'!R8/3412*1000000</f>
        <v>-4.6843594836598657</v>
      </c>
      <c r="S11" s="151">
        <f>-'Energy Usage'!S8/3412*1000000</f>
        <v>-4.8372271119904573</v>
      </c>
      <c r="T11" s="151">
        <f>-'Energy Usage'!T8/3412*1000000</f>
        <v>-4.9799709251130064</v>
      </c>
      <c r="U11" s="151">
        <f>-'Energy Usage'!U8/3412*1000000</f>
        <v>-5.1133100852430946</v>
      </c>
      <c r="V11" s="151">
        <f>-'Energy Usage'!V8/3412*1000000</f>
        <v>-5.2379122772704472</v>
      </c>
      <c r="W11" s="151">
        <f>-'Energy Usage'!W8/3412*1000000</f>
        <v>-5.3543973862349876</v>
      </c>
      <c r="X11" s="149"/>
      <c r="Y11" s="149"/>
    </row>
    <row r="12" spans="1:25" s="148" customFormat="1">
      <c r="A12" s="152" t="s">
        <v>146</v>
      </c>
      <c r="B12" s="152">
        <f t="shared" ref="B12:W12" si="3">HeatRate</f>
        <v>6470</v>
      </c>
      <c r="C12" s="152">
        <f t="shared" si="3"/>
        <v>6470</v>
      </c>
      <c r="D12" s="152">
        <f t="shared" si="3"/>
        <v>6470</v>
      </c>
      <c r="E12" s="152">
        <f t="shared" si="3"/>
        <v>6470</v>
      </c>
      <c r="F12" s="152">
        <f t="shared" si="3"/>
        <v>6470</v>
      </c>
      <c r="G12" s="152">
        <f t="shared" si="3"/>
        <v>6470</v>
      </c>
      <c r="H12" s="152">
        <f t="shared" si="3"/>
        <v>6470</v>
      </c>
      <c r="I12" s="152">
        <f t="shared" si="3"/>
        <v>6470</v>
      </c>
      <c r="J12" s="152">
        <f t="shared" si="3"/>
        <v>6470</v>
      </c>
      <c r="K12" s="152">
        <f t="shared" si="3"/>
        <v>6470</v>
      </c>
      <c r="L12" s="152">
        <f t="shared" si="3"/>
        <v>6470</v>
      </c>
      <c r="M12" s="152">
        <f t="shared" si="3"/>
        <v>6470</v>
      </c>
      <c r="N12" s="152">
        <f t="shared" si="3"/>
        <v>6470</v>
      </c>
      <c r="O12" s="152">
        <f t="shared" si="3"/>
        <v>6470</v>
      </c>
      <c r="P12" s="152">
        <f t="shared" si="3"/>
        <v>6470</v>
      </c>
      <c r="Q12" s="152">
        <f t="shared" si="3"/>
        <v>6470</v>
      </c>
      <c r="R12" s="152">
        <f t="shared" si="3"/>
        <v>6470</v>
      </c>
      <c r="S12" s="152">
        <f t="shared" si="3"/>
        <v>6470</v>
      </c>
      <c r="T12" s="152">
        <f t="shared" si="3"/>
        <v>6470</v>
      </c>
      <c r="U12" s="152">
        <f t="shared" si="3"/>
        <v>6470</v>
      </c>
      <c r="V12" s="152">
        <f t="shared" si="3"/>
        <v>6470</v>
      </c>
      <c r="W12" s="152">
        <f t="shared" si="3"/>
        <v>6470</v>
      </c>
      <c r="X12" s="149"/>
      <c r="Y12" s="149"/>
    </row>
    <row r="13" spans="1:25" s="148" customFormat="1">
      <c r="A13" s="148" t="s">
        <v>162</v>
      </c>
      <c r="B13" s="150">
        <f t="shared" ref="B13" si="4">B11*1000000000/HeatRate/1000</f>
        <v>0</v>
      </c>
      <c r="C13" s="150">
        <f t="shared" ref="C13:W13" si="5">C11*HeatRate/1000000</f>
        <v>-3.0686592643098132E-3</v>
      </c>
      <c r="D13" s="150">
        <f t="shared" si="5"/>
        <v>-5.9235874310940191E-3</v>
      </c>
      <c r="E13" s="150">
        <f t="shared" si="5"/>
        <v>-8.5800368576433896E-3</v>
      </c>
      <c r="F13" s="150">
        <f t="shared" si="5"/>
        <v>-1.1052169721157369E-2</v>
      </c>
      <c r="G13" s="150">
        <f t="shared" si="5"/>
        <v>-1.3353135888447052E-2</v>
      </c>
      <c r="H13" s="150">
        <f t="shared" si="5"/>
        <v>-1.5495145223755193E-2</v>
      </c>
      <c r="I13" s="150">
        <f t="shared" si="5"/>
        <v>-1.7489534731971394E-2</v>
      </c>
      <c r="J13" s="150">
        <f t="shared" si="5"/>
        <v>-1.9346830906141952E-2</v>
      </c>
      <c r="K13" s="150">
        <f t="shared" si="5"/>
        <v>-2.107680762182447E-2</v>
      </c>
      <c r="L13" s="150">
        <f t="shared" si="5"/>
        <v>-2.2688539896368584E-2</v>
      </c>
      <c r="M13" s="150">
        <f t="shared" si="5"/>
        <v>-2.4190453808484176E-2</v>
      </c>
      <c r="N13" s="150">
        <f t="shared" si="5"/>
        <v>-2.5590372852361636E-2</v>
      </c>
      <c r="O13" s="150">
        <f t="shared" si="5"/>
        <v>-2.6895560981016631E-2</v>
      </c>
      <c r="P13" s="150">
        <f t="shared" si="5"/>
        <v>-2.8112762575342835E-2</v>
      </c>
      <c r="Q13" s="150">
        <f t="shared" si="5"/>
        <v>-2.9248239558462286E-2</v>
      </c>
      <c r="R13" s="150">
        <f t="shared" si="5"/>
        <v>-3.0307805859279332E-2</v>
      </c>
      <c r="S13" s="150">
        <f t="shared" si="5"/>
        <v>-3.1296859414578257E-2</v>
      </c>
      <c r="T13" s="150">
        <f t="shared" si="5"/>
        <v>-3.2220411885481151E-2</v>
      </c>
      <c r="U13" s="150">
        <f t="shared" si="5"/>
        <v>-3.3083116251522819E-2</v>
      </c>
      <c r="V13" s="150">
        <f t="shared" si="5"/>
        <v>-3.3889292433939795E-2</v>
      </c>
      <c r="W13" s="150">
        <f t="shared" si="5"/>
        <v>-3.4642951088940367E-2</v>
      </c>
      <c r="X13" s="149"/>
      <c r="Y13" s="149"/>
    </row>
    <row r="14" spans="1:25" s="148" customFormat="1">
      <c r="X14" s="149"/>
      <c r="Y14" s="149"/>
    </row>
    <row r="16" spans="1:25">
      <c r="B16" s="172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/>
  <dimension ref="A1:AG69"/>
  <sheetViews>
    <sheetView workbookViewId="0">
      <selection activeCell="A2" sqref="A2"/>
    </sheetView>
  </sheetViews>
  <sheetFormatPr defaultColWidth="9.140625" defaultRowHeight="15.75"/>
  <cols>
    <col min="1" max="1" width="35.7109375" style="9" customWidth="1"/>
    <col min="2" max="9" width="11.7109375" style="9" customWidth="1"/>
    <col min="10" max="11" width="11" style="9" bestFit="1" customWidth="1"/>
    <col min="12" max="12" width="12" style="9" bestFit="1" customWidth="1"/>
    <col min="13" max="28" width="11" style="9" bestFit="1" customWidth="1"/>
    <col min="29" max="29" width="14.28515625" style="9" bestFit="1" customWidth="1"/>
    <col min="30" max="31" width="11" style="9" bestFit="1" customWidth="1"/>
    <col min="32" max="16384" width="9.140625" style="9"/>
  </cols>
  <sheetData>
    <row r="1" spans="1:33">
      <c r="A1" s="147" t="str">
        <f>CONCATENATE("Segment:  ",State,", Single Family, ", SpaceHeat, ", ", TankSize,", ", StartWH, " is starting water heater")</f>
        <v>Segment:  Idaho, Single Family, Gas FAF, &gt;55 Gallons, Electric Resistance is starting water heater</v>
      </c>
    </row>
    <row r="3" spans="1:33" ht="24" customHeight="1">
      <c r="A3" s="25" t="s">
        <v>48</v>
      </c>
      <c r="AG3" s="12"/>
    </row>
    <row r="4" spans="1:33">
      <c r="A4" s="41"/>
      <c r="B4" s="41">
        <f t="shared" ref="B4:W4" si="0">B16</f>
        <v>2014</v>
      </c>
      <c r="C4" s="41">
        <f t="shared" si="0"/>
        <v>2015</v>
      </c>
      <c r="D4" s="41">
        <f t="shared" si="0"/>
        <v>2016</v>
      </c>
      <c r="E4" s="41">
        <f t="shared" si="0"/>
        <v>2017</v>
      </c>
      <c r="F4" s="41">
        <f t="shared" si="0"/>
        <v>2018</v>
      </c>
      <c r="G4" s="41">
        <f t="shared" si="0"/>
        <v>2019</v>
      </c>
      <c r="H4" s="41">
        <f t="shared" si="0"/>
        <v>2020</v>
      </c>
      <c r="I4" s="41">
        <f t="shared" si="0"/>
        <v>2021</v>
      </c>
      <c r="J4" s="41">
        <f t="shared" si="0"/>
        <v>2022</v>
      </c>
      <c r="K4" s="41">
        <f t="shared" si="0"/>
        <v>2023</v>
      </c>
      <c r="L4" s="41">
        <f t="shared" si="0"/>
        <v>2024</v>
      </c>
      <c r="M4" s="41">
        <f t="shared" si="0"/>
        <v>2025</v>
      </c>
      <c r="N4" s="41">
        <f t="shared" si="0"/>
        <v>2026</v>
      </c>
      <c r="O4" s="41">
        <f t="shared" si="0"/>
        <v>2027</v>
      </c>
      <c r="P4" s="41">
        <f t="shared" si="0"/>
        <v>2028</v>
      </c>
      <c r="Q4" s="41">
        <f t="shared" si="0"/>
        <v>2029</v>
      </c>
      <c r="R4" s="41">
        <f t="shared" si="0"/>
        <v>2030</v>
      </c>
      <c r="S4" s="41">
        <f t="shared" si="0"/>
        <v>2031</v>
      </c>
      <c r="T4" s="41">
        <f t="shared" si="0"/>
        <v>2032</v>
      </c>
      <c r="U4" s="41">
        <f t="shared" si="0"/>
        <v>2033</v>
      </c>
      <c r="V4" s="41">
        <f t="shared" si="0"/>
        <v>2034</v>
      </c>
      <c r="W4" s="41">
        <f t="shared" si="0"/>
        <v>2035</v>
      </c>
      <c r="X4" s="44"/>
    </row>
    <row r="5" spans="1:33">
      <c r="A5" s="74" t="s">
        <v>74</v>
      </c>
      <c r="B5" s="90">
        <f t="shared" ref="B5:W5" si="1">B4</f>
        <v>2014</v>
      </c>
      <c r="C5" s="90">
        <f t="shared" si="1"/>
        <v>2015</v>
      </c>
      <c r="D5" s="90">
        <f t="shared" si="1"/>
        <v>2016</v>
      </c>
      <c r="E5" s="90">
        <f t="shared" si="1"/>
        <v>2017</v>
      </c>
      <c r="F5" s="90">
        <f t="shared" si="1"/>
        <v>2018</v>
      </c>
      <c r="G5" s="90">
        <f t="shared" si="1"/>
        <v>2019</v>
      </c>
      <c r="H5" s="90">
        <f t="shared" si="1"/>
        <v>2020</v>
      </c>
      <c r="I5" s="90">
        <f t="shared" si="1"/>
        <v>2021</v>
      </c>
      <c r="J5" s="90">
        <f t="shared" si="1"/>
        <v>2022</v>
      </c>
      <c r="K5" s="90">
        <f t="shared" si="1"/>
        <v>2023</v>
      </c>
      <c r="L5" s="90">
        <f t="shared" si="1"/>
        <v>2024</v>
      </c>
      <c r="M5" s="90">
        <f t="shared" si="1"/>
        <v>2025</v>
      </c>
      <c r="N5" s="90">
        <f t="shared" si="1"/>
        <v>2026</v>
      </c>
      <c r="O5" s="90">
        <f t="shared" si="1"/>
        <v>2027</v>
      </c>
      <c r="P5" s="90">
        <f t="shared" si="1"/>
        <v>2028</v>
      </c>
      <c r="Q5" s="90">
        <f t="shared" si="1"/>
        <v>2029</v>
      </c>
      <c r="R5" s="90">
        <f t="shared" si="1"/>
        <v>2030</v>
      </c>
      <c r="S5" s="90">
        <f t="shared" si="1"/>
        <v>2031</v>
      </c>
      <c r="T5" s="90">
        <f t="shared" si="1"/>
        <v>2032</v>
      </c>
      <c r="U5" s="90">
        <f t="shared" si="1"/>
        <v>2033</v>
      </c>
      <c r="V5" s="90">
        <f t="shared" si="1"/>
        <v>2034</v>
      </c>
      <c r="W5" s="90">
        <f t="shared" si="1"/>
        <v>2035</v>
      </c>
      <c r="X5" s="44"/>
      <c r="Y5" s="44"/>
    </row>
    <row r="6" spans="1:33">
      <c r="A6" s="50" t="s">
        <v>81</v>
      </c>
      <c r="B6" s="89">
        <f>(B$18*'Device Energy Use'!$E$5+B$19*'Device Energy Use'!$E$6+'Energy Usage'!B$20*'Device Energy Use'!$E$7+'Energy Usage'!B$21*'Device Energy Use'!$E$8+'Energy Usage'!B$22*'Device Energy Use'!$E$9)/1000000</f>
        <v>8.0805221303115723E-2</v>
      </c>
      <c r="C6" s="89">
        <f>(C$18*'Device Energy Use'!$E$5+C$19*'Device Energy Use'!$E$6+'Energy Usage'!C$20*'Device Energy Use'!$E$7+'Energy Usage'!C$21*'Device Energy Use'!$E$8+'Energy Usage'!C$22*'Device Energy Use'!$E$9)/1000000</f>
        <v>7.6563091594911953E-2</v>
      </c>
      <c r="D6" s="89">
        <f>(D$18*'Device Energy Use'!$E$5+D$19*'Device Energy Use'!$E$6+'Energy Usage'!D$20*'Device Energy Use'!$E$7+'Energy Usage'!D$21*'Device Energy Use'!$E$8+'Energy Usage'!D$22*'Device Energy Use'!$E$9)/1000000</f>
        <v>7.2621092388682723E-2</v>
      </c>
      <c r="E6" s="89">
        <f>(E$18*'Device Energy Use'!$E$5+E$19*'Device Energy Use'!$E$6+'Energy Usage'!E$20*'Device Energy Use'!$E$7+'Energy Usage'!E$21*'Device Energy Use'!$E$8+'Energy Usage'!E$22*'Device Energy Use'!$E$9)/1000000</f>
        <v>6.8957793253360697E-2</v>
      </c>
      <c r="F6" s="89">
        <f>(F$18*'Device Energy Use'!$E$5+F$19*'Device Energy Use'!$E$6+'Energy Usage'!F$20*'Device Energy Use'!$E$7+'Energy Usage'!F$21*'Device Energy Use'!$E$8+'Energy Usage'!F$22*'Device Energy Use'!$E$9)/1000000</f>
        <v>6.5553294885815447E-2</v>
      </c>
      <c r="G6" s="89">
        <f>(G$18*'Device Energy Use'!$E$5+G$19*'Device Energy Use'!$E$6+'Energy Usage'!G$20*'Device Energy Use'!$E$7+'Energy Usage'!G$21*'Device Energy Use'!$E$8+'Energy Usage'!G$22*'Device Energy Use'!$E$9)/1000000</f>
        <v>6.2389119744732442E-2</v>
      </c>
      <c r="H6" s="89">
        <f>(H$18*'Device Energy Use'!$E$5+H$19*'Device Energy Use'!$E$6+'Energy Usage'!H$20*'Device Energy Use'!$E$7+'Energy Usage'!H$21*'Device Energy Use'!$E$8+'Energy Usage'!H$22*'Device Energy Use'!$E$9)/1000000</f>
        <v>5.9448110496231783E-2</v>
      </c>
      <c r="I6" s="89">
        <f>(I$18*'Device Energy Use'!$E$5+I$19*'Device Energy Use'!$E$6+'Energy Usage'!I$20*'Device Energy Use'!$E$7+'Energy Usage'!I$21*'Device Energy Use'!$E$8+'Energy Usage'!I$22*'Device Energy Use'!$E$9)/1000000</f>
        <v>5.6714335713245106E-2</v>
      </c>
      <c r="J6" s="89">
        <f>(J$18*'Device Energy Use'!$E$5+J$19*'Device Energy Use'!$E$6+'Energy Usage'!J$20*'Device Energy Use'!$E$7+'Energy Usage'!J$21*'Device Energy Use'!$E$8+'Energy Usage'!J$22*'Device Energy Use'!$E$9)/1000000</f>
        <v>5.4173002310525402E-2</v>
      </c>
      <c r="K6" s="89">
        <f>(K$18*'Device Energy Use'!$E$5+K$19*'Device Energy Use'!$E$6+'Energy Usage'!K$20*'Device Energy Use'!$E$7+'Energy Usage'!K$21*'Device Energy Use'!$E$8+'Energy Usage'!K$22*'Device Energy Use'!$E$9)/1000000</f>
        <v>5.1810374234173361E-2</v>
      </c>
      <c r="L6" s="89">
        <f>(L$18*'Device Energy Use'!$E$5+L$19*'Device Energy Use'!$E$6+'Energy Usage'!L$20*'Device Energy Use'!$E$7+'Energy Usage'!L$21*'Device Energy Use'!$E$8+'Energy Usage'!L$22*'Device Energy Use'!$E$9)/1000000</f>
        <v>4.9613696958929608E-2</v>
      </c>
      <c r="M6" s="89">
        <f>(M$18*'Device Energy Use'!$E$5+M$19*'Device Energy Use'!$E$6+'Energy Usage'!M$20*'Device Energy Use'!$E$7+'Energy Usage'!M$21*'Device Energy Use'!$E$8+'Energy Usage'!M$22*'Device Energy Use'!$E$9)/1000000</f>
        <v>4.7571127378392933E-2</v>
      </c>
      <c r="N6" s="89">
        <f>(N$18*'Device Energy Use'!$E$5+N$19*'Device Energy Use'!$E$6+'Energy Usage'!N$20*'Device Energy Use'!$E$7+'Energy Usage'!N$21*'Device Energy Use'!$E$8+'Energy Usage'!N$22*'Device Energy Use'!$E$9)/1000000</f>
        <v>4.5671668702955991E-2</v>
      </c>
      <c r="O6" s="89">
        <f>(O$18*'Device Energy Use'!$E$5+O$19*'Device Energy Use'!$E$6+'Energy Usage'!O$20*'Device Energy Use'!$E$7+'Energy Usage'!O$21*'Device Energy Use'!$E$8+'Energy Usage'!O$22*'Device Energy Use'!$E$9)/1000000</f>
        <v>4.3905110007765383E-2</v>
      </c>
      <c r="P6" s="89">
        <f>(P$18*'Device Energy Use'!$E$5+P$19*'Device Energy Use'!$E$6+'Energy Usage'!P$20*'Device Energy Use'!$E$7+'Energy Usage'!P$21*'Device Energy Use'!$E$8+'Energy Usage'!P$22*'Device Energy Use'!$E$9)/1000000</f>
        <v>4.2261970098562078E-2</v>
      </c>
      <c r="Q6" s="89">
        <f>(Q$18*'Device Energy Use'!$E$5+Q$19*'Device Energy Use'!$E$6+'Energy Usage'!Q$20*'Device Energy Use'!$E$7+'Energy Usage'!Q$21*'Device Energy Use'!$E$8+'Energy Usage'!Q$22*'Device Energy Use'!$E$9)/1000000</f>
        <v>4.0733445386983293E-2</v>
      </c>
      <c r="R6" s="89">
        <f>(R$18*'Device Energy Use'!$E$5+R$19*'Device Energy Use'!$E$6+'Energy Usage'!R$20*'Device Energy Use'!$E$7+'Energy Usage'!R$21*'Device Energy Use'!$E$8+'Energy Usage'!R$22*'Device Energy Use'!$E$9)/1000000</f>
        <v>3.9311361488936561E-2</v>
      </c>
      <c r="S6" s="89">
        <f>(S$18*'Device Energy Use'!$E$5+S$19*'Device Energy Use'!$E$6+'Energy Usage'!S$20*'Device Energy Use'!$E$7+'Energy Usage'!S$21*'Device Energy Use'!$E$8+'Energy Usage'!S$22*'Device Energy Use'!$E$9)/1000000</f>
        <v>3.7988128280113533E-2</v>
      </c>
      <c r="T6" s="89">
        <f>(T$18*'Device Energy Use'!$E$5+T$19*'Device Energy Use'!$E$6+'Energy Usage'!T$20*'Device Energy Use'!$E$7+'Energy Usage'!T$21*'Device Energy Use'!$E$8+'Energy Usage'!T$22*'Device Energy Use'!$E$9)/1000000</f>
        <v>3.6756698161705993E-2</v>
      </c>
      <c r="U6" s="89">
        <f>(U$18*'Device Energy Use'!$E$5+U$19*'Device Energy Use'!$E$6+'Energy Usage'!U$20*'Device Energy Use'!$E$7+'Energy Usage'!U$21*'Device Energy Use'!$E$8+'Energy Usage'!U$22*'Device Energy Use'!$E$9)/1000000</f>
        <v>3.5610527307025394E-2</v>
      </c>
      <c r="V6" s="89">
        <f>(V$18*'Device Energy Use'!$E$5+V$19*'Device Energy Use'!$E$6+'Energy Usage'!V$20*'Device Energy Use'!$E$7+'Energy Usage'!V$21*'Device Energy Use'!$E$8+'Energy Usage'!V$22*'Device Energy Use'!$E$9)/1000000</f>
        <v>3.4543539676105392E-2</v>
      </c>
      <c r="W6" s="89">
        <f>(W$18*'Device Energy Use'!$E$5+W$19*'Device Energy Use'!$E$6+'Energy Usage'!W$20*'Device Energy Use'!$E$7+'Energy Usage'!W$21*'Device Energy Use'!$E$8+'Energy Usage'!W$22*'Device Energy Use'!$E$9)/1000000</f>
        <v>3.3550093600575898E-2</v>
      </c>
      <c r="X6" s="44"/>
    </row>
    <row r="7" spans="1:33">
      <c r="A7" s="52" t="s">
        <v>95</v>
      </c>
      <c r="B7" s="91">
        <f>(B$27*'Device Energy Use'!$E$5+B$28*'Device Energy Use'!$E$6+'Energy Usage'!B$29*'Device Energy Use'!$E$7+'Energy Usage'!B$30*'Device Energy Use'!$E$8+'Energy Usage'!B$31*'Device Energy Use'!$E$9)/1000000</f>
        <v>8.0805221303115723E-2</v>
      </c>
      <c r="C7" s="91">
        <f>(C$27*'Device Energy Use'!$E$5+C$28*'Device Energy Use'!$E$6+'Energy Usage'!C$29*'Device Energy Use'!$E$7+'Energy Usage'!C$30*'Device Energy Use'!$E$8+'Energy Usage'!C$31*'Device Energy Use'!$E$9)/1000000</f>
        <v>7.8181370638161579E-2</v>
      </c>
      <c r="D7" s="91">
        <f>(D$27*'Device Energy Use'!$E$5+D$28*'Device Energy Use'!$E$6+'Energy Usage'!D$29*'Device Energy Use'!$E$7+'Energy Usage'!D$30*'Device Energy Use'!$E$8+'Energy Usage'!D$31*'Device Energy Use'!$E$9)/1000000</f>
        <v>7.5744937877846988E-2</v>
      </c>
      <c r="E7" s="91">
        <f>(E$27*'Device Energy Use'!$E$5+E$28*'Device Energy Use'!$E$6+'Energy Usage'!E$29*'Device Energy Use'!$E$7+'Energy Usage'!E$30*'Device Energy Use'!$E$8+'Energy Usage'!E$31*'Device Energy Use'!$E$9)/1000000</f>
        <v>7.3482536028983456E-2</v>
      </c>
      <c r="F7" s="91">
        <f>(F$27*'Device Energy Use'!$E$5+F$28*'Device Energy Use'!$E$6+'Energy Usage'!F$29*'Device Energy Use'!$E$7+'Energy Usage'!F$30*'Device Energy Use'!$E$8+'Energy Usage'!F$31*'Device Energy Use'!$E$9)/1000000</f>
        <v>7.1381734312181588E-2</v>
      </c>
      <c r="G7" s="91">
        <f>(G$27*'Device Energy Use'!$E$5+G$28*'Device Energy Use'!$E$6+'Energy Usage'!G$29*'Device Energy Use'!$E$7+'Energy Usage'!G$30*'Device Energy Use'!$E$8+'Energy Usage'!G$31*'Device Energy Use'!$E$9)/1000000</f>
        <v>6.9430989860865572E-2</v>
      </c>
      <c r="H7" s="91">
        <f>(H$27*'Device Energy Use'!$E$5+H$28*'Device Energy Use'!$E$6+'Energy Usage'!H$29*'Device Energy Use'!$E$7+'Energy Usage'!H$30*'Device Energy Use'!$E$8+'Energy Usage'!H$31*'Device Energy Use'!$E$9)/1000000</f>
        <v>6.7619584298929267E-2</v>
      </c>
      <c r="I7" s="91">
        <f>(I$27*'Device Energy Use'!$E$5+I$28*'Device Energy Use'!$E$6+'Energy Usage'!I$29*'Device Energy Use'!$E$7+'Energy Usage'!I$30*'Device Energy Use'!$E$8+'Energy Usage'!I$31*'Device Energy Use'!$E$9)/1000000</f>
        <v>6.5937564848559851E-2</v>
      </c>
      <c r="J7" s="91">
        <f>(J$27*'Device Energy Use'!$E$5+J$28*'Device Energy Use'!$E$6+'Energy Usage'!J$29*'Device Energy Use'!$E$7+'Energy Usage'!J$30*'Device Energy Use'!$E$8+'Energy Usage'!J$31*'Device Energy Use'!$E$9)/1000000</f>
        <v>6.4375689644645392E-2</v>
      </c>
      <c r="K7" s="91">
        <f>(K$27*'Device Energy Use'!$E$5+K$28*'Device Energy Use'!$E$6+'Energy Usage'!K$29*'Device Energy Use'!$E$7+'Energy Usage'!K$30*'Device Energy Use'!$E$8+'Energy Usage'!K$31*'Device Energy Use'!$E$9)/1000000</f>
        <v>6.292537695529625E-2</v>
      </c>
      <c r="L7" s="91">
        <f>(L$27*'Device Energy Use'!$E$5+L$28*'Device Energy Use'!$E$6+'Energy Usage'!L$29*'Device Energy Use'!$E$7+'Energy Usage'!L$30*'Device Energy Use'!$E$8+'Energy Usage'!L$31*'Device Energy Use'!$E$9)/1000000</f>
        <v>6.1578658029472051E-2</v>
      </c>
      <c r="M7" s="91">
        <f>(M$27*'Device Energy Use'!$E$5+M$28*'Device Energy Use'!$E$6+'Energy Usage'!M$29*'Device Energy Use'!$E$7+'Energy Usage'!M$30*'Device Energy Use'!$E$8+'Energy Usage'!M$31*'Device Energy Use'!$E$9)/1000000</f>
        <v>6.0328133312635285E-2</v>
      </c>
      <c r="N7" s="91">
        <f>(N$27*'Device Energy Use'!$E$5+N$28*'Device Energy Use'!$E$6+'Energy Usage'!N$29*'Device Energy Use'!$E$7+'Energy Usage'!N$30*'Device Energy Use'!$E$8+'Energy Usage'!N$31*'Device Energy Use'!$E$9)/1000000</f>
        <v>5.9166931789858296E-2</v>
      </c>
      <c r="O7" s="91">
        <f>(O$27*'Device Energy Use'!$E$5+O$28*'Device Energy Use'!$E$6+'Energy Usage'!O$29*'Device Energy Use'!$E$7+'Energy Usage'!O$30*'Device Energy Use'!$E$8+'Energy Usage'!O$31*'Device Energy Use'!$E$9)/1000000</f>
        <v>5.8088673232993937E-2</v>
      </c>
      <c r="P7" s="91">
        <f>(P$27*'Device Energy Use'!$E$5+P$28*'Device Energy Use'!$E$6+'Energy Usage'!P$29*'Device Energy Use'!$E$7+'Energy Usage'!P$30*'Device Energy Use'!$E$8+'Energy Usage'!P$31*'Device Energy Use'!$E$9)/1000000</f>
        <v>5.7087433144477034E-2</v>
      </c>
      <c r="Q7" s="91">
        <f>(Q$27*'Device Energy Use'!$E$5+Q$28*'Device Energy Use'!$E$6+'Energy Usage'!Q$29*'Device Energy Use'!$E$7+'Energy Usage'!Q$30*'Device Energy Use'!$E$8+'Energy Usage'!Q$31*'Device Energy Use'!$E$9)/1000000</f>
        <v>5.6157710205139912E-2</v>
      </c>
      <c r="R7" s="91">
        <f>(R$27*'Device Energy Use'!$E$5+R$28*'Device Energy Use'!$E$6+'Energy Usage'!R$29*'Device Energy Use'!$E$7+'Energy Usage'!R$30*'Device Energy Use'!$E$8+'Energy Usage'!R$31*'Device Energy Use'!$E$9)/1000000</f>
        <v>5.5294396047184023E-2</v>
      </c>
      <c r="S7" s="91">
        <f>(S$27*'Device Energy Use'!$E$5+S$28*'Device Energy Use'!$E$6+'Energy Usage'!S$29*'Device Energy Use'!$E$7+'Energy Usage'!S$30*'Device Energy Use'!$E$8+'Energy Usage'!S$31*'Device Energy Use'!$E$9)/1000000</f>
        <v>5.4492747186224974E-2</v>
      </c>
      <c r="T7" s="91">
        <f>(T$27*'Device Energy Use'!$E$5+T$28*'Device Energy Use'!$E$6+'Energy Usage'!T$29*'Device Energy Use'!$E$7+'Energy Usage'!T$30*'Device Energy Use'!$E$8+'Energy Usage'!T$31*'Device Energy Use'!$E$9)/1000000</f>
        <v>5.3748358958191571E-2</v>
      </c>
      <c r="U7" s="91">
        <f>(U$27*'Device Energy Use'!$E$5+U$28*'Device Energy Use'!$E$6+'Energy Usage'!U$29*'Device Energy Use'!$E$7+'Energy Usage'!U$30*'Device Energy Use'!$E$8+'Energy Usage'!U$31*'Device Energy Use'!$E$9)/1000000</f>
        <v>5.3057141317874833E-2</v>
      </c>
      <c r="V7" s="91">
        <f>(V$27*'Device Energy Use'!$E$5+V$28*'Device Energy Use'!$E$6+'Energy Usage'!V$29*'Device Energy Use'!$E$7+'Energy Usage'!V$30*'Device Energy Use'!$E$8+'Energy Usage'!V$31*'Device Energy Use'!$E$9)/1000000</f>
        <v>5.2415296366152157E-2</v>
      </c>
      <c r="W7" s="91">
        <f>(W$27*'Device Energy Use'!$E$5+W$28*'Device Energy Use'!$E$6+'Energy Usage'!W$29*'Device Energy Use'!$E$7+'Energy Usage'!W$30*'Device Energy Use'!$E$8+'Energy Usage'!W$31*'Device Energy Use'!$E$9)/1000000</f>
        <v>5.1819297482409675E-2</v>
      </c>
      <c r="X7" s="44"/>
    </row>
    <row r="8" spans="1:33">
      <c r="A8" s="34" t="s">
        <v>76</v>
      </c>
      <c r="B8" s="89">
        <f t="shared" ref="B8:W8" si="2">B7-B6</f>
        <v>0</v>
      </c>
      <c r="C8" s="89">
        <f t="shared" si="2"/>
        <v>1.6182790432496263E-3</v>
      </c>
      <c r="D8" s="89">
        <f t="shared" si="2"/>
        <v>3.1238454891642647E-3</v>
      </c>
      <c r="E8" s="89">
        <f t="shared" si="2"/>
        <v>4.5247427756227587E-3</v>
      </c>
      <c r="F8" s="89">
        <f t="shared" si="2"/>
        <v>5.8284394263661415E-3</v>
      </c>
      <c r="G8" s="89">
        <f t="shared" si="2"/>
        <v>7.0418701161331296E-3</v>
      </c>
      <c r="H8" s="89">
        <f t="shared" si="2"/>
        <v>8.1714738026974834E-3</v>
      </c>
      <c r="I8" s="89">
        <f t="shared" si="2"/>
        <v>9.223229135314745E-3</v>
      </c>
      <c r="J8" s="89">
        <f t="shared" si="2"/>
        <v>1.0202687334119991E-2</v>
      </c>
      <c r="K8" s="89">
        <f t="shared" si="2"/>
        <v>1.1115002721122889E-2</v>
      </c>
      <c r="L8" s="89">
        <f t="shared" si="2"/>
        <v>1.1964961070542443E-2</v>
      </c>
      <c r="M8" s="89">
        <f t="shared" si="2"/>
        <v>1.2757005934242352E-2</v>
      </c>
      <c r="N8" s="89">
        <f t="shared" si="2"/>
        <v>1.3495263086902305E-2</v>
      </c>
      <c r="O8" s="89">
        <f t="shared" si="2"/>
        <v>1.4183563225228554E-2</v>
      </c>
      <c r="P8" s="89">
        <f t="shared" si="2"/>
        <v>1.4825463045914956E-2</v>
      </c>
      <c r="Q8" s="89">
        <f t="shared" si="2"/>
        <v>1.5424264818156619E-2</v>
      </c>
      <c r="R8" s="89">
        <f t="shared" si="2"/>
        <v>1.5983034558247462E-2</v>
      </c>
      <c r="S8" s="89">
        <f t="shared" si="2"/>
        <v>1.6504618906111442E-2</v>
      </c>
      <c r="T8" s="89">
        <f t="shared" si="2"/>
        <v>1.6991660796485578E-2</v>
      </c>
      <c r="U8" s="89">
        <f t="shared" si="2"/>
        <v>1.7446614010849439E-2</v>
      </c>
      <c r="V8" s="89">
        <f t="shared" si="2"/>
        <v>1.7871756690046765E-2</v>
      </c>
      <c r="W8" s="89">
        <f t="shared" si="2"/>
        <v>1.8269203881833777E-2</v>
      </c>
      <c r="X8" s="44"/>
    </row>
    <row r="9" spans="1:33">
      <c r="A9" s="50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4"/>
    </row>
    <row r="10" spans="1:33">
      <c r="A10" s="74" t="s">
        <v>75</v>
      </c>
      <c r="B10" s="44">
        <f t="shared" ref="B10:W10" si="3">B4</f>
        <v>2014</v>
      </c>
      <c r="C10" s="44">
        <f t="shared" si="3"/>
        <v>2015</v>
      </c>
      <c r="D10" s="44">
        <f t="shared" si="3"/>
        <v>2016</v>
      </c>
      <c r="E10" s="44">
        <f t="shared" si="3"/>
        <v>2017</v>
      </c>
      <c r="F10" s="44">
        <f t="shared" si="3"/>
        <v>2018</v>
      </c>
      <c r="G10" s="44">
        <f t="shared" si="3"/>
        <v>2019</v>
      </c>
      <c r="H10" s="44">
        <f t="shared" si="3"/>
        <v>2020</v>
      </c>
      <c r="I10" s="44">
        <f t="shared" si="3"/>
        <v>2021</v>
      </c>
      <c r="J10" s="44">
        <f t="shared" si="3"/>
        <v>2022</v>
      </c>
      <c r="K10" s="44">
        <f t="shared" si="3"/>
        <v>2023</v>
      </c>
      <c r="L10" s="44">
        <f t="shared" si="3"/>
        <v>2024</v>
      </c>
      <c r="M10" s="44">
        <f t="shared" si="3"/>
        <v>2025</v>
      </c>
      <c r="N10" s="44">
        <f t="shared" si="3"/>
        <v>2026</v>
      </c>
      <c r="O10" s="44">
        <f t="shared" si="3"/>
        <v>2027</v>
      </c>
      <c r="P10" s="44">
        <f t="shared" si="3"/>
        <v>2028</v>
      </c>
      <c r="Q10" s="44">
        <f t="shared" si="3"/>
        <v>2029</v>
      </c>
      <c r="R10" s="44">
        <f t="shared" si="3"/>
        <v>2030</v>
      </c>
      <c r="S10" s="44">
        <f t="shared" si="3"/>
        <v>2031</v>
      </c>
      <c r="T10" s="44">
        <f t="shared" si="3"/>
        <v>2032</v>
      </c>
      <c r="U10" s="44">
        <f t="shared" si="3"/>
        <v>2033</v>
      </c>
      <c r="V10" s="44">
        <f t="shared" si="3"/>
        <v>2034</v>
      </c>
      <c r="W10" s="44">
        <f t="shared" si="3"/>
        <v>2035</v>
      </c>
      <c r="X10" s="44"/>
    </row>
    <row r="11" spans="1:33">
      <c r="A11" s="50" t="s">
        <v>82</v>
      </c>
      <c r="B11" s="89">
        <f t="shared" ref="B11:W11" si="4">B54/1000000</f>
        <v>0</v>
      </c>
      <c r="C11" s="89">
        <f t="shared" si="4"/>
        <v>4.0384102141470162E-3</v>
      </c>
      <c r="D11" s="89">
        <f t="shared" si="4"/>
        <v>7.7953999953716208E-3</v>
      </c>
      <c r="E11" s="89">
        <f t="shared" si="4"/>
        <v>1.1291050517045787E-2</v>
      </c>
      <c r="F11" s="89">
        <f t="shared" si="4"/>
        <v>1.4544007626318897E-2</v>
      </c>
      <c r="G11" s="89">
        <f t="shared" si="4"/>
        <v>1.7571584367558662E-2</v>
      </c>
      <c r="H11" s="89">
        <f t="shared" si="4"/>
        <v>2.0389856183014279E-2</v>
      </c>
      <c r="I11" s="89">
        <f t="shared" si="4"/>
        <v>2.3013749313756965E-2</v>
      </c>
      <c r="J11" s="89">
        <f t="shared" si="4"/>
        <v>2.5457122886591396E-2</v>
      </c>
      <c r="K11" s="89">
        <f t="shared" si="4"/>
        <v>2.7732845137939145E-2</v>
      </c>
      <c r="L11" s="89">
        <f t="shared" si="4"/>
        <v>2.9852864193480426E-2</v>
      </c>
      <c r="M11" s="89">
        <f t="shared" si="4"/>
        <v>3.1828273792426913E-2</v>
      </c>
      <c r="N11" s="89">
        <f t="shared" si="4"/>
        <v>3.3669374317521636E-2</v>
      </c>
      <c r="O11" s="89">
        <f t="shared" si="4"/>
        <v>3.5385729466068841E-2</v>
      </c>
      <c r="P11" s="89">
        <f t="shared" si="4"/>
        <v>3.6986218873346591E-2</v>
      </c>
      <c r="Q11" s="89">
        <f t="shared" si="4"/>
        <v>3.8479086977514891E-2</v>
      </c>
      <c r="R11" s="89">
        <f t="shared" si="4"/>
        <v>3.9871988394481077E-2</v>
      </c>
      <c r="S11" s="89">
        <f t="shared" si="4"/>
        <v>4.1172030052008098E-2</v>
      </c>
      <c r="T11" s="89">
        <f t="shared" si="4"/>
        <v>4.2385810314544983E-2</v>
      </c>
      <c r="U11" s="89">
        <f t="shared" si="4"/>
        <v>4.3519455313724351E-2</v>
      </c>
      <c r="V11" s="89">
        <f t="shared" si="4"/>
        <v>4.4578652684118251E-2</v>
      </c>
      <c r="W11" s="89">
        <f t="shared" si="4"/>
        <v>4.5568682889587271E-2</v>
      </c>
      <c r="X11" s="44"/>
    </row>
    <row r="12" spans="1:33">
      <c r="A12" s="52" t="s">
        <v>97</v>
      </c>
      <c r="B12" s="91">
        <f t="shared" ref="B12:W12" si="5">B63/1000000</f>
        <v>0</v>
      </c>
      <c r="C12" s="91">
        <f t="shared" si="5"/>
        <v>0</v>
      </c>
      <c r="D12" s="91">
        <f t="shared" si="5"/>
        <v>0</v>
      </c>
      <c r="E12" s="91">
        <f t="shared" si="5"/>
        <v>0</v>
      </c>
      <c r="F12" s="91">
        <f t="shared" si="5"/>
        <v>0</v>
      </c>
      <c r="G12" s="91">
        <f t="shared" si="5"/>
        <v>0</v>
      </c>
      <c r="H12" s="91">
        <f t="shared" si="5"/>
        <v>0</v>
      </c>
      <c r="I12" s="91">
        <f t="shared" si="5"/>
        <v>0</v>
      </c>
      <c r="J12" s="91">
        <f t="shared" si="5"/>
        <v>0</v>
      </c>
      <c r="K12" s="91">
        <f t="shared" si="5"/>
        <v>0</v>
      </c>
      <c r="L12" s="91">
        <f t="shared" si="5"/>
        <v>0</v>
      </c>
      <c r="M12" s="91">
        <f t="shared" si="5"/>
        <v>0</v>
      </c>
      <c r="N12" s="91">
        <f t="shared" si="5"/>
        <v>0</v>
      </c>
      <c r="O12" s="91">
        <f t="shared" si="5"/>
        <v>0</v>
      </c>
      <c r="P12" s="91">
        <f t="shared" si="5"/>
        <v>0</v>
      </c>
      <c r="Q12" s="91">
        <f t="shared" si="5"/>
        <v>0</v>
      </c>
      <c r="R12" s="91">
        <f t="shared" si="5"/>
        <v>0</v>
      </c>
      <c r="S12" s="91">
        <f t="shared" si="5"/>
        <v>0</v>
      </c>
      <c r="T12" s="91">
        <f t="shared" si="5"/>
        <v>0</v>
      </c>
      <c r="U12" s="91">
        <f t="shared" si="5"/>
        <v>0</v>
      </c>
      <c r="V12" s="91">
        <f t="shared" si="5"/>
        <v>0</v>
      </c>
      <c r="W12" s="91">
        <f t="shared" si="5"/>
        <v>0</v>
      </c>
      <c r="X12" s="44"/>
    </row>
    <row r="13" spans="1:33">
      <c r="A13" s="34" t="s">
        <v>76</v>
      </c>
      <c r="B13" s="89">
        <f t="shared" ref="B13:W13" si="6">B12-B11</f>
        <v>0</v>
      </c>
      <c r="C13" s="89">
        <f t="shared" si="6"/>
        <v>-4.0384102141470162E-3</v>
      </c>
      <c r="D13" s="89">
        <f t="shared" si="6"/>
        <v>-7.7953999953716208E-3</v>
      </c>
      <c r="E13" s="89">
        <f t="shared" si="6"/>
        <v>-1.1291050517045787E-2</v>
      </c>
      <c r="F13" s="89">
        <f t="shared" si="6"/>
        <v>-1.4544007626318897E-2</v>
      </c>
      <c r="G13" s="89">
        <f t="shared" si="6"/>
        <v>-1.7571584367558662E-2</v>
      </c>
      <c r="H13" s="89">
        <f t="shared" si="6"/>
        <v>-2.0389856183014279E-2</v>
      </c>
      <c r="I13" s="89">
        <f t="shared" si="6"/>
        <v>-2.3013749313756965E-2</v>
      </c>
      <c r="J13" s="89">
        <f t="shared" si="6"/>
        <v>-2.5457122886591396E-2</v>
      </c>
      <c r="K13" s="89">
        <f t="shared" si="6"/>
        <v>-2.7732845137939145E-2</v>
      </c>
      <c r="L13" s="89">
        <f t="shared" si="6"/>
        <v>-2.9852864193480426E-2</v>
      </c>
      <c r="M13" s="89">
        <f t="shared" si="6"/>
        <v>-3.1828273792426913E-2</v>
      </c>
      <c r="N13" s="89">
        <f t="shared" si="6"/>
        <v>-3.3669374317521636E-2</v>
      </c>
      <c r="O13" s="89">
        <f t="shared" si="6"/>
        <v>-3.5385729466068841E-2</v>
      </c>
      <c r="P13" s="89">
        <f t="shared" si="6"/>
        <v>-3.6986218873346591E-2</v>
      </c>
      <c r="Q13" s="89">
        <f t="shared" si="6"/>
        <v>-3.8479086977514891E-2</v>
      </c>
      <c r="R13" s="89">
        <f t="shared" si="6"/>
        <v>-3.9871988394481077E-2</v>
      </c>
      <c r="S13" s="89">
        <f t="shared" si="6"/>
        <v>-4.1172030052008098E-2</v>
      </c>
      <c r="T13" s="89">
        <f t="shared" si="6"/>
        <v>-4.2385810314544983E-2</v>
      </c>
      <c r="U13" s="89">
        <f t="shared" si="6"/>
        <v>-4.3519455313724351E-2</v>
      </c>
      <c r="V13" s="89">
        <f t="shared" si="6"/>
        <v>-4.4578652684118251E-2</v>
      </c>
      <c r="W13" s="89">
        <f t="shared" si="6"/>
        <v>-4.5568682889587271E-2</v>
      </c>
      <c r="X13" s="44"/>
    </row>
    <row r="14" spans="1:33">
      <c r="A14" s="51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</row>
    <row r="15" spans="1:33">
      <c r="A15" s="12" t="s">
        <v>44</v>
      </c>
    </row>
    <row r="16" spans="1:33">
      <c r="A16" s="38" t="str">
        <f>'Device Energy Use'!A4</f>
        <v>Water Heat Ending</v>
      </c>
      <c r="B16" s="41">
        <f>'Water Heater Stock'!B4</f>
        <v>2014</v>
      </c>
      <c r="C16" s="41">
        <f>'Water Heater Stock'!C4</f>
        <v>2015</v>
      </c>
      <c r="D16" s="41">
        <f>'Water Heater Stock'!D4</f>
        <v>2016</v>
      </c>
      <c r="E16" s="41">
        <f>'Water Heater Stock'!E4</f>
        <v>2017</v>
      </c>
      <c r="F16" s="41">
        <f>'Water Heater Stock'!F4</f>
        <v>2018</v>
      </c>
      <c r="G16" s="41">
        <f>'Water Heater Stock'!G4</f>
        <v>2019</v>
      </c>
      <c r="H16" s="41">
        <f>'Water Heater Stock'!H4</f>
        <v>2020</v>
      </c>
      <c r="I16" s="41">
        <f>'Water Heater Stock'!I4</f>
        <v>2021</v>
      </c>
      <c r="J16" s="41">
        <f>'Water Heater Stock'!J4</f>
        <v>2022</v>
      </c>
      <c r="K16" s="41">
        <f>'Water Heater Stock'!K4</f>
        <v>2023</v>
      </c>
      <c r="L16" s="41">
        <f>'Water Heater Stock'!L4</f>
        <v>2024</v>
      </c>
      <c r="M16" s="41">
        <f>'Water Heater Stock'!M4</f>
        <v>2025</v>
      </c>
      <c r="N16" s="41">
        <f>'Water Heater Stock'!N4</f>
        <v>2026</v>
      </c>
      <c r="O16" s="41">
        <f>'Water Heater Stock'!O4</f>
        <v>2027</v>
      </c>
      <c r="P16" s="41">
        <f>'Water Heater Stock'!P4</f>
        <v>2028</v>
      </c>
      <c r="Q16" s="41">
        <f>'Water Heater Stock'!Q4</f>
        <v>2029</v>
      </c>
      <c r="R16" s="41">
        <f>'Water Heater Stock'!R4</f>
        <v>2030</v>
      </c>
      <c r="S16" s="41">
        <f>'Water Heater Stock'!S4</f>
        <v>2031</v>
      </c>
      <c r="T16" s="41">
        <f>'Water Heater Stock'!T4</f>
        <v>2032</v>
      </c>
      <c r="U16" s="41">
        <f>'Water Heater Stock'!U4</f>
        <v>2033</v>
      </c>
      <c r="V16" s="41">
        <f>'Water Heater Stock'!V4</f>
        <v>2034</v>
      </c>
      <c r="W16" s="41">
        <f>'Water Heater Stock'!W4</f>
        <v>2035</v>
      </c>
    </row>
    <row r="17" spans="1:23" ht="16.5" thickBot="1">
      <c r="A17" s="48" t="s">
        <v>45</v>
      </c>
      <c r="B17" s="49">
        <f t="shared" ref="B17:W17" si="7">SUM(B18:B22)</f>
        <v>80805.22130311573</v>
      </c>
      <c r="C17" s="49">
        <f t="shared" si="7"/>
        <v>80601.501809058973</v>
      </c>
      <c r="D17" s="49">
        <f t="shared" si="7"/>
        <v>80416.492384054334</v>
      </c>
      <c r="E17" s="49">
        <f t="shared" si="7"/>
        <v>80248.843770406471</v>
      </c>
      <c r="F17" s="49">
        <f t="shared" si="7"/>
        <v>80097.302512134338</v>
      </c>
      <c r="G17" s="49">
        <f t="shared" si="7"/>
        <v>79960.704112291103</v>
      </c>
      <c r="H17" s="49">
        <f t="shared" si="7"/>
        <v>79837.966679246063</v>
      </c>
      <c r="I17" s="49">
        <f t="shared" si="7"/>
        <v>79728.085027002075</v>
      </c>
      <c r="J17" s="49">
        <f t="shared" si="7"/>
        <v>79630.125197116795</v>
      </c>
      <c r="K17" s="49">
        <f t="shared" si="7"/>
        <v>79543.219372112508</v>
      </c>
      <c r="L17" s="49">
        <f t="shared" si="7"/>
        <v>79466.561152410024</v>
      </c>
      <c r="M17" s="49">
        <f t="shared" si="7"/>
        <v>79399.401170819852</v>
      </c>
      <c r="N17" s="49">
        <f t="shared" si="7"/>
        <v>79341.043020477635</v>
      </c>
      <c r="O17" s="49">
        <f t="shared" si="7"/>
        <v>79290.839473834232</v>
      </c>
      <c r="P17" s="49">
        <f t="shared" si="7"/>
        <v>79248.188971908676</v>
      </c>
      <c r="Q17" s="49">
        <f t="shared" si="7"/>
        <v>79212.532364498184</v>
      </c>
      <c r="R17" s="49">
        <f t="shared" si="7"/>
        <v>79183.349883417643</v>
      </c>
      <c r="S17" s="49">
        <f t="shared" si="7"/>
        <v>79160.158332121631</v>
      </c>
      <c r="T17" s="49">
        <f t="shared" si="7"/>
        <v>79142.50847625098</v>
      </c>
      <c r="U17" s="49">
        <f t="shared" si="7"/>
        <v>79129.982620749739</v>
      </c>
      <c r="V17" s="49">
        <f t="shared" si="7"/>
        <v>79122.192360223649</v>
      </c>
      <c r="W17" s="49">
        <f t="shared" si="7"/>
        <v>79118.776490163174</v>
      </c>
    </row>
    <row r="18" spans="1:23" ht="16.5" thickTop="1">
      <c r="A18" s="9" t="str">
        <f>'Device Energy Use'!A5</f>
        <v>Electric Resistance</v>
      </c>
      <c r="B18" s="33">
        <f>'Water Heater Stock'!B6*'Device Energy Use'!$D5</f>
        <v>80805.22130311573</v>
      </c>
      <c r="C18" s="33">
        <f>'Water Heater Stock'!C6*'Device Energy Use'!$D5</f>
        <v>75033.524789138028</v>
      </c>
      <c r="D18" s="33">
        <f>'Water Heater Stock'!D6*'Device Energy Use'!$D5</f>
        <v>69674.091084821543</v>
      </c>
      <c r="E18" s="33">
        <f>'Water Heater Stock'!E6*'Device Energy Use'!$D5</f>
        <v>64697.472865120537</v>
      </c>
      <c r="F18" s="33">
        <f>'Water Heater Stock'!F6*'Device Energy Use'!$D5</f>
        <v>60076.32618511367</v>
      </c>
      <c r="G18" s="33">
        <f>'Water Heater Stock'!G6*'Device Energy Use'!$D5</f>
        <v>55785.260238567971</v>
      </c>
      <c r="H18" s="33">
        <f>'Water Heater Stock'!H6*'Device Energy Use'!$D5</f>
        <v>51800.697848034193</v>
      </c>
      <c r="I18" s="33">
        <f>'Water Heater Stock'!I6*'Device Energy Use'!$D5</f>
        <v>48100.74591993534</v>
      </c>
      <c r="J18" s="33">
        <f>'Water Heater Stock'!J6*'Device Energy Use'!$D5</f>
        <v>44665.075152863261</v>
      </c>
      <c r="K18" s="33">
        <f>'Water Heater Stock'!K6*'Device Energy Use'!$D5</f>
        <v>41474.808338139665</v>
      </c>
      <c r="L18" s="33">
        <f>'Water Heater Stock'!L6*'Device Energy Use'!$D5</f>
        <v>38512.416638908682</v>
      </c>
      <c r="M18" s="33">
        <f>'Water Heater Stock'!M6*'Device Energy Use'!$D5</f>
        <v>35761.623277865641</v>
      </c>
      <c r="N18" s="33">
        <f>'Water Heater Stock'!N6*'Device Energy Use'!$D5</f>
        <v>33207.314104433761</v>
      </c>
      <c r="O18" s="33">
        <f>'Water Heater Stock'!O6*'Device Energy Use'!$D5</f>
        <v>30835.45454999982</v>
      </c>
      <c r="P18" s="33">
        <f>'Water Heater Stock'!P6*'Device Energy Use'!$D5</f>
        <v>28633.012514918581</v>
      </c>
      <c r="Q18" s="33">
        <f>'Water Heater Stock'!Q6*'Device Energy Use'!$D5</f>
        <v>26587.886763588482</v>
      </c>
      <c r="R18" s="33">
        <f>'Water Heater Stock'!R6*'Device Energy Use'!$D5</f>
        <v>24688.840434164707</v>
      </c>
      <c r="S18" s="33">
        <f>'Water Heater Stock'!S6*'Device Energy Use'!$D5</f>
        <v>22925.439297578552</v>
      </c>
      <c r="T18" s="33">
        <f>'Water Heater Stock'!T6*'Device Energy Use'!$D5</f>
        <v>21287.994426626814</v>
      </c>
      <c r="U18" s="33">
        <f>'Water Heater Stock'!U6*'Device Energy Use'!$D5</f>
        <v>19767.508960126284</v>
      </c>
      <c r="V18" s="33">
        <f>'Water Heater Stock'!V6*'Device Energy Use'!$D5</f>
        <v>18355.628669628604</v>
      </c>
      <c r="W18" s="33">
        <f>'Water Heater Stock'!W6*'Device Energy Use'!$D5</f>
        <v>17044.596057084116</v>
      </c>
    </row>
    <row r="19" spans="1:23">
      <c r="A19" s="9" t="str">
        <f>'Device Energy Use'!A6</f>
        <v>HPWH</v>
      </c>
      <c r="B19" s="33">
        <f>'Water Heater Stock'!B7*'Device Energy Use'!$D6</f>
        <v>0</v>
      </c>
      <c r="C19" s="33">
        <f>'Water Heater Stock'!C7*'Device Energy Use'!$D6</f>
        <v>1529.5668057739301</v>
      </c>
      <c r="D19" s="33">
        <f>'Water Heater Stock'!D7*'Device Energy Use'!$D6</f>
        <v>2947.0013038611792</v>
      </c>
      <c r="E19" s="33">
        <f>'Water Heater Stock'!E7*'Device Energy Use'!$D6</f>
        <v>4260.3203882401594</v>
      </c>
      <c r="F19" s="33">
        <f>'Water Heater Stock'!F7*'Device Energy Use'!$D6</f>
        <v>5476.9687007017765</v>
      </c>
      <c r="G19" s="33">
        <f>'Water Heater Stock'!G7*'Device Energy Use'!$D6</f>
        <v>6603.8595061644728</v>
      </c>
      <c r="H19" s="33">
        <f>'Water Heater Stock'!H7*'Device Energy Use'!$D6</f>
        <v>7647.4126481975936</v>
      </c>
      <c r="I19" s="33">
        <f>'Water Heater Stock'!I7*'Device Energy Use'!$D6</f>
        <v>8613.589793309764</v>
      </c>
      <c r="J19" s="33">
        <f>'Water Heater Stock'!J7*'Device Energy Use'!$D6</f>
        <v>9507.9271576621413</v>
      </c>
      <c r="K19" s="33">
        <f>'Water Heater Stock'!K7*'Device Energy Use'!$D6</f>
        <v>10335.565896033693</v>
      </c>
      <c r="L19" s="33">
        <f>'Water Heater Stock'!L7*'Device Energy Use'!$D6</f>
        <v>11101.280320020926</v>
      </c>
      <c r="M19" s="33">
        <f>'Water Heater Stock'!M7*'Device Energy Use'!$D6</f>
        <v>11809.504100527296</v>
      </c>
      <c r="N19" s="33">
        <f>'Water Heater Stock'!N7*'Device Energy Use'!$D6</f>
        <v>12464.354598522232</v>
      </c>
      <c r="O19" s="33">
        <f>'Water Heater Stock'!O7*'Device Energy Use'!$D6</f>
        <v>13069.655457765562</v>
      </c>
      <c r="P19" s="33">
        <f>'Water Heater Stock'!P7*'Device Energy Use'!$D6</f>
        <v>13628.957583643498</v>
      </c>
      <c r="Q19" s="33">
        <f>'Water Heater Stock'!Q7*'Device Energy Use'!$D6</f>
        <v>14145.558623394812</v>
      </c>
      <c r="R19" s="33">
        <f>'Water Heater Stock'!R7*'Device Energy Use'!$D6</f>
        <v>14622.521054771858</v>
      </c>
      <c r="S19" s="33">
        <f>'Water Heater Stock'!S7*'Device Energy Use'!$D6</f>
        <v>15062.688982534981</v>
      </c>
      <c r="T19" s="33">
        <f>'Water Heater Stock'!T7*'Device Energy Use'!$D6</f>
        <v>15468.703735079182</v>
      </c>
      <c r="U19" s="33">
        <f>'Water Heater Stock'!U7*'Device Energy Use'!$D6</f>
        <v>15843.018346899113</v>
      </c>
      <c r="V19" s="33">
        <f>'Water Heater Stock'!V7*'Device Energy Use'!$D6</f>
        <v>16187.911006476786</v>
      </c>
      <c r="W19" s="33">
        <f>'Water Heater Stock'!W7*'Device Energy Use'!$D6</f>
        <v>16505.497543491787</v>
      </c>
    </row>
    <row r="20" spans="1:23">
      <c r="A20" s="9" t="str">
        <f>'Device Energy Use'!A7</f>
        <v>Gas Tank</v>
      </c>
      <c r="B20" s="33">
        <f>'Water Heater Stock'!B8*'Device Energy Use'!$D7</f>
        <v>0</v>
      </c>
      <c r="C20" s="33">
        <f>'Water Heater Stock'!C8*'Device Energy Use'!$D7</f>
        <v>0.43577297016666522</v>
      </c>
      <c r="D20" s="33">
        <f>'Water Heater Stock'!D8*'Device Energy Use'!$D7</f>
        <v>0.83666094928209023</v>
      </c>
      <c r="E20" s="33">
        <f>'Water Heater Stock'!E8*'Device Energy Use'!$D7</f>
        <v>1.2051784322754946</v>
      </c>
      <c r="F20" s="33">
        <f>'Water Heater Stock'!F8*'Device Energy Use'!$D7</f>
        <v>1.5436605901610221</v>
      </c>
      <c r="G20" s="33">
        <f>'Water Heater Stock'!G8*'Device Energy Use'!$D7</f>
        <v>1.8542760688143569</v>
      </c>
      <c r="H20" s="33">
        <f>'Water Heater Stock'!H8*'Device Energy Use'!$D7</f>
        <v>2.1390388735354682</v>
      </c>
      <c r="I20" s="33">
        <f>'Water Heater Stock'!I8*'Device Energy Use'!$D7</f>
        <v>2.3998194047067312</v>
      </c>
      <c r="J20" s="33">
        <f>'Water Heater Stock'!J8*'Device Energy Use'!$D7</f>
        <v>2.6383547051905665</v>
      </c>
      <c r="K20" s="33">
        <f>'Water Heater Stock'!K8*'Device Energy Use'!$D7</f>
        <v>2.8562579757789148</v>
      </c>
      <c r="L20" s="33">
        <f>'Water Heater Stock'!L8*'Device Energy Use'!$D7</f>
        <v>3.0550274109843758</v>
      </c>
      <c r="M20" s="33">
        <f>'Water Heater Stock'!M8*'Device Energy Use'!$D7</f>
        <v>3.236054403727731</v>
      </c>
      <c r="N20" s="33">
        <f>'Water Heater Stock'!N8*'Device Energy Use'!$D7</f>
        <v>3.4006311640081925</v>
      </c>
      <c r="O20" s="33">
        <f>'Water Heater Stock'!O8*'Device Energy Use'!$D7</f>
        <v>3.5499577934221049</v>
      </c>
      <c r="P20" s="33">
        <f>'Water Heater Stock'!P8*'Device Energy Use'!$D7</f>
        <v>3.685148854405246</v>
      </c>
      <c r="Q20" s="33">
        <f>'Water Heater Stock'!Q8*'Device Energy Use'!$D7</f>
        <v>3.8072394702968744</v>
      </c>
      <c r="R20" s="33">
        <f>'Water Heater Stock'!R8*'Device Energy Use'!$D7</f>
        <v>3.9171909897450763</v>
      </c>
      <c r="S20" s="33">
        <f>'Water Heater Stock'!S8*'Device Energy Use'!$D7</f>
        <v>4.0158962465784658</v>
      </c>
      <c r="T20" s="33">
        <f>'Water Heater Stock'!T8*'Device Energy Use'!$D7</f>
        <v>4.1041844440459201</v>
      </c>
      <c r="U20" s="33">
        <f>'Water Heater Stock'!U8*'Device Energy Use'!$D7</f>
        <v>4.1828256902613949</v>
      </c>
      <c r="V20" s="33">
        <f>'Water Heater Stock'!V8*'Device Energy Use'!$D7</f>
        <v>4.2525352097737041</v>
      </c>
      <c r="W20" s="33">
        <f>'Water Heater Stock'!W8*'Device Energy Use'!$D7</f>
        <v>4.3139772544009958</v>
      </c>
    </row>
    <row r="21" spans="1:23">
      <c r="A21" s="9" t="str">
        <f>'Device Energy Use'!A8</f>
        <v>Instant Gas</v>
      </c>
      <c r="B21" s="33">
        <f>'Water Heater Stock'!B9*'Device Energy Use'!$D8</f>
        <v>0</v>
      </c>
      <c r="C21" s="33">
        <f>'Water Heater Stock'!C9*'Device Energy Use'!$D8</f>
        <v>1114.9435531130569</v>
      </c>
      <c r="D21" s="33">
        <f>'Water Heater Stock'!D9*'Device Energy Use'!$D8</f>
        <v>2155.665014302595</v>
      </c>
      <c r="E21" s="33">
        <f>'Water Heater Stock'!E9*'Device Energy Use'!$D8</f>
        <v>3127.5009591905259</v>
      </c>
      <c r="F21" s="33">
        <f>'Water Heater Stock'!F9*'Device Energy Use'!$D8</f>
        <v>4035.406540874013</v>
      </c>
      <c r="G21" s="33">
        <f>'Water Heater Stock'!G9*'Device Energy Use'!$D8</f>
        <v>4883.9827214816241</v>
      </c>
      <c r="H21" s="33">
        <f>'Water Heater Stock'!H9*'Device Energy Use'!$D8</f>
        <v>5677.5015584658449</v>
      </c>
      <c r="I21" s="33">
        <f>'Water Heater Stock'!I9*'Device Energy Use'!$D8</f>
        <v>6419.9296845844356</v>
      </c>
      <c r="J21" s="33">
        <f>'Water Heater Stock'!J9*'Device Energy Use'!$D8</f>
        <v>7114.9501105981444</v>
      </c>
      <c r="K21" s="33">
        <f>'Water Heater Stock'!K9*'Device Energy Use'!$D8</f>
        <v>7765.9824704964158</v>
      </c>
      <c r="L21" s="33">
        <f>'Water Heater Stock'!L9*'Device Energy Use'!$D8</f>
        <v>8376.2018205049553</v>
      </c>
      <c r="M21" s="33">
        <f>'Water Heater Stock'!M9*'Device Energy Use'!$D8</f>
        <v>8948.5560951826756</v>
      </c>
      <c r="N21" s="33">
        <f>'Water Heater Stock'!N9*'Device Energy Use'!$D8</f>
        <v>9485.7823165366553</v>
      </c>
      <c r="O21" s="33">
        <f>'Water Heater Stock'!O9*'Device Energy Use'!$D8</f>
        <v>9990.4216452320397</v>
      </c>
      <c r="P21" s="33">
        <f>'Water Heater Stock'!P9*'Device Energy Use'!$D8</f>
        <v>10464.833356611423</v>
      </c>
      <c r="Q21" s="33">
        <f>'Water Heater Stock'!Q9*'Device Energy Use'!$D8</f>
        <v>10911.20781833038</v>
      </c>
      <c r="R21" s="33">
        <f>'Water Heater Stock'!R9*'Device Energy Use'!$D8</f>
        <v>11331.578540929893</v>
      </c>
      <c r="S21" s="33">
        <f>'Water Heater Stock'!S9*'Device Energy Use'!$D8</f>
        <v>11727.833367572381</v>
      </c>
      <c r="T21" s="33">
        <f>'Water Heater Stock'!T9*'Device Energy Use'!$D8</f>
        <v>12101.724864437796</v>
      </c>
      <c r="U21" s="33">
        <f>'Water Heater Stock'!U9*'Device Energy Use'!$D8</f>
        <v>12454.879968883988</v>
      </c>
      <c r="V21" s="33">
        <f>'Water Heater Stock'!V9*'Device Energy Use'!$D8</f>
        <v>12788.808948396871</v>
      </c>
      <c r="W21" s="33">
        <f>'Water Heater Stock'!W9*'Device Energy Use'!$D8</f>
        <v>13104.913719568684</v>
      </c>
    </row>
    <row r="22" spans="1:23">
      <c r="A22" s="9" t="str">
        <f>'Device Energy Use'!A9</f>
        <v>Condensing Gas</v>
      </c>
      <c r="B22" s="33">
        <f>'Water Heater Stock'!B10*'Device Energy Use'!$D9</f>
        <v>0</v>
      </c>
      <c r="C22" s="33">
        <f>'Water Heater Stock'!C10*'Device Energy Use'!$D9</f>
        <v>2923.0308880637926</v>
      </c>
      <c r="D22" s="33">
        <f>'Water Heater Stock'!D10*'Device Energy Use'!$D9</f>
        <v>5638.8983201197443</v>
      </c>
      <c r="E22" s="33">
        <f>'Water Heater Stock'!E10*'Device Energy Use'!$D9</f>
        <v>8162.3443794229852</v>
      </c>
      <c r="F22" s="33">
        <f>'Water Heater Stock'!F10*'Device Energy Use'!$D9</f>
        <v>10507.057424854724</v>
      </c>
      <c r="G22" s="33">
        <f>'Water Heater Stock'!G10*'Device Energy Use'!$D9</f>
        <v>12685.747370008223</v>
      </c>
      <c r="H22" s="33">
        <f>'Water Heater Stock'!H10*'Device Energy Use'!$D9</f>
        <v>14710.2155856749</v>
      </c>
      <c r="I22" s="33">
        <f>'Water Heater Stock'!I10*'Device Energy Use'!$D9</f>
        <v>16591.419809767824</v>
      </c>
      <c r="J22" s="33">
        <f>'Water Heater Stock'!J10*'Device Energy Use'!$D9</f>
        <v>18339.534421288059</v>
      </c>
      <c r="K22" s="33">
        <f>'Water Heater Stock'!K10*'Device Energy Use'!$D9</f>
        <v>19964.006409466951</v>
      </c>
      <c r="L22" s="33">
        <f>'Water Heater Stock'!L10*'Device Energy Use'!$D9</f>
        <v>21473.607345564484</v>
      </c>
      <c r="M22" s="33">
        <f>'Water Heater Stock'!M10*'Device Energy Use'!$D9</f>
        <v>22876.48164284051</v>
      </c>
      <c r="N22" s="33">
        <f>'Water Heater Stock'!N10*'Device Energy Use'!$D9</f>
        <v>24180.191369820976</v>
      </c>
      <c r="O22" s="33">
        <f>'Water Heater Stock'!O10*'Device Energy Use'!$D9</f>
        <v>25391.757863043382</v>
      </c>
      <c r="P22" s="33">
        <f>'Water Heater Stock'!P10*'Device Energy Use'!$D9</f>
        <v>26517.700367880763</v>
      </c>
      <c r="Q22" s="33">
        <f>'Water Heater Stock'!Q10*'Device Energy Use'!$D9</f>
        <v>27564.071919714213</v>
      </c>
      <c r="R22" s="33">
        <f>'Water Heater Stock'!R10*'Device Energy Use'!$D9</f>
        <v>28536.492662561439</v>
      </c>
      <c r="S22" s="33">
        <f>'Water Heater Stock'!S10*'Device Energy Use'!$D9</f>
        <v>29440.18078818914</v>
      </c>
      <c r="T22" s="33">
        <f>'Water Heater Stock'!T10*'Device Energy Use'!$D9</f>
        <v>30279.981265663147</v>
      </c>
      <c r="U22" s="33">
        <f>'Water Heater Stock'!U10*'Device Energy Use'!$D9</f>
        <v>31060.392519150097</v>
      </c>
      <c r="V22" s="33">
        <f>'Water Heater Stock'!V10*'Device Energy Use'!$D9</f>
        <v>31785.591200511608</v>
      </c>
      <c r="W22" s="33">
        <f>'Water Heater Stock'!W10*'Device Energy Use'!$D9</f>
        <v>32459.455192764181</v>
      </c>
    </row>
    <row r="24" spans="1:23">
      <c r="A24" s="12" t="s">
        <v>98</v>
      </c>
    </row>
    <row r="25" spans="1:23">
      <c r="A25" s="38" t="str">
        <f>'Device Energy Use'!A4</f>
        <v>Water Heat Ending</v>
      </c>
      <c r="B25" s="41">
        <f>'Water Heater Stock'!B4</f>
        <v>2014</v>
      </c>
      <c r="C25" s="41">
        <f>'Water Heater Stock'!C4</f>
        <v>2015</v>
      </c>
      <c r="D25" s="41">
        <f>'Water Heater Stock'!D4</f>
        <v>2016</v>
      </c>
      <c r="E25" s="41">
        <f>'Water Heater Stock'!E4</f>
        <v>2017</v>
      </c>
      <c r="F25" s="41">
        <f>'Water Heater Stock'!F4</f>
        <v>2018</v>
      </c>
      <c r="G25" s="41">
        <f>'Water Heater Stock'!G4</f>
        <v>2019</v>
      </c>
      <c r="H25" s="41">
        <f>'Water Heater Stock'!H4</f>
        <v>2020</v>
      </c>
      <c r="I25" s="41">
        <f>'Water Heater Stock'!I4</f>
        <v>2021</v>
      </c>
      <c r="J25" s="41">
        <f>'Water Heater Stock'!J4</f>
        <v>2022</v>
      </c>
      <c r="K25" s="41">
        <f>'Water Heater Stock'!K4</f>
        <v>2023</v>
      </c>
      <c r="L25" s="41">
        <f>'Water Heater Stock'!L4</f>
        <v>2024</v>
      </c>
      <c r="M25" s="41">
        <f>'Water Heater Stock'!M4</f>
        <v>2025</v>
      </c>
      <c r="N25" s="41">
        <f>'Water Heater Stock'!N4</f>
        <v>2026</v>
      </c>
      <c r="O25" s="41">
        <f>'Water Heater Stock'!O4</f>
        <v>2027</v>
      </c>
      <c r="P25" s="41">
        <f>'Water Heater Stock'!P4</f>
        <v>2028</v>
      </c>
      <c r="Q25" s="41">
        <f>'Water Heater Stock'!Q4</f>
        <v>2029</v>
      </c>
      <c r="R25" s="41">
        <f>'Water Heater Stock'!R4</f>
        <v>2030</v>
      </c>
      <c r="S25" s="41">
        <f>'Water Heater Stock'!S4</f>
        <v>2031</v>
      </c>
      <c r="T25" s="41">
        <f>'Water Heater Stock'!T4</f>
        <v>2032</v>
      </c>
      <c r="U25" s="41">
        <f>'Water Heater Stock'!U4</f>
        <v>2033</v>
      </c>
      <c r="V25" s="41">
        <f>'Water Heater Stock'!V4</f>
        <v>2034</v>
      </c>
      <c r="W25" s="41">
        <f>'Water Heater Stock'!W4</f>
        <v>2035</v>
      </c>
    </row>
    <row r="26" spans="1:23" ht="16.5" thickBot="1">
      <c r="A26" s="48" t="s">
        <v>45</v>
      </c>
      <c r="B26" s="49">
        <f t="shared" ref="B26:W26" si="8">SUM(B27:B31)</f>
        <v>80805.22130311573</v>
      </c>
      <c r="C26" s="49">
        <f t="shared" si="8"/>
        <v>78181.370638161578</v>
      </c>
      <c r="D26" s="49">
        <f t="shared" si="8"/>
        <v>75744.937877846984</v>
      </c>
      <c r="E26" s="49">
        <f t="shared" si="8"/>
        <v>73482.53602898345</v>
      </c>
      <c r="F26" s="49">
        <f t="shared" si="8"/>
        <v>71381.734312181594</v>
      </c>
      <c r="G26" s="49">
        <f t="shared" si="8"/>
        <v>69430.989860865579</v>
      </c>
      <c r="H26" s="49">
        <f t="shared" si="8"/>
        <v>67619.584298929272</v>
      </c>
      <c r="I26" s="49">
        <f t="shared" si="8"/>
        <v>65937.56484855985</v>
      </c>
      <c r="J26" s="49">
        <f t="shared" si="8"/>
        <v>64375.68964464539</v>
      </c>
      <c r="K26" s="49">
        <f t="shared" si="8"/>
        <v>62925.376955296248</v>
      </c>
      <c r="L26" s="49">
        <f t="shared" si="8"/>
        <v>61578.658029472048</v>
      </c>
      <c r="M26" s="49">
        <f t="shared" si="8"/>
        <v>60328.133312635284</v>
      </c>
      <c r="N26" s="49">
        <f t="shared" si="8"/>
        <v>59166.931789858296</v>
      </c>
      <c r="O26" s="49">
        <f t="shared" si="8"/>
        <v>58088.67323299394</v>
      </c>
      <c r="P26" s="49">
        <f t="shared" si="8"/>
        <v>57087.433144477036</v>
      </c>
      <c r="Q26" s="49">
        <f t="shared" si="8"/>
        <v>56157.710205139912</v>
      </c>
      <c r="R26" s="49">
        <f t="shared" si="8"/>
        <v>55294.396047184026</v>
      </c>
      <c r="S26" s="49">
        <f t="shared" si="8"/>
        <v>54492.747186224973</v>
      </c>
      <c r="T26" s="49">
        <f t="shared" si="8"/>
        <v>53748.358958191573</v>
      </c>
      <c r="U26" s="49">
        <f t="shared" si="8"/>
        <v>53057.141317874833</v>
      </c>
      <c r="V26" s="49">
        <f t="shared" si="8"/>
        <v>52415.296366152157</v>
      </c>
      <c r="W26" s="49">
        <f t="shared" si="8"/>
        <v>51819.297482409675</v>
      </c>
    </row>
    <row r="27" spans="1:23" ht="16.5" thickTop="1">
      <c r="A27" s="14" t="str">
        <f>'Device Energy Use'!A5</f>
        <v>Electric Resistance</v>
      </c>
      <c r="B27" s="33">
        <f>'Water Heater Stock'!B15*'Device Energy Use'!$D5</f>
        <v>80805.22130311573</v>
      </c>
      <c r="C27" s="33">
        <f>'Water Heater Stock'!C15*'Device Energy Use'!$D5</f>
        <v>75033.419781464618</v>
      </c>
      <c r="D27" s="33">
        <f>'Water Heater Stock'!D15*'Device Energy Use'!$D5</f>
        <v>69673.889797074284</v>
      </c>
      <c r="E27" s="33">
        <f>'Water Heater Stock'!E15*'Device Energy Use'!$D5</f>
        <v>64697.183382997559</v>
      </c>
      <c r="F27" s="33">
        <f>'Water Heater Stock'!F15*'Device Energy Use'!$D5</f>
        <v>60075.955998497731</v>
      </c>
      <c r="G27" s="33">
        <f>'Water Heater Stock'!G15*'Device Energy Use'!$D5</f>
        <v>55784.816284319328</v>
      </c>
      <c r="H27" s="33">
        <f>'Water Heater Stock'!H15*'Device Energy Use'!$D5</f>
        <v>51800.186549725084</v>
      </c>
      <c r="I27" s="33">
        <f>'Water Heater Stock'!I15*'Device Energy Use'!$D5</f>
        <v>48100.173224744722</v>
      </c>
      <c r="J27" s="33">
        <f>'Water Heater Stock'!J15*'Device Energy Use'!$D5</f>
        <v>44664.446565834383</v>
      </c>
      <c r="K27" s="33">
        <f>'Water Heater Stock'!K15*'Device Energy Use'!$D5</f>
        <v>41474.128953989071</v>
      </c>
      <c r="L27" s="33">
        <f>'Water Heater Stock'!L15*'Device Energy Use'!$D5</f>
        <v>38511.69117156128</v>
      </c>
      <c r="M27" s="33">
        <f>'Water Heater Stock'!M15*'Device Energy Use'!$D5</f>
        <v>35760.856087878332</v>
      </c>
      <c r="N27" s="33">
        <f>'Water Heater Stock'!N15*'Device Energy Use'!$D5</f>
        <v>33206.509224458452</v>
      </c>
      <c r="O27" s="33">
        <f>'Water Heater Stock'!O15*'Device Energy Use'!$D5</f>
        <v>30834.615708425703</v>
      </c>
      <c r="P27" s="33">
        <f>'Water Heater Stock'!P15*'Device Energy Use'!$D5</f>
        <v>28632.143157823866</v>
      </c>
      <c r="Q27" s="33">
        <f>'Water Heater Stock'!Q15*'Device Energy Use'!$D5</f>
        <v>26586.990075122165</v>
      </c>
      <c r="R27" s="33">
        <f>'Water Heater Stock'!R15*'Device Energy Use'!$D5</f>
        <v>24687.919355470585</v>
      </c>
      <c r="S27" s="33">
        <f>'Water Heater Stock'!S15*'Device Energy Use'!$D5</f>
        <v>22924.496544365542</v>
      </c>
      <c r="T27" s="33">
        <f>'Water Heater Stock'!T15*'Device Energy Use'!$D5</f>
        <v>21287.03250548229</v>
      </c>
      <c r="U27" s="33">
        <f>'Water Heater Stock'!U15*'Device Energy Use'!$D5</f>
        <v>19766.530183662126</v>
      </c>
      <c r="V27" s="33">
        <f>'Water Heater Stock'!V15*'Device Energy Use'!$D5</f>
        <v>18354.635170543399</v>
      </c>
      <c r="W27" s="33">
        <f>'Water Heater Stock'!W15*'Device Energy Use'!$D5</f>
        <v>17043.58980121887</v>
      </c>
    </row>
    <row r="28" spans="1:23">
      <c r="A28" s="14" t="str">
        <f>'Device Energy Use'!A6</f>
        <v>HPWH</v>
      </c>
      <c r="B28" s="33">
        <f>'Water Heater Stock'!B16*'Device Energy Use'!$D6</f>
        <v>0</v>
      </c>
      <c r="C28" s="33">
        <f>'Water Heater Stock'!C16*'Device Energy Use'!$D6</f>
        <v>3147.9508566969557</v>
      </c>
      <c r="D28" s="33">
        <f>'Water Heater Stock'!D16*'Device Energy Use'!$D6</f>
        <v>6071.0480807726999</v>
      </c>
      <c r="E28" s="33">
        <f>'Water Heater Stock'!E16*'Device Energy Use'!$D6</f>
        <v>8785.3526459858913</v>
      </c>
      <c r="F28" s="33">
        <f>'Water Heater Stock'!F16*'Device Energy Use'!$D6</f>
        <v>11305.778313683855</v>
      </c>
      <c r="G28" s="33">
        <f>'Water Heater Stock'!G16*'Device Energy Use'!$D6</f>
        <v>13646.173576546251</v>
      </c>
      <c r="H28" s="33">
        <f>'Water Heater Stock'!H16*'Device Energy Use'!$D6</f>
        <v>15819.397749204189</v>
      </c>
      <c r="I28" s="33">
        <f>'Water Heater Stock'!I16*'Device Energy Use'!$D6</f>
        <v>17837.391623815132</v>
      </c>
      <c r="J28" s="33">
        <f>'Water Heater Stock'!J16*'Device Energy Use'!$D6</f>
        <v>19711.243078811007</v>
      </c>
      <c r="K28" s="33">
        <f>'Water Heater Stock'!K16*'Device Energy Use'!$D6</f>
        <v>21451.248001307176</v>
      </c>
      <c r="L28" s="33">
        <f>'Water Heater Stock'!L16*'Device Energy Use'!$D6</f>
        <v>23066.966857910764</v>
      </c>
      <c r="M28" s="33">
        <f>'Water Heater Stock'!M16*'Device Energy Use'!$D6</f>
        <v>24567.277224756952</v>
      </c>
      <c r="N28" s="33">
        <f>'Water Heater Stock'!N16*'Device Energy Use'!$D6</f>
        <v>25960.42256539984</v>
      </c>
      <c r="O28" s="33">
        <f>'Water Heater Stock'!O16*'Device Energy Use'!$D6</f>
        <v>27254.057524568234</v>
      </c>
      <c r="P28" s="33">
        <f>'Water Heater Stock'!P16*'Device Energy Use'!$D6</f>
        <v>28455.28998665317</v>
      </c>
      <c r="Q28" s="33">
        <f>'Water Heater Stock'!Q16*'Device Energy Use'!$D6</f>
        <v>29570.720130017751</v>
      </c>
      <c r="R28" s="33">
        <f>'Water Heater Stock'!R16*'Device Energy Use'!$D6</f>
        <v>30606.476691713437</v>
      </c>
      <c r="S28" s="33">
        <f>'Water Heater Stock'!S16*'Device Energy Use'!$D6</f>
        <v>31568.250641859431</v>
      </c>
      <c r="T28" s="33">
        <f>'Water Heater Stock'!T16*'Device Energy Use'!$D6</f>
        <v>32461.326452709283</v>
      </c>
      <c r="U28" s="33">
        <f>'Water Heater Stock'!U16*'Device Energy Use'!$D6</f>
        <v>33290.611134212711</v>
      </c>
      <c r="V28" s="33">
        <f>'Water Heater Stock'!V16*'Device Energy Use'!$D6</f>
        <v>34060.661195608758</v>
      </c>
      <c r="W28" s="33">
        <f>'Water Heater Stock'!W16*'Device Energy Use'!$D6</f>
        <v>34775.707681190805</v>
      </c>
    </row>
    <row r="29" spans="1:23">
      <c r="A29" s="14" t="str">
        <f>'Device Energy Use'!A7</f>
        <v>Gas Tank</v>
      </c>
      <c r="B29" s="33">
        <f>'Water Heater Stock'!B17*'Device Energy Use'!$D7</f>
        <v>0</v>
      </c>
      <c r="C29" s="33">
        <f>'Water Heater Stock'!C17*'Device Energy Use'!$D7</f>
        <v>0</v>
      </c>
      <c r="D29" s="33">
        <f>'Water Heater Stock'!D17*'Device Energy Use'!$D7</f>
        <v>0</v>
      </c>
      <c r="E29" s="33">
        <f>'Water Heater Stock'!E17*'Device Energy Use'!$D7</f>
        <v>0</v>
      </c>
      <c r="F29" s="33">
        <f>'Water Heater Stock'!F17*'Device Energy Use'!$D7</f>
        <v>0</v>
      </c>
      <c r="G29" s="33">
        <f>'Water Heater Stock'!G17*'Device Energy Use'!$D7</f>
        <v>0</v>
      </c>
      <c r="H29" s="33">
        <f>'Water Heater Stock'!H17*'Device Energy Use'!$D7</f>
        <v>0</v>
      </c>
      <c r="I29" s="33">
        <f>'Water Heater Stock'!I17*'Device Energy Use'!$D7</f>
        <v>0</v>
      </c>
      <c r="J29" s="33">
        <f>'Water Heater Stock'!J17*'Device Energy Use'!$D7</f>
        <v>0</v>
      </c>
      <c r="K29" s="33">
        <f>'Water Heater Stock'!K17*'Device Energy Use'!$D7</f>
        <v>0</v>
      </c>
      <c r="L29" s="33">
        <f>'Water Heater Stock'!L17*'Device Energy Use'!$D7</f>
        <v>0</v>
      </c>
      <c r="M29" s="33">
        <f>'Water Heater Stock'!M17*'Device Energy Use'!$D7</f>
        <v>0</v>
      </c>
      <c r="N29" s="33">
        <f>'Water Heater Stock'!N17*'Device Energy Use'!$D7</f>
        <v>0</v>
      </c>
      <c r="O29" s="33">
        <f>'Water Heater Stock'!O17*'Device Energy Use'!$D7</f>
        <v>0</v>
      </c>
      <c r="P29" s="33">
        <f>'Water Heater Stock'!P17*'Device Energy Use'!$D7</f>
        <v>0</v>
      </c>
      <c r="Q29" s="33">
        <f>'Water Heater Stock'!Q17*'Device Energy Use'!$D7</f>
        <v>0</v>
      </c>
      <c r="R29" s="33">
        <f>'Water Heater Stock'!R17*'Device Energy Use'!$D7</f>
        <v>0</v>
      </c>
      <c r="S29" s="33">
        <f>'Water Heater Stock'!S17*'Device Energy Use'!$D7</f>
        <v>0</v>
      </c>
      <c r="T29" s="33">
        <f>'Water Heater Stock'!T17*'Device Energy Use'!$D7</f>
        <v>0</v>
      </c>
      <c r="U29" s="33">
        <f>'Water Heater Stock'!U17*'Device Energy Use'!$D7</f>
        <v>0</v>
      </c>
      <c r="V29" s="33">
        <f>'Water Heater Stock'!V17*'Device Energy Use'!$D7</f>
        <v>0</v>
      </c>
      <c r="W29" s="33">
        <f>'Water Heater Stock'!W17*'Device Energy Use'!$D7</f>
        <v>0</v>
      </c>
    </row>
    <row r="30" spans="1:23">
      <c r="A30" s="14" t="str">
        <f>'Device Energy Use'!A8</f>
        <v>Instant Gas</v>
      </c>
      <c r="B30" s="33">
        <f>'Water Heater Stock'!B18*'Device Energy Use'!$D8</f>
        <v>0</v>
      </c>
      <c r="C30" s="33">
        <f>'Water Heater Stock'!C18*'Device Energy Use'!$D8</f>
        <v>0</v>
      </c>
      <c r="D30" s="33">
        <f>'Water Heater Stock'!D18*'Device Energy Use'!$D8</f>
        <v>0</v>
      </c>
      <c r="E30" s="33">
        <f>'Water Heater Stock'!E18*'Device Energy Use'!$D8</f>
        <v>0</v>
      </c>
      <c r="F30" s="33">
        <f>'Water Heater Stock'!F18*'Device Energy Use'!$D8</f>
        <v>0</v>
      </c>
      <c r="G30" s="33">
        <f>'Water Heater Stock'!G18*'Device Energy Use'!$D8</f>
        <v>0</v>
      </c>
      <c r="H30" s="33">
        <f>'Water Heater Stock'!H18*'Device Energy Use'!$D8</f>
        <v>0</v>
      </c>
      <c r="I30" s="33">
        <f>'Water Heater Stock'!I18*'Device Energy Use'!$D8</f>
        <v>0</v>
      </c>
      <c r="J30" s="33">
        <f>'Water Heater Stock'!J18*'Device Energy Use'!$D8</f>
        <v>0</v>
      </c>
      <c r="K30" s="33">
        <f>'Water Heater Stock'!K18*'Device Energy Use'!$D8</f>
        <v>0</v>
      </c>
      <c r="L30" s="33">
        <f>'Water Heater Stock'!L18*'Device Energy Use'!$D8</f>
        <v>0</v>
      </c>
      <c r="M30" s="33">
        <f>'Water Heater Stock'!M18*'Device Energy Use'!$D8</f>
        <v>0</v>
      </c>
      <c r="N30" s="33">
        <f>'Water Heater Stock'!N18*'Device Energy Use'!$D8</f>
        <v>0</v>
      </c>
      <c r="O30" s="33">
        <f>'Water Heater Stock'!O18*'Device Energy Use'!$D8</f>
        <v>0</v>
      </c>
      <c r="P30" s="33">
        <f>'Water Heater Stock'!P18*'Device Energy Use'!$D8</f>
        <v>0</v>
      </c>
      <c r="Q30" s="33">
        <f>'Water Heater Stock'!Q18*'Device Energy Use'!$D8</f>
        <v>0</v>
      </c>
      <c r="R30" s="33">
        <f>'Water Heater Stock'!R18*'Device Energy Use'!$D8</f>
        <v>0</v>
      </c>
      <c r="S30" s="33">
        <f>'Water Heater Stock'!S18*'Device Energy Use'!$D8</f>
        <v>0</v>
      </c>
      <c r="T30" s="33">
        <f>'Water Heater Stock'!T18*'Device Energy Use'!$D8</f>
        <v>0</v>
      </c>
      <c r="U30" s="33">
        <f>'Water Heater Stock'!U18*'Device Energy Use'!$D8</f>
        <v>0</v>
      </c>
      <c r="V30" s="33">
        <f>'Water Heater Stock'!V18*'Device Energy Use'!$D8</f>
        <v>0</v>
      </c>
      <c r="W30" s="33">
        <f>'Water Heater Stock'!W18*'Device Energy Use'!$D8</f>
        <v>0</v>
      </c>
    </row>
    <row r="31" spans="1:23">
      <c r="A31" s="14" t="str">
        <f>'Device Energy Use'!A9</f>
        <v>Condensing Gas</v>
      </c>
      <c r="B31" s="33">
        <f>'Water Heater Stock'!B19*'Device Energy Use'!$D9</f>
        <v>0</v>
      </c>
      <c r="C31" s="33">
        <f>'Water Heater Stock'!C19*'Device Energy Use'!$D9</f>
        <v>0</v>
      </c>
      <c r="D31" s="33">
        <f>'Water Heater Stock'!D19*'Device Energy Use'!$D9</f>
        <v>0</v>
      </c>
      <c r="E31" s="33">
        <f>'Water Heater Stock'!E19*'Device Energy Use'!$D9</f>
        <v>0</v>
      </c>
      <c r="F31" s="33">
        <f>'Water Heater Stock'!F19*'Device Energy Use'!$D9</f>
        <v>0</v>
      </c>
      <c r="G31" s="33">
        <f>'Water Heater Stock'!G19*'Device Energy Use'!$D9</f>
        <v>0</v>
      </c>
      <c r="H31" s="33">
        <f>'Water Heater Stock'!H19*'Device Energy Use'!$D9</f>
        <v>0</v>
      </c>
      <c r="I31" s="33">
        <f>'Water Heater Stock'!I19*'Device Energy Use'!$D9</f>
        <v>0</v>
      </c>
      <c r="J31" s="33">
        <f>'Water Heater Stock'!J19*'Device Energy Use'!$D9</f>
        <v>0</v>
      </c>
      <c r="K31" s="33">
        <f>'Water Heater Stock'!K19*'Device Energy Use'!$D9</f>
        <v>0</v>
      </c>
      <c r="L31" s="33">
        <f>'Water Heater Stock'!L19*'Device Energy Use'!$D9</f>
        <v>0</v>
      </c>
      <c r="M31" s="33">
        <f>'Water Heater Stock'!M19*'Device Energy Use'!$D9</f>
        <v>0</v>
      </c>
      <c r="N31" s="33">
        <f>'Water Heater Stock'!N19*'Device Energy Use'!$D9</f>
        <v>0</v>
      </c>
      <c r="O31" s="33">
        <f>'Water Heater Stock'!O19*'Device Energy Use'!$D9</f>
        <v>0</v>
      </c>
      <c r="P31" s="33">
        <f>'Water Heater Stock'!P19*'Device Energy Use'!$D9</f>
        <v>0</v>
      </c>
      <c r="Q31" s="33">
        <f>'Water Heater Stock'!Q19*'Device Energy Use'!$D9</f>
        <v>0</v>
      </c>
      <c r="R31" s="33">
        <f>'Water Heater Stock'!R19*'Device Energy Use'!$D9</f>
        <v>0</v>
      </c>
      <c r="S31" s="33">
        <f>'Water Heater Stock'!S19*'Device Energy Use'!$D9</f>
        <v>0</v>
      </c>
      <c r="T31" s="33">
        <f>'Water Heater Stock'!T19*'Device Energy Use'!$D9</f>
        <v>0</v>
      </c>
      <c r="U31" s="33">
        <f>'Water Heater Stock'!U19*'Device Energy Use'!$D9</f>
        <v>0</v>
      </c>
      <c r="V31" s="33">
        <f>'Water Heater Stock'!V19*'Device Energy Use'!$D9</f>
        <v>0</v>
      </c>
      <c r="W31" s="33">
        <f>'Water Heater Stock'!W19*'Device Energy Use'!$D9</f>
        <v>0</v>
      </c>
    </row>
    <row r="34" spans="1:23">
      <c r="A34" s="12" t="s">
        <v>46</v>
      </c>
    </row>
    <row r="35" spans="1:23">
      <c r="A35" s="38" t="str">
        <f>'Device Energy Use'!A4</f>
        <v>Water Heat Ending</v>
      </c>
      <c r="B35" s="41">
        <f>'Water Heater Stock'!B4</f>
        <v>2014</v>
      </c>
      <c r="C35" s="41">
        <f>'Water Heater Stock'!C4</f>
        <v>2015</v>
      </c>
      <c r="D35" s="41">
        <f>'Water Heater Stock'!D4</f>
        <v>2016</v>
      </c>
      <c r="E35" s="41">
        <f>'Water Heater Stock'!E4</f>
        <v>2017</v>
      </c>
      <c r="F35" s="41">
        <f>'Water Heater Stock'!F4</f>
        <v>2018</v>
      </c>
      <c r="G35" s="41">
        <f>'Water Heater Stock'!G4</f>
        <v>2019</v>
      </c>
      <c r="H35" s="41">
        <f>'Water Heater Stock'!H4</f>
        <v>2020</v>
      </c>
      <c r="I35" s="41">
        <f>'Water Heater Stock'!I4</f>
        <v>2021</v>
      </c>
      <c r="J35" s="41">
        <f>'Water Heater Stock'!J4</f>
        <v>2022</v>
      </c>
      <c r="K35" s="41">
        <f>'Water Heater Stock'!K4</f>
        <v>2023</v>
      </c>
      <c r="L35" s="41">
        <f>'Water Heater Stock'!L4</f>
        <v>2024</v>
      </c>
      <c r="M35" s="41">
        <f>'Water Heater Stock'!M4</f>
        <v>2025</v>
      </c>
      <c r="N35" s="41">
        <f>'Water Heater Stock'!N4</f>
        <v>2026</v>
      </c>
      <c r="O35" s="41">
        <f>'Water Heater Stock'!O4</f>
        <v>2027</v>
      </c>
      <c r="P35" s="41">
        <f>'Water Heater Stock'!P4</f>
        <v>2028</v>
      </c>
      <c r="Q35" s="41">
        <f>'Water Heater Stock'!Q4</f>
        <v>2029</v>
      </c>
      <c r="R35" s="41">
        <f>'Water Heater Stock'!R4</f>
        <v>2030</v>
      </c>
      <c r="S35" s="41">
        <f>'Water Heater Stock'!S4</f>
        <v>2031</v>
      </c>
      <c r="T35" s="41">
        <f>'Water Heater Stock'!T4</f>
        <v>2032</v>
      </c>
      <c r="U35" s="41">
        <f>'Water Heater Stock'!U4</f>
        <v>2033</v>
      </c>
      <c r="V35" s="41">
        <f>'Water Heater Stock'!V4</f>
        <v>2034</v>
      </c>
      <c r="W35" s="41">
        <f>'Water Heater Stock'!W4</f>
        <v>2035</v>
      </c>
    </row>
    <row r="36" spans="1:23" ht="16.5" thickBot="1">
      <c r="A36" s="48" t="s">
        <v>45</v>
      </c>
      <c r="B36" s="49">
        <f t="shared" ref="B36:W36" si="9">SUM(B37:B41)</f>
        <v>23682.655716036264</v>
      </c>
      <c r="C36" s="49">
        <f t="shared" si="9"/>
        <v>22439.35861515591</v>
      </c>
      <c r="D36" s="49">
        <f t="shared" si="9"/>
        <v>21284.024732908183</v>
      </c>
      <c r="E36" s="49">
        <f t="shared" si="9"/>
        <v>20210.373169214738</v>
      </c>
      <c r="F36" s="49">
        <f t="shared" si="9"/>
        <v>19212.571771927152</v>
      </c>
      <c r="G36" s="49">
        <f t="shared" si="9"/>
        <v>18285.205083450306</v>
      </c>
      <c r="H36" s="49">
        <f t="shared" si="9"/>
        <v>17423.244576855745</v>
      </c>
      <c r="I36" s="49">
        <f t="shared" si="9"/>
        <v>16622.021017949915</v>
      </c>
      <c r="J36" s="49">
        <f t="shared" si="9"/>
        <v>15877.198801443552</v>
      </c>
      <c r="K36" s="49">
        <f t="shared" si="9"/>
        <v>15184.752120214933</v>
      </c>
      <c r="L36" s="49">
        <f t="shared" si="9"/>
        <v>14540.942836732009</v>
      </c>
      <c r="M36" s="49">
        <f t="shared" si="9"/>
        <v>13942.299935050685</v>
      </c>
      <c r="N36" s="49">
        <f t="shared" si="9"/>
        <v>13385.600440491206</v>
      </c>
      <c r="O36" s="49">
        <f t="shared" si="9"/>
        <v>12867.85170215867</v>
      </c>
      <c r="P36" s="49">
        <f t="shared" si="9"/>
        <v>12386.274940961921</v>
      </c>
      <c r="Q36" s="49">
        <f t="shared" si="9"/>
        <v>11938.289972738363</v>
      </c>
      <c r="R36" s="49">
        <f t="shared" si="9"/>
        <v>11521.501022548817</v>
      </c>
      <c r="S36" s="49">
        <f t="shared" si="9"/>
        <v>11133.68355220209</v>
      </c>
      <c r="T36" s="49">
        <f t="shared" si="9"/>
        <v>10772.772028635989</v>
      </c>
      <c r="U36" s="49">
        <f t="shared" si="9"/>
        <v>10436.848565951172</v>
      </c>
      <c r="V36" s="49">
        <f t="shared" si="9"/>
        <v>10124.132378694427</v>
      </c>
      <c r="W36" s="49">
        <f t="shared" si="9"/>
        <v>9832.9699884454567</v>
      </c>
    </row>
    <row r="37" spans="1:23" ht="16.5" thickTop="1">
      <c r="A37" s="37" t="str">
        <f>'Device Energy Use'!A5</f>
        <v>Electric Resistance</v>
      </c>
      <c r="B37" s="33">
        <f>'Water Heater Stock'!B6*'Device Energy Use'!$B5/1000</f>
        <v>23682.655716036264</v>
      </c>
      <c r="C37" s="33">
        <f>'Water Heater Stock'!C6*'Device Energy Use'!$B5/1000</f>
        <v>21991.068226593798</v>
      </c>
      <c r="D37" s="33">
        <f>'Water Heater Stock'!D6*'Device Energy Use'!$B5/1000</f>
        <v>20420.308055340429</v>
      </c>
      <c r="E37" s="33">
        <f>'Water Heater Stock'!E6*'Device Energy Use'!$B5/1000</f>
        <v>18961.744684970847</v>
      </c>
      <c r="F37" s="33">
        <f>'Water Heater Stock'!F6*'Device Energy Use'!$B5/1000</f>
        <v>17607.364063632376</v>
      </c>
      <c r="G37" s="33">
        <f>'Water Heater Stock'!G6*'Device Energy Use'!$B5/1000</f>
        <v>16349.724571678773</v>
      </c>
      <c r="H37" s="33">
        <f>'Water Heater Stock'!H6*'Device Energy Use'!$B5/1000</f>
        <v>15181.916133655979</v>
      </c>
      <c r="I37" s="33">
        <f>'Water Heater Stock'!I6*'Device Energy Use'!$B5/1000</f>
        <v>14097.5222508603</v>
      </c>
      <c r="J37" s="33">
        <f>'Water Heater Stock'!J6*'Device Energy Use'!$B5/1000</f>
        <v>13090.584745856759</v>
      </c>
      <c r="K37" s="33">
        <f>'Water Heater Stock'!K6*'Device Energy Use'!$B5/1000</f>
        <v>12155.57102524609</v>
      </c>
      <c r="L37" s="33">
        <f>'Water Heater Stock'!L6*'Device Energy Use'!$B5/1000</f>
        <v>11287.343680805594</v>
      </c>
      <c r="M37" s="33">
        <f>'Water Heater Stock'!M6*'Device Energy Use'!$B5/1000</f>
        <v>10481.132261977034</v>
      </c>
      <c r="N37" s="33">
        <f>'Water Heater Stock'!N6*'Device Energy Use'!$B5/1000</f>
        <v>9732.507064605441</v>
      </c>
      <c r="O37" s="33">
        <f>'Water Heater Stock'!O6*'Device Energy Use'!$B5/1000</f>
        <v>9037.3547919108496</v>
      </c>
      <c r="P37" s="33">
        <f>'Water Heater Stock'!P6*'Device Energy Use'!$B5/1000</f>
        <v>8391.8559539620692</v>
      </c>
      <c r="Q37" s="33">
        <f>'Water Heater Stock'!Q6*'Device Energy Use'!$B5/1000</f>
        <v>7792.4638814737636</v>
      </c>
      <c r="R37" s="33">
        <f>'Water Heater Stock'!R6*'Device Energy Use'!$B5/1000</f>
        <v>7235.8852386180261</v>
      </c>
      <c r="S37" s="33">
        <f>'Water Heater Stock'!S6*'Device Energy Use'!$B5/1000</f>
        <v>6719.0619277780042</v>
      </c>
      <c r="T37" s="33">
        <f>'Water Heater Stock'!T6*'Device Energy Use'!$B5/1000</f>
        <v>6239.1542868191136</v>
      </c>
      <c r="U37" s="33">
        <f>'Water Heater Stock'!U6*'Device Energy Use'!$B5/1000</f>
        <v>5793.5254865551833</v>
      </c>
      <c r="V37" s="33">
        <f>'Water Heater Stock'!V6*'Device Energy Use'!$B5/1000</f>
        <v>5379.727042681302</v>
      </c>
      <c r="W37" s="33">
        <f>'Water Heater Stock'!W6*'Device Energy Use'!$B5/1000</f>
        <v>4995.4853625686155</v>
      </c>
    </row>
    <row r="38" spans="1:23">
      <c r="A38" s="37" t="str">
        <f>'Device Energy Use'!A6</f>
        <v>HPWH</v>
      </c>
      <c r="B38" s="33">
        <f>'Water Heater Stock'!B7*'Device Energy Use'!$B6/1000</f>
        <v>0</v>
      </c>
      <c r="C38" s="33">
        <f>'Water Heater Stock'!C7*'Device Energy Use'!$B6/1000</f>
        <v>448.29038856211309</v>
      </c>
      <c r="D38" s="33">
        <f>'Water Heater Stock'!D7*'Device Energy Use'!$B6/1000</f>
        <v>863.71667756775469</v>
      </c>
      <c r="E38" s="33">
        <f>'Water Heater Stock'!E7*'Device Energy Use'!$B6/1000</f>
        <v>1248.628484243892</v>
      </c>
      <c r="F38" s="33">
        <f>'Water Heater Stock'!F7*'Device Energy Use'!$B6/1000</f>
        <v>1605.207708294776</v>
      </c>
      <c r="G38" s="33">
        <f>'Water Heater Stock'!G7*'Device Energy Use'!$B6/1000</f>
        <v>1935.4805117715334</v>
      </c>
      <c r="H38" s="33">
        <f>'Water Heater Stock'!H7*'Device Energy Use'!$B6/1000</f>
        <v>2241.3284431997636</v>
      </c>
      <c r="I38" s="33">
        <f>'Water Heater Stock'!I7*'Device Energy Use'!$B6/1000</f>
        <v>2524.4987670896144</v>
      </c>
      <c r="J38" s="33">
        <f>'Water Heater Stock'!J7*'Device Energy Use'!$B6/1000</f>
        <v>2786.6140555867933</v>
      </c>
      <c r="K38" s="33">
        <f>'Water Heater Stock'!K7*'Device Energy Use'!$B6/1000</f>
        <v>3029.1810949688429</v>
      </c>
      <c r="L38" s="33">
        <f>'Water Heater Stock'!L7*'Device Energy Use'!$B6/1000</f>
        <v>3253.5991559264144</v>
      </c>
      <c r="M38" s="33">
        <f>'Water Heater Stock'!M7*'Device Energy Use'!$B6/1000</f>
        <v>3461.1676730736503</v>
      </c>
      <c r="N38" s="33">
        <f>'Water Heater Stock'!N7*'Device Energy Use'!$B6/1000</f>
        <v>3653.093375885765</v>
      </c>
      <c r="O38" s="33">
        <f>'Water Heater Stock'!O7*'Device Energy Use'!$B6/1000</f>
        <v>3830.4969102478199</v>
      </c>
      <c r="P38" s="33">
        <f>'Water Heater Stock'!P7*'Device Energy Use'!$B6/1000</f>
        <v>3994.4189869998527</v>
      </c>
      <c r="Q38" s="33">
        <f>'Water Heater Stock'!Q7*'Device Energy Use'!$B6/1000</f>
        <v>4145.8260912645983</v>
      </c>
      <c r="R38" s="33">
        <f>'Water Heater Stock'!R7*'Device Energy Use'!$B6/1000</f>
        <v>4285.6157839307907</v>
      </c>
      <c r="S38" s="33">
        <f>'Water Heater Stock'!S7*'Device Energy Use'!$B6/1000</f>
        <v>4414.6216244240859</v>
      </c>
      <c r="T38" s="33">
        <f>'Water Heater Stock'!T7*'Device Energy Use'!$B6/1000</f>
        <v>4533.6177418168754</v>
      </c>
      <c r="U38" s="33">
        <f>'Water Heater Stock'!U7*'Device Energy Use'!$B6/1000</f>
        <v>4643.3230793959883</v>
      </c>
      <c r="V38" s="33">
        <f>'Water Heater Stock'!V7*'Device Energy Use'!$B6/1000</f>
        <v>4744.4053360131256</v>
      </c>
      <c r="W38" s="33">
        <f>'Water Heater Stock'!W7*'Device Energy Use'!$B6/1000</f>
        <v>4837.4846258768421</v>
      </c>
    </row>
    <row r="39" spans="1:23">
      <c r="A39" s="37" t="str">
        <f>'Device Energy Use'!A7</f>
        <v>Gas Tank</v>
      </c>
      <c r="B39" s="33">
        <f>'Water Heater Stock'!B8*'Device Energy Use'!$B7/1000</f>
        <v>0</v>
      </c>
      <c r="C39" s="33">
        <f>'Water Heater Stock'!C8*'Device Energy Use'!$B7/1000</f>
        <v>0</v>
      </c>
      <c r="D39" s="33">
        <f>'Water Heater Stock'!D8*'Device Energy Use'!$B7/1000</f>
        <v>0</v>
      </c>
      <c r="E39" s="33">
        <f>'Water Heater Stock'!E8*'Device Energy Use'!$B7/1000</f>
        <v>0</v>
      </c>
      <c r="F39" s="33">
        <f>'Water Heater Stock'!F8*'Device Energy Use'!$B7/1000</f>
        <v>0</v>
      </c>
      <c r="G39" s="33">
        <f>'Water Heater Stock'!G8*'Device Energy Use'!$B7/1000</f>
        <v>0</v>
      </c>
      <c r="H39" s="33">
        <f>'Water Heater Stock'!H8*'Device Energy Use'!$B7/1000</f>
        <v>0</v>
      </c>
      <c r="I39" s="33">
        <f>'Water Heater Stock'!I8*'Device Energy Use'!$B7/1000</f>
        <v>0</v>
      </c>
      <c r="J39" s="33">
        <f>'Water Heater Stock'!J8*'Device Energy Use'!$B7/1000</f>
        <v>0</v>
      </c>
      <c r="K39" s="33">
        <f>'Water Heater Stock'!K8*'Device Energy Use'!$B7/1000</f>
        <v>0</v>
      </c>
      <c r="L39" s="33">
        <f>'Water Heater Stock'!L8*'Device Energy Use'!$B7/1000</f>
        <v>0</v>
      </c>
      <c r="M39" s="33">
        <f>'Water Heater Stock'!M8*'Device Energy Use'!$B7/1000</f>
        <v>0</v>
      </c>
      <c r="N39" s="33">
        <f>'Water Heater Stock'!N8*'Device Energy Use'!$B7/1000</f>
        <v>0</v>
      </c>
      <c r="O39" s="33">
        <f>'Water Heater Stock'!O8*'Device Energy Use'!$B7/1000</f>
        <v>0</v>
      </c>
      <c r="P39" s="33">
        <f>'Water Heater Stock'!P8*'Device Energy Use'!$B7/1000</f>
        <v>0</v>
      </c>
      <c r="Q39" s="33">
        <f>'Water Heater Stock'!Q8*'Device Energy Use'!$B7/1000</f>
        <v>0</v>
      </c>
      <c r="R39" s="33">
        <f>'Water Heater Stock'!R8*'Device Energy Use'!$B7/1000</f>
        <v>0</v>
      </c>
      <c r="S39" s="33">
        <f>'Water Heater Stock'!S8*'Device Energy Use'!$B7/1000</f>
        <v>0</v>
      </c>
      <c r="T39" s="33">
        <f>'Water Heater Stock'!T8*'Device Energy Use'!$B7/1000</f>
        <v>0</v>
      </c>
      <c r="U39" s="33">
        <f>'Water Heater Stock'!U8*'Device Energy Use'!$B7/1000</f>
        <v>0</v>
      </c>
      <c r="V39" s="33">
        <f>'Water Heater Stock'!V8*'Device Energy Use'!$B7/1000</f>
        <v>0</v>
      </c>
      <c r="W39" s="33">
        <f>'Water Heater Stock'!W8*'Device Energy Use'!$B7/1000</f>
        <v>0</v>
      </c>
    </row>
    <row r="40" spans="1:23">
      <c r="A40" s="37" t="str">
        <f>'Device Energy Use'!A8</f>
        <v>Instant Gas</v>
      </c>
      <c r="B40" s="33">
        <f>'Water Heater Stock'!B9*'Device Energy Use'!$B8/1000</f>
        <v>0</v>
      </c>
      <c r="C40" s="33">
        <f>'Water Heater Stock'!C9*'Device Energy Use'!$B8/1000</f>
        <v>0</v>
      </c>
      <c r="D40" s="33">
        <f>'Water Heater Stock'!D9*'Device Energy Use'!$B8/1000</f>
        <v>0</v>
      </c>
      <c r="E40" s="33">
        <f>'Water Heater Stock'!E9*'Device Energy Use'!$B8/1000</f>
        <v>0</v>
      </c>
      <c r="F40" s="33">
        <f>'Water Heater Stock'!F9*'Device Energy Use'!$B8/1000</f>
        <v>0</v>
      </c>
      <c r="G40" s="33">
        <f>'Water Heater Stock'!G9*'Device Energy Use'!$B8/1000</f>
        <v>0</v>
      </c>
      <c r="H40" s="33">
        <f>'Water Heater Stock'!H9*'Device Energy Use'!$B8/1000</f>
        <v>0</v>
      </c>
      <c r="I40" s="33">
        <f>'Water Heater Stock'!I9*'Device Energy Use'!$B8/1000</f>
        <v>0</v>
      </c>
      <c r="J40" s="33">
        <f>'Water Heater Stock'!J9*'Device Energy Use'!$B8/1000</f>
        <v>0</v>
      </c>
      <c r="K40" s="33">
        <f>'Water Heater Stock'!K9*'Device Energy Use'!$B8/1000</f>
        <v>0</v>
      </c>
      <c r="L40" s="33">
        <f>'Water Heater Stock'!L9*'Device Energy Use'!$B8/1000</f>
        <v>0</v>
      </c>
      <c r="M40" s="33">
        <f>'Water Heater Stock'!M9*'Device Energy Use'!$B8/1000</f>
        <v>0</v>
      </c>
      <c r="N40" s="33">
        <f>'Water Heater Stock'!N9*'Device Energy Use'!$B8/1000</f>
        <v>0</v>
      </c>
      <c r="O40" s="33">
        <f>'Water Heater Stock'!O9*'Device Energy Use'!$B8/1000</f>
        <v>0</v>
      </c>
      <c r="P40" s="33">
        <f>'Water Heater Stock'!P9*'Device Energy Use'!$B8/1000</f>
        <v>0</v>
      </c>
      <c r="Q40" s="33">
        <f>'Water Heater Stock'!Q9*'Device Energy Use'!$B8/1000</f>
        <v>0</v>
      </c>
      <c r="R40" s="33">
        <f>'Water Heater Stock'!R9*'Device Energy Use'!$B8/1000</f>
        <v>0</v>
      </c>
      <c r="S40" s="33">
        <f>'Water Heater Stock'!S9*'Device Energy Use'!$B8/1000</f>
        <v>0</v>
      </c>
      <c r="T40" s="33">
        <f>'Water Heater Stock'!T9*'Device Energy Use'!$B8/1000</f>
        <v>0</v>
      </c>
      <c r="U40" s="33">
        <f>'Water Heater Stock'!U9*'Device Energy Use'!$B8/1000</f>
        <v>0</v>
      </c>
      <c r="V40" s="33">
        <f>'Water Heater Stock'!V9*'Device Energy Use'!$B8/1000</f>
        <v>0</v>
      </c>
      <c r="W40" s="33">
        <f>'Water Heater Stock'!W9*'Device Energy Use'!$B8/1000</f>
        <v>0</v>
      </c>
    </row>
    <row r="41" spans="1:23">
      <c r="A41" s="37" t="str">
        <f>'Device Energy Use'!A9</f>
        <v>Condensing Gas</v>
      </c>
      <c r="B41" s="33">
        <f>'Water Heater Stock'!B10*'Device Energy Use'!$B9/1000</f>
        <v>0</v>
      </c>
      <c r="C41" s="33">
        <f>'Water Heater Stock'!C10*'Device Energy Use'!$B9/1000</f>
        <v>0</v>
      </c>
      <c r="D41" s="33">
        <f>'Water Heater Stock'!D10*'Device Energy Use'!$B9/1000</f>
        <v>0</v>
      </c>
      <c r="E41" s="33">
        <f>'Water Heater Stock'!E10*'Device Energy Use'!$B9/1000</f>
        <v>0</v>
      </c>
      <c r="F41" s="33">
        <f>'Water Heater Stock'!F10*'Device Energy Use'!$B9/1000</f>
        <v>0</v>
      </c>
      <c r="G41" s="33">
        <f>'Water Heater Stock'!G10*'Device Energy Use'!$B9/1000</f>
        <v>0</v>
      </c>
      <c r="H41" s="33">
        <f>'Water Heater Stock'!H10*'Device Energy Use'!$B9/1000</f>
        <v>0</v>
      </c>
      <c r="I41" s="33">
        <f>'Water Heater Stock'!I10*'Device Energy Use'!$B9/1000</f>
        <v>0</v>
      </c>
      <c r="J41" s="33">
        <f>'Water Heater Stock'!J10*'Device Energy Use'!$B9/1000</f>
        <v>0</v>
      </c>
      <c r="K41" s="33">
        <f>'Water Heater Stock'!K10*'Device Energy Use'!$B9/1000</f>
        <v>0</v>
      </c>
      <c r="L41" s="33">
        <f>'Water Heater Stock'!L10*'Device Energy Use'!$B9/1000</f>
        <v>0</v>
      </c>
      <c r="M41" s="33">
        <f>'Water Heater Stock'!M10*'Device Energy Use'!$B9/1000</f>
        <v>0</v>
      </c>
      <c r="N41" s="33">
        <f>'Water Heater Stock'!N10*'Device Energy Use'!$B9/1000</f>
        <v>0</v>
      </c>
      <c r="O41" s="33">
        <f>'Water Heater Stock'!O10*'Device Energy Use'!$B9/1000</f>
        <v>0</v>
      </c>
      <c r="P41" s="33">
        <f>'Water Heater Stock'!P10*'Device Energy Use'!$B9/1000</f>
        <v>0</v>
      </c>
      <c r="Q41" s="33">
        <f>'Water Heater Stock'!Q10*'Device Energy Use'!$B9/1000</f>
        <v>0</v>
      </c>
      <c r="R41" s="33">
        <f>'Water Heater Stock'!R10*'Device Energy Use'!$B9/1000</f>
        <v>0</v>
      </c>
      <c r="S41" s="33">
        <f>'Water Heater Stock'!S10*'Device Energy Use'!$B9/1000</f>
        <v>0</v>
      </c>
      <c r="T41" s="33">
        <f>'Water Heater Stock'!T10*'Device Energy Use'!$B9/1000</f>
        <v>0</v>
      </c>
      <c r="U41" s="33">
        <f>'Water Heater Stock'!U10*'Device Energy Use'!$B9/1000</f>
        <v>0</v>
      </c>
      <c r="V41" s="33">
        <f>'Water Heater Stock'!V10*'Device Energy Use'!$B9/1000</f>
        <v>0</v>
      </c>
      <c r="W41" s="33">
        <f>'Water Heater Stock'!W10*'Device Energy Use'!$B9/1000</f>
        <v>0</v>
      </c>
    </row>
    <row r="42" spans="1:23">
      <c r="A42" s="37"/>
    </row>
    <row r="43" spans="1:23">
      <c r="A43" s="12" t="s">
        <v>99</v>
      </c>
    </row>
    <row r="44" spans="1:23">
      <c r="A44" s="38" t="str">
        <f>'Device Energy Use'!A4</f>
        <v>Water Heat Ending</v>
      </c>
      <c r="B44" s="41">
        <f>'Water Heater Stock'!B13</f>
        <v>2014</v>
      </c>
      <c r="C44" s="41">
        <f>'Water Heater Stock'!C13</f>
        <v>2015</v>
      </c>
      <c r="D44" s="41">
        <f>'Water Heater Stock'!D13</f>
        <v>2016</v>
      </c>
      <c r="E44" s="41">
        <f>'Water Heater Stock'!E13</f>
        <v>2017</v>
      </c>
      <c r="F44" s="41">
        <f>'Water Heater Stock'!F13</f>
        <v>2018</v>
      </c>
      <c r="G44" s="41">
        <f>'Water Heater Stock'!G13</f>
        <v>2019</v>
      </c>
      <c r="H44" s="41">
        <f>'Water Heater Stock'!H13</f>
        <v>2020</v>
      </c>
      <c r="I44" s="41">
        <f>'Water Heater Stock'!I13</f>
        <v>2021</v>
      </c>
      <c r="J44" s="41">
        <f>'Water Heater Stock'!J13</f>
        <v>2022</v>
      </c>
      <c r="K44" s="41">
        <f>'Water Heater Stock'!K13</f>
        <v>2023</v>
      </c>
      <c r="L44" s="41">
        <f>'Water Heater Stock'!L13</f>
        <v>2024</v>
      </c>
      <c r="M44" s="41">
        <f>'Water Heater Stock'!M13</f>
        <v>2025</v>
      </c>
      <c r="N44" s="41">
        <f>'Water Heater Stock'!N13</f>
        <v>2026</v>
      </c>
      <c r="O44" s="41">
        <f>'Water Heater Stock'!O13</f>
        <v>2027</v>
      </c>
      <c r="P44" s="41">
        <f>'Water Heater Stock'!P13</f>
        <v>2028</v>
      </c>
      <c r="Q44" s="41">
        <f>'Water Heater Stock'!Q13</f>
        <v>2029</v>
      </c>
      <c r="R44" s="41">
        <f>'Water Heater Stock'!R13</f>
        <v>2030</v>
      </c>
      <c r="S44" s="41">
        <f>'Water Heater Stock'!S13</f>
        <v>2031</v>
      </c>
      <c r="T44" s="41">
        <f>'Water Heater Stock'!T13</f>
        <v>2032</v>
      </c>
      <c r="U44" s="41">
        <f>'Water Heater Stock'!U13</f>
        <v>2033</v>
      </c>
      <c r="V44" s="41">
        <f>'Water Heater Stock'!V13</f>
        <v>2034</v>
      </c>
      <c r="W44" s="41">
        <f>'Water Heater Stock'!W13</f>
        <v>2035</v>
      </c>
    </row>
    <row r="45" spans="1:23" ht="16.5" thickBot="1">
      <c r="A45" s="48" t="s">
        <v>45</v>
      </c>
      <c r="B45" s="49">
        <f t="shared" ref="B45:W45" si="10">SUM(B46:B50)</f>
        <v>23682.655716036264</v>
      </c>
      <c r="C45" s="49">
        <f t="shared" si="10"/>
        <v>22913.64907331816</v>
      </c>
      <c r="D45" s="49">
        <f t="shared" si="10"/>
        <v>22199.571476508496</v>
      </c>
      <c r="E45" s="49">
        <f t="shared" si="10"/>
        <v>21536.499422328092</v>
      </c>
      <c r="F45" s="49">
        <f t="shared" si="10"/>
        <v>20920.789657731999</v>
      </c>
      <c r="G45" s="49">
        <f t="shared" si="10"/>
        <v>20349.059162035632</v>
      </c>
      <c r="H45" s="49">
        <f t="shared" si="10"/>
        <v>19818.166558888999</v>
      </c>
      <c r="I45" s="49">
        <f t="shared" si="10"/>
        <v>19325.194855967129</v>
      </c>
      <c r="J45" s="49">
        <f t="shared" si="10"/>
        <v>18867.43541753968</v>
      </c>
      <c r="K45" s="49">
        <f t="shared" si="10"/>
        <v>18442.373081857048</v>
      </c>
      <c r="L45" s="49">
        <f t="shared" si="10"/>
        <v>18047.672341580317</v>
      </c>
      <c r="M45" s="49">
        <f t="shared" si="10"/>
        <v>17681.164511323354</v>
      </c>
      <c r="N45" s="49">
        <f t="shared" si="10"/>
        <v>17340.835811799028</v>
      </c>
      <c r="O45" s="49">
        <f t="shared" si="10"/>
        <v>17024.816305097869</v>
      </c>
      <c r="P45" s="49">
        <f t="shared" si="10"/>
        <v>16731.369620303936</v>
      </c>
      <c r="Q45" s="49">
        <f t="shared" si="10"/>
        <v>16458.883412995285</v>
      </c>
      <c r="R45" s="49">
        <f t="shared" si="10"/>
        <v>16205.860506208679</v>
      </c>
      <c r="S45" s="49">
        <f t="shared" si="10"/>
        <v>15970.910664192546</v>
      </c>
      <c r="T45" s="49">
        <f t="shared" si="10"/>
        <v>15752.742953748995</v>
      </c>
      <c r="U45" s="49">
        <f t="shared" si="10"/>
        <v>15550.158651194266</v>
      </c>
      <c r="V45" s="49">
        <f t="shared" si="10"/>
        <v>15362.044655964877</v>
      </c>
      <c r="W45" s="49">
        <f t="shared" si="10"/>
        <v>15187.367374680442</v>
      </c>
    </row>
    <row r="46" spans="1:23" ht="16.5" thickTop="1">
      <c r="A46" s="37" t="str">
        <f>'Device Energy Use'!A5</f>
        <v>Electric Resistance</v>
      </c>
      <c r="B46" s="33">
        <f>'Water Heater Stock'!B15*'Device Energy Use'!$B5/1000</f>
        <v>23682.655716036264</v>
      </c>
      <c r="C46" s="33">
        <f>'Water Heater Stock'!C15*'Device Energy Use'!$B5/1000</f>
        <v>21991.037450605101</v>
      </c>
      <c r="D46" s="33">
        <f>'Water Heater Stock'!D15*'Device Energy Use'!$B5/1000</f>
        <v>20420.249061276169</v>
      </c>
      <c r="E46" s="33">
        <f>'Water Heater Stock'!E15*'Device Energy Use'!$B5/1000</f>
        <v>18961.659842613586</v>
      </c>
      <c r="F46" s="33">
        <f>'Water Heater Stock'!F15*'Device Energy Use'!$B5/1000</f>
        <v>17607.255568141187</v>
      </c>
      <c r="G46" s="33">
        <f>'Water Heater Stock'!G15*'Device Energy Use'!$B5/1000</f>
        <v>16349.594456131104</v>
      </c>
      <c r="H46" s="33">
        <f>'Water Heater Stock'!H15*'Device Energy Use'!$B5/1000</f>
        <v>15181.766280693166</v>
      </c>
      <c r="I46" s="33">
        <f>'Water Heater Stock'!I15*'Device Energy Use'!$B5/1000</f>
        <v>14097.354403500798</v>
      </c>
      <c r="J46" s="33">
        <f>'Water Heater Stock'!J15*'Device Energy Use'!$B5/1000</f>
        <v>13090.400517536456</v>
      </c>
      <c r="K46" s="33">
        <f>'Water Heater Stock'!K15*'Device Energy Use'!$B5/1000</f>
        <v>12155.371909140995</v>
      </c>
      <c r="L46" s="33">
        <f>'Water Heater Stock'!L15*'Device Energy Use'!$B5/1000</f>
        <v>11287.131058488065</v>
      </c>
      <c r="M46" s="33">
        <f>'Water Heater Stock'!M15*'Device Energy Use'!$B5/1000</f>
        <v>10480.907411453205</v>
      </c>
      <c r="N46" s="33">
        <f>'Water Heater Stock'!N15*'Device Energy Use'!$B5/1000</f>
        <v>9732.2711677779735</v>
      </c>
      <c r="O46" s="33">
        <f>'Water Heater Stock'!O15*'Device Energy Use'!$B5/1000</f>
        <v>9037.1089415081206</v>
      </c>
      <c r="P46" s="33">
        <f>'Water Heater Stock'!P15*'Device Energy Use'!$B5/1000</f>
        <v>8391.6011599718258</v>
      </c>
      <c r="Q46" s="33">
        <f>'Water Heater Stock'!Q15*'Device Energy Use'!$B5/1000</f>
        <v>7792.2010771166952</v>
      </c>
      <c r="R46" s="33">
        <f>'Water Heater Stock'!R15*'Device Energy Use'!$B5/1000</f>
        <v>7235.6152858940741</v>
      </c>
      <c r="S46" s="33">
        <f>'Water Heater Stock'!S15*'Device Energy Use'!$B5/1000</f>
        <v>6718.7856226159265</v>
      </c>
      <c r="T46" s="33">
        <f>'Water Heater Stock'!T15*'Device Energy Use'!$B5/1000</f>
        <v>6238.8723638576457</v>
      </c>
      <c r="U46" s="33">
        <f>'Water Heater Stock'!U15*'Device Energy Use'!$B5/1000</f>
        <v>5793.2386235820995</v>
      </c>
      <c r="V46" s="33">
        <f>'Water Heater Stock'!V15*'Device Energy Use'!$B5/1000</f>
        <v>5379.4358647548061</v>
      </c>
      <c r="W46" s="33">
        <f>'Water Heater Stock'!W15*'Device Energy Use'!$B5/1000</f>
        <v>4995.1904458437484</v>
      </c>
    </row>
    <row r="47" spans="1:23">
      <c r="A47" s="37" t="str">
        <f>'Device Energy Use'!A6</f>
        <v>HPWH</v>
      </c>
      <c r="B47" s="33">
        <f>'Water Heater Stock'!B16*'Device Energy Use'!$B6/1000</f>
        <v>0</v>
      </c>
      <c r="C47" s="33">
        <f>'Water Heater Stock'!C16*'Device Energy Use'!$B6/1000</f>
        <v>922.61162271305841</v>
      </c>
      <c r="D47" s="33">
        <f>'Water Heater Stock'!D16*'Device Energy Use'!$B6/1000</f>
        <v>1779.3224152323269</v>
      </c>
      <c r="E47" s="33">
        <f>'Water Heater Stock'!E16*'Device Energy Use'!$B6/1000</f>
        <v>2574.8395797145049</v>
      </c>
      <c r="F47" s="33">
        <f>'Water Heater Stock'!F16*'Device Energy Use'!$B6/1000</f>
        <v>3313.534089590813</v>
      </c>
      <c r="G47" s="33">
        <f>'Water Heater Stock'!G16*'Device Energy Use'!$B6/1000</f>
        <v>3999.4647059045278</v>
      </c>
      <c r="H47" s="33">
        <f>'Water Heater Stock'!H16*'Device Energy Use'!$B6/1000</f>
        <v>4636.4002781958334</v>
      </c>
      <c r="I47" s="33">
        <f>'Water Heater Stock'!I16*'Device Energy Use'!$B6/1000</f>
        <v>5227.8404524663329</v>
      </c>
      <c r="J47" s="33">
        <f>'Water Heater Stock'!J16*'Device Energy Use'!$B6/1000</f>
        <v>5777.0349000032256</v>
      </c>
      <c r="K47" s="33">
        <f>'Water Heater Stock'!K16*'Device Energy Use'!$B6/1000</f>
        <v>6287.0011727160545</v>
      </c>
      <c r="L47" s="33">
        <f>'Water Heater Stock'!L16*'Device Energy Use'!$B6/1000</f>
        <v>6760.5412830922514</v>
      </c>
      <c r="M47" s="33">
        <f>'Water Heater Stock'!M16*'Device Energy Use'!$B6/1000</f>
        <v>7200.2570998701494</v>
      </c>
      <c r="N47" s="33">
        <f>'Water Heater Stock'!N16*'Device Energy Use'!$B6/1000</f>
        <v>7608.5646440210539</v>
      </c>
      <c r="O47" s="33">
        <f>'Water Heater Stock'!O16*'Device Energy Use'!$B6/1000</f>
        <v>7987.7073635897505</v>
      </c>
      <c r="P47" s="33">
        <f>'Water Heater Stock'!P16*'Device Energy Use'!$B6/1000</f>
        <v>8339.7684603321122</v>
      </c>
      <c r="Q47" s="33">
        <f>'Water Heater Stock'!Q16*'Device Energy Use'!$B6/1000</f>
        <v>8666.6823358785896</v>
      </c>
      <c r="R47" s="33">
        <f>'Water Heater Stock'!R16*'Device Energy Use'!$B6/1000</f>
        <v>8970.2452203146058</v>
      </c>
      <c r="S47" s="33">
        <f>'Water Heater Stock'!S16*'Device Energy Use'!$B6/1000</f>
        <v>9252.1250415766208</v>
      </c>
      <c r="T47" s="33">
        <f>'Water Heater Stock'!T16*'Device Energy Use'!$B6/1000</f>
        <v>9513.8705898913486</v>
      </c>
      <c r="U47" s="33">
        <f>'Water Heater Stock'!U16*'Device Energy Use'!$B6/1000</f>
        <v>9756.9200276121665</v>
      </c>
      <c r="V47" s="33">
        <f>'Water Heater Stock'!V16*'Device Energy Use'!$B6/1000</f>
        <v>9982.6087912100702</v>
      </c>
      <c r="W47" s="33">
        <f>'Water Heater Stock'!W16*'Device Energy Use'!$B6/1000</f>
        <v>10192.176928836694</v>
      </c>
    </row>
    <row r="48" spans="1:23">
      <c r="A48" s="37" t="str">
        <f>'Device Energy Use'!A7</f>
        <v>Gas Tank</v>
      </c>
      <c r="B48" s="33">
        <f>'Water Heater Stock'!B17*'Device Energy Use'!$B7/1000</f>
        <v>0</v>
      </c>
      <c r="C48" s="33">
        <f>'Water Heater Stock'!C17*'Device Energy Use'!$B7/1000</f>
        <v>0</v>
      </c>
      <c r="D48" s="33">
        <f>'Water Heater Stock'!D17*'Device Energy Use'!$B7/1000</f>
        <v>0</v>
      </c>
      <c r="E48" s="33">
        <f>'Water Heater Stock'!E17*'Device Energy Use'!$B7/1000</f>
        <v>0</v>
      </c>
      <c r="F48" s="33">
        <f>'Water Heater Stock'!F17*'Device Energy Use'!$B7/1000</f>
        <v>0</v>
      </c>
      <c r="G48" s="33">
        <f>'Water Heater Stock'!G17*'Device Energy Use'!$B7/1000</f>
        <v>0</v>
      </c>
      <c r="H48" s="33">
        <f>'Water Heater Stock'!H17*'Device Energy Use'!$B7/1000</f>
        <v>0</v>
      </c>
      <c r="I48" s="33">
        <f>'Water Heater Stock'!I17*'Device Energy Use'!$B7/1000</f>
        <v>0</v>
      </c>
      <c r="J48" s="33">
        <f>'Water Heater Stock'!J17*'Device Energy Use'!$B7/1000</f>
        <v>0</v>
      </c>
      <c r="K48" s="33">
        <f>'Water Heater Stock'!K17*'Device Energy Use'!$B7/1000</f>
        <v>0</v>
      </c>
      <c r="L48" s="33">
        <f>'Water Heater Stock'!L17*'Device Energy Use'!$B7/1000</f>
        <v>0</v>
      </c>
      <c r="M48" s="33">
        <f>'Water Heater Stock'!M17*'Device Energy Use'!$B7/1000</f>
        <v>0</v>
      </c>
      <c r="N48" s="33">
        <f>'Water Heater Stock'!N17*'Device Energy Use'!$B7/1000</f>
        <v>0</v>
      </c>
      <c r="O48" s="33">
        <f>'Water Heater Stock'!O17*'Device Energy Use'!$B7/1000</f>
        <v>0</v>
      </c>
      <c r="P48" s="33">
        <f>'Water Heater Stock'!P17*'Device Energy Use'!$B7/1000</f>
        <v>0</v>
      </c>
      <c r="Q48" s="33">
        <f>'Water Heater Stock'!Q17*'Device Energy Use'!$B7/1000</f>
        <v>0</v>
      </c>
      <c r="R48" s="33">
        <f>'Water Heater Stock'!R17*'Device Energy Use'!$B7/1000</f>
        <v>0</v>
      </c>
      <c r="S48" s="33">
        <f>'Water Heater Stock'!S17*'Device Energy Use'!$B7/1000</f>
        <v>0</v>
      </c>
      <c r="T48" s="33">
        <f>'Water Heater Stock'!T17*'Device Energy Use'!$B7/1000</f>
        <v>0</v>
      </c>
      <c r="U48" s="33">
        <f>'Water Heater Stock'!U17*'Device Energy Use'!$B7/1000</f>
        <v>0</v>
      </c>
      <c r="V48" s="33">
        <f>'Water Heater Stock'!V17*'Device Energy Use'!$B7/1000</f>
        <v>0</v>
      </c>
      <c r="W48" s="33">
        <f>'Water Heater Stock'!W17*'Device Energy Use'!$B7/1000</f>
        <v>0</v>
      </c>
    </row>
    <row r="49" spans="1:23">
      <c r="A49" s="37" t="str">
        <f>'Device Energy Use'!A8</f>
        <v>Instant Gas</v>
      </c>
      <c r="B49" s="33">
        <f>'Water Heater Stock'!B18*'Device Energy Use'!$B8/1000</f>
        <v>0</v>
      </c>
      <c r="C49" s="33">
        <f>'Water Heater Stock'!C18*'Device Energy Use'!$B8/1000</f>
        <v>0</v>
      </c>
      <c r="D49" s="33">
        <f>'Water Heater Stock'!D18*'Device Energy Use'!$B8/1000</f>
        <v>0</v>
      </c>
      <c r="E49" s="33">
        <f>'Water Heater Stock'!E18*'Device Energy Use'!$B8/1000</f>
        <v>0</v>
      </c>
      <c r="F49" s="33">
        <f>'Water Heater Stock'!F18*'Device Energy Use'!$B8/1000</f>
        <v>0</v>
      </c>
      <c r="G49" s="33">
        <f>'Water Heater Stock'!G18*'Device Energy Use'!$B8/1000</f>
        <v>0</v>
      </c>
      <c r="H49" s="33">
        <f>'Water Heater Stock'!H18*'Device Energy Use'!$B8/1000</f>
        <v>0</v>
      </c>
      <c r="I49" s="33">
        <f>'Water Heater Stock'!I18*'Device Energy Use'!$B8/1000</f>
        <v>0</v>
      </c>
      <c r="J49" s="33">
        <f>'Water Heater Stock'!J18*'Device Energy Use'!$B8/1000</f>
        <v>0</v>
      </c>
      <c r="K49" s="33">
        <f>'Water Heater Stock'!K18*'Device Energy Use'!$B8/1000</f>
        <v>0</v>
      </c>
      <c r="L49" s="33">
        <f>'Water Heater Stock'!L18*'Device Energy Use'!$B8/1000</f>
        <v>0</v>
      </c>
      <c r="M49" s="33">
        <f>'Water Heater Stock'!M18*'Device Energy Use'!$B8/1000</f>
        <v>0</v>
      </c>
      <c r="N49" s="33">
        <f>'Water Heater Stock'!N18*'Device Energy Use'!$B8/1000</f>
        <v>0</v>
      </c>
      <c r="O49" s="33">
        <f>'Water Heater Stock'!O18*'Device Energy Use'!$B8/1000</f>
        <v>0</v>
      </c>
      <c r="P49" s="33">
        <f>'Water Heater Stock'!P18*'Device Energy Use'!$B8/1000</f>
        <v>0</v>
      </c>
      <c r="Q49" s="33">
        <f>'Water Heater Stock'!Q18*'Device Energy Use'!$B8/1000</f>
        <v>0</v>
      </c>
      <c r="R49" s="33">
        <f>'Water Heater Stock'!R18*'Device Energy Use'!$B8/1000</f>
        <v>0</v>
      </c>
      <c r="S49" s="33">
        <f>'Water Heater Stock'!S18*'Device Energy Use'!$B8/1000</f>
        <v>0</v>
      </c>
      <c r="T49" s="33">
        <f>'Water Heater Stock'!T18*'Device Energy Use'!$B8/1000</f>
        <v>0</v>
      </c>
      <c r="U49" s="33">
        <f>'Water Heater Stock'!U18*'Device Energy Use'!$B8/1000</f>
        <v>0</v>
      </c>
      <c r="V49" s="33">
        <f>'Water Heater Stock'!V18*'Device Energy Use'!$B8/1000</f>
        <v>0</v>
      </c>
      <c r="W49" s="33">
        <f>'Water Heater Stock'!W18*'Device Energy Use'!$B8/1000</f>
        <v>0</v>
      </c>
    </row>
    <row r="50" spans="1:23">
      <c r="A50" s="37" t="str">
        <f>'Device Energy Use'!A9</f>
        <v>Condensing Gas</v>
      </c>
      <c r="B50" s="33">
        <f>'Water Heater Stock'!B19*'Device Energy Use'!$B9/1000</f>
        <v>0</v>
      </c>
      <c r="C50" s="33">
        <f>'Water Heater Stock'!C19*'Device Energy Use'!$B9/1000</f>
        <v>0</v>
      </c>
      <c r="D50" s="33">
        <f>'Water Heater Stock'!D19*'Device Energy Use'!$B9/1000</f>
        <v>0</v>
      </c>
      <c r="E50" s="33">
        <f>'Water Heater Stock'!E19*'Device Energy Use'!$B9/1000</f>
        <v>0</v>
      </c>
      <c r="F50" s="33">
        <f>'Water Heater Stock'!F19*'Device Energy Use'!$B9/1000</f>
        <v>0</v>
      </c>
      <c r="G50" s="33">
        <f>'Water Heater Stock'!G19*'Device Energy Use'!$B9/1000</f>
        <v>0</v>
      </c>
      <c r="H50" s="33">
        <f>'Water Heater Stock'!H19*'Device Energy Use'!$B9/1000</f>
        <v>0</v>
      </c>
      <c r="I50" s="33">
        <f>'Water Heater Stock'!I19*'Device Energy Use'!$B9/1000</f>
        <v>0</v>
      </c>
      <c r="J50" s="33">
        <f>'Water Heater Stock'!J19*'Device Energy Use'!$B9/1000</f>
        <v>0</v>
      </c>
      <c r="K50" s="33">
        <f>'Water Heater Stock'!K19*'Device Energy Use'!$B9/1000</f>
        <v>0</v>
      </c>
      <c r="L50" s="33">
        <f>'Water Heater Stock'!L19*'Device Energy Use'!$B9/1000</f>
        <v>0</v>
      </c>
      <c r="M50" s="33">
        <f>'Water Heater Stock'!M19*'Device Energy Use'!$B9/1000</f>
        <v>0</v>
      </c>
      <c r="N50" s="33">
        <f>'Water Heater Stock'!N19*'Device Energy Use'!$B9/1000</f>
        <v>0</v>
      </c>
      <c r="O50" s="33">
        <f>'Water Heater Stock'!O19*'Device Energy Use'!$B9/1000</f>
        <v>0</v>
      </c>
      <c r="P50" s="33">
        <f>'Water Heater Stock'!P19*'Device Energy Use'!$B9/1000</f>
        <v>0</v>
      </c>
      <c r="Q50" s="33">
        <f>'Water Heater Stock'!Q19*'Device Energy Use'!$B9/1000</f>
        <v>0</v>
      </c>
      <c r="R50" s="33">
        <f>'Water Heater Stock'!R19*'Device Energy Use'!$B9/1000</f>
        <v>0</v>
      </c>
      <c r="S50" s="33">
        <f>'Water Heater Stock'!S19*'Device Energy Use'!$B9/1000</f>
        <v>0</v>
      </c>
      <c r="T50" s="33">
        <f>'Water Heater Stock'!T19*'Device Energy Use'!$B9/1000</f>
        <v>0</v>
      </c>
      <c r="U50" s="33">
        <f>'Water Heater Stock'!U19*'Device Energy Use'!$B9/1000</f>
        <v>0</v>
      </c>
      <c r="V50" s="33">
        <f>'Water Heater Stock'!V19*'Device Energy Use'!$B9/1000</f>
        <v>0</v>
      </c>
      <c r="W50" s="33">
        <f>'Water Heater Stock'!W19*'Device Energy Use'!$B9/1000</f>
        <v>0</v>
      </c>
    </row>
    <row r="51" spans="1:23">
      <c r="A51" s="37"/>
    </row>
    <row r="52" spans="1:23">
      <c r="A52" s="12" t="s">
        <v>47</v>
      </c>
    </row>
    <row r="53" spans="1:23">
      <c r="A53" s="38" t="str">
        <f>'Device Energy Use'!A4</f>
        <v>Water Heat Ending</v>
      </c>
      <c r="B53" s="41">
        <f>'Water Heater Stock'!B4</f>
        <v>2014</v>
      </c>
      <c r="C53" s="41">
        <f>'Water Heater Stock'!C4</f>
        <v>2015</v>
      </c>
      <c r="D53" s="41">
        <f>'Water Heater Stock'!D4</f>
        <v>2016</v>
      </c>
      <c r="E53" s="41">
        <f>'Water Heater Stock'!E4</f>
        <v>2017</v>
      </c>
      <c r="F53" s="41">
        <f>'Water Heater Stock'!F4</f>
        <v>2018</v>
      </c>
      <c r="G53" s="41">
        <f>'Water Heater Stock'!G4</f>
        <v>2019</v>
      </c>
      <c r="H53" s="41">
        <f>'Water Heater Stock'!H4</f>
        <v>2020</v>
      </c>
      <c r="I53" s="41">
        <f>'Water Heater Stock'!I4</f>
        <v>2021</v>
      </c>
      <c r="J53" s="41">
        <f>'Water Heater Stock'!J4</f>
        <v>2022</v>
      </c>
      <c r="K53" s="41">
        <f>'Water Heater Stock'!K4</f>
        <v>2023</v>
      </c>
      <c r="L53" s="41">
        <f>'Water Heater Stock'!L4</f>
        <v>2024</v>
      </c>
      <c r="M53" s="41">
        <f>'Water Heater Stock'!M4</f>
        <v>2025</v>
      </c>
      <c r="N53" s="41">
        <f>'Water Heater Stock'!N4</f>
        <v>2026</v>
      </c>
      <c r="O53" s="41">
        <f>'Water Heater Stock'!O4</f>
        <v>2027</v>
      </c>
      <c r="P53" s="41">
        <f>'Water Heater Stock'!P4</f>
        <v>2028</v>
      </c>
      <c r="Q53" s="41">
        <f>'Water Heater Stock'!Q4</f>
        <v>2029</v>
      </c>
      <c r="R53" s="41">
        <f>'Water Heater Stock'!R4</f>
        <v>2030</v>
      </c>
      <c r="S53" s="41">
        <f>'Water Heater Stock'!S4</f>
        <v>2031</v>
      </c>
      <c r="T53" s="41">
        <f>'Water Heater Stock'!T4</f>
        <v>2032</v>
      </c>
      <c r="U53" s="41">
        <f>'Water Heater Stock'!U4</f>
        <v>2033</v>
      </c>
      <c r="V53" s="41">
        <f>'Water Heater Stock'!V4</f>
        <v>2034</v>
      </c>
      <c r="W53" s="41">
        <f>'Water Heater Stock'!W4</f>
        <v>2035</v>
      </c>
    </row>
    <row r="54" spans="1:23" ht="16.5" thickBot="1">
      <c r="A54" s="48" t="s">
        <v>45</v>
      </c>
      <c r="B54" s="49">
        <f t="shared" ref="B54:W54" si="11">SUM(B55:B59)</f>
        <v>0</v>
      </c>
      <c r="C54" s="49">
        <f t="shared" si="11"/>
        <v>4038.4102141470162</v>
      </c>
      <c r="D54" s="49">
        <f t="shared" si="11"/>
        <v>7795.3999953716211</v>
      </c>
      <c r="E54" s="49">
        <f t="shared" si="11"/>
        <v>11291.050517045787</v>
      </c>
      <c r="F54" s="49">
        <f t="shared" si="11"/>
        <v>14544.007626318897</v>
      </c>
      <c r="G54" s="49">
        <f t="shared" si="11"/>
        <v>17571.584367558662</v>
      </c>
      <c r="H54" s="49">
        <f t="shared" si="11"/>
        <v>20389.856183014279</v>
      </c>
      <c r="I54" s="49">
        <f t="shared" si="11"/>
        <v>23013.749313756965</v>
      </c>
      <c r="J54" s="49">
        <f t="shared" si="11"/>
        <v>25457.122886591394</v>
      </c>
      <c r="K54" s="49">
        <f t="shared" si="11"/>
        <v>27732.845137939144</v>
      </c>
      <c r="L54" s="49">
        <f t="shared" si="11"/>
        <v>29852.864193480425</v>
      </c>
      <c r="M54" s="49">
        <f t="shared" si="11"/>
        <v>31828.273792426913</v>
      </c>
      <c r="N54" s="49">
        <f t="shared" si="11"/>
        <v>33669.374317521637</v>
      </c>
      <c r="O54" s="49">
        <f t="shared" si="11"/>
        <v>35385.729466068842</v>
      </c>
      <c r="P54" s="49">
        <f t="shared" si="11"/>
        <v>36986.218873346588</v>
      </c>
      <c r="Q54" s="49">
        <f t="shared" si="11"/>
        <v>38479.086977514889</v>
      </c>
      <c r="R54" s="49">
        <f t="shared" si="11"/>
        <v>39871.988394481079</v>
      </c>
      <c r="S54" s="49">
        <f t="shared" si="11"/>
        <v>41172.0300520081</v>
      </c>
      <c r="T54" s="49">
        <f t="shared" si="11"/>
        <v>42385.810314544986</v>
      </c>
      <c r="U54" s="49">
        <f t="shared" si="11"/>
        <v>43519.455313724349</v>
      </c>
      <c r="V54" s="49">
        <f t="shared" si="11"/>
        <v>44578.652684118249</v>
      </c>
      <c r="W54" s="49">
        <f t="shared" si="11"/>
        <v>45568.682889587268</v>
      </c>
    </row>
    <row r="55" spans="1:23" ht="16.5" thickTop="1">
      <c r="A55" s="37" t="str">
        <f>'Device Energy Use'!A5</f>
        <v>Electric Resistance</v>
      </c>
      <c r="B55" s="33">
        <f>'Water Heater Stock'!B6*'Device Energy Use'!$C5</f>
        <v>0</v>
      </c>
      <c r="C55" s="33">
        <f>'Water Heater Stock'!C6*'Device Energy Use'!$C5</f>
        <v>0</v>
      </c>
      <c r="D55" s="33">
        <f>'Water Heater Stock'!D6*'Device Energy Use'!$C5</f>
        <v>0</v>
      </c>
      <c r="E55" s="33">
        <f>'Water Heater Stock'!E6*'Device Energy Use'!$C5</f>
        <v>0</v>
      </c>
      <c r="F55" s="33">
        <f>'Water Heater Stock'!F6*'Device Energy Use'!$C5</f>
        <v>0</v>
      </c>
      <c r="G55" s="33">
        <f>'Water Heater Stock'!G6*'Device Energy Use'!$C5</f>
        <v>0</v>
      </c>
      <c r="H55" s="33">
        <f>'Water Heater Stock'!H6*'Device Energy Use'!$C5</f>
        <v>0</v>
      </c>
      <c r="I55" s="33">
        <f>'Water Heater Stock'!I6*'Device Energy Use'!$C5</f>
        <v>0</v>
      </c>
      <c r="J55" s="33">
        <f>'Water Heater Stock'!J6*'Device Energy Use'!$C5</f>
        <v>0</v>
      </c>
      <c r="K55" s="33">
        <f>'Water Heater Stock'!K6*'Device Energy Use'!$C5</f>
        <v>0</v>
      </c>
      <c r="L55" s="33">
        <f>'Water Heater Stock'!L6*'Device Energy Use'!$C5</f>
        <v>0</v>
      </c>
      <c r="M55" s="33">
        <f>'Water Heater Stock'!M6*'Device Energy Use'!$C5</f>
        <v>0</v>
      </c>
      <c r="N55" s="33">
        <f>'Water Heater Stock'!N6*'Device Energy Use'!$C5</f>
        <v>0</v>
      </c>
      <c r="O55" s="33">
        <f>'Water Heater Stock'!O6*'Device Energy Use'!$C5</f>
        <v>0</v>
      </c>
      <c r="P55" s="33">
        <f>'Water Heater Stock'!P6*'Device Energy Use'!$C5</f>
        <v>0</v>
      </c>
      <c r="Q55" s="33">
        <f>'Water Heater Stock'!Q6*'Device Energy Use'!$C5</f>
        <v>0</v>
      </c>
      <c r="R55" s="33">
        <f>'Water Heater Stock'!R6*'Device Energy Use'!$C5</f>
        <v>0</v>
      </c>
      <c r="S55" s="33">
        <f>'Water Heater Stock'!S6*'Device Energy Use'!$C5</f>
        <v>0</v>
      </c>
      <c r="T55" s="33">
        <f>'Water Heater Stock'!T6*'Device Energy Use'!$C5</f>
        <v>0</v>
      </c>
      <c r="U55" s="33">
        <f>'Water Heater Stock'!U6*'Device Energy Use'!$C5</f>
        <v>0</v>
      </c>
      <c r="V55" s="33">
        <f>'Water Heater Stock'!V6*'Device Energy Use'!$C5</f>
        <v>0</v>
      </c>
      <c r="W55" s="33">
        <f>'Water Heater Stock'!W6*'Device Energy Use'!$C5</f>
        <v>0</v>
      </c>
    </row>
    <row r="56" spans="1:23">
      <c r="A56" s="37" t="str">
        <f>'Device Energy Use'!A6</f>
        <v>HPWH</v>
      </c>
      <c r="B56" s="33">
        <f>'Water Heater Stock'!B7*'Device Energy Use'!$C6</f>
        <v>0</v>
      </c>
      <c r="C56" s="33">
        <f>'Water Heater Stock'!C7*'Device Energy Use'!$C6</f>
        <v>0</v>
      </c>
      <c r="D56" s="33">
        <f>'Water Heater Stock'!D7*'Device Energy Use'!$C6</f>
        <v>0</v>
      </c>
      <c r="E56" s="33">
        <f>'Water Heater Stock'!E7*'Device Energy Use'!$C6</f>
        <v>0</v>
      </c>
      <c r="F56" s="33">
        <f>'Water Heater Stock'!F7*'Device Energy Use'!$C6</f>
        <v>0</v>
      </c>
      <c r="G56" s="33">
        <f>'Water Heater Stock'!G7*'Device Energy Use'!$C6</f>
        <v>0</v>
      </c>
      <c r="H56" s="33">
        <f>'Water Heater Stock'!H7*'Device Energy Use'!$C6</f>
        <v>0</v>
      </c>
      <c r="I56" s="33">
        <f>'Water Heater Stock'!I7*'Device Energy Use'!$C6</f>
        <v>0</v>
      </c>
      <c r="J56" s="33">
        <f>'Water Heater Stock'!J7*'Device Energy Use'!$C6</f>
        <v>0</v>
      </c>
      <c r="K56" s="33">
        <f>'Water Heater Stock'!K7*'Device Energy Use'!$C6</f>
        <v>0</v>
      </c>
      <c r="L56" s="33">
        <f>'Water Heater Stock'!L7*'Device Energy Use'!$C6</f>
        <v>0</v>
      </c>
      <c r="M56" s="33">
        <f>'Water Heater Stock'!M7*'Device Energy Use'!$C6</f>
        <v>0</v>
      </c>
      <c r="N56" s="33">
        <f>'Water Heater Stock'!N7*'Device Energy Use'!$C6</f>
        <v>0</v>
      </c>
      <c r="O56" s="33">
        <f>'Water Heater Stock'!O7*'Device Energy Use'!$C6</f>
        <v>0</v>
      </c>
      <c r="P56" s="33">
        <f>'Water Heater Stock'!P7*'Device Energy Use'!$C6</f>
        <v>0</v>
      </c>
      <c r="Q56" s="33">
        <f>'Water Heater Stock'!Q7*'Device Energy Use'!$C6</f>
        <v>0</v>
      </c>
      <c r="R56" s="33">
        <f>'Water Heater Stock'!R7*'Device Energy Use'!$C6</f>
        <v>0</v>
      </c>
      <c r="S56" s="33">
        <f>'Water Heater Stock'!S7*'Device Energy Use'!$C6</f>
        <v>0</v>
      </c>
      <c r="T56" s="33">
        <f>'Water Heater Stock'!T7*'Device Energy Use'!$C6</f>
        <v>0</v>
      </c>
      <c r="U56" s="33">
        <f>'Water Heater Stock'!U7*'Device Energy Use'!$C6</f>
        <v>0</v>
      </c>
      <c r="V56" s="33">
        <f>'Water Heater Stock'!V7*'Device Energy Use'!$C6</f>
        <v>0</v>
      </c>
      <c r="W56" s="33">
        <f>'Water Heater Stock'!W7*'Device Energy Use'!$C6</f>
        <v>0</v>
      </c>
    </row>
    <row r="57" spans="1:23">
      <c r="A57" s="37" t="str">
        <f>'Device Energy Use'!A7</f>
        <v>Gas Tank</v>
      </c>
      <c r="B57" s="33">
        <f>'Water Heater Stock'!B8*'Device Energy Use'!$C7</f>
        <v>0</v>
      </c>
      <c r="C57" s="33">
        <f>'Water Heater Stock'!C8*'Device Energy Use'!$C7</f>
        <v>0.43577297016666522</v>
      </c>
      <c r="D57" s="33">
        <f>'Water Heater Stock'!D8*'Device Energy Use'!$C7</f>
        <v>0.83666094928209023</v>
      </c>
      <c r="E57" s="33">
        <f>'Water Heater Stock'!E8*'Device Energy Use'!$C7</f>
        <v>1.2051784322754946</v>
      </c>
      <c r="F57" s="33">
        <f>'Water Heater Stock'!F8*'Device Energy Use'!$C7</f>
        <v>1.5436605901610221</v>
      </c>
      <c r="G57" s="33">
        <f>'Water Heater Stock'!G8*'Device Energy Use'!$C7</f>
        <v>1.8542760688143569</v>
      </c>
      <c r="H57" s="33">
        <f>'Water Heater Stock'!H8*'Device Energy Use'!$C7</f>
        <v>2.1390388735354682</v>
      </c>
      <c r="I57" s="33">
        <f>'Water Heater Stock'!I8*'Device Energy Use'!$C7</f>
        <v>2.3998194047067312</v>
      </c>
      <c r="J57" s="33">
        <f>'Water Heater Stock'!J8*'Device Energy Use'!$C7</f>
        <v>2.6383547051905665</v>
      </c>
      <c r="K57" s="33">
        <f>'Water Heater Stock'!K8*'Device Energy Use'!$C7</f>
        <v>2.8562579757789148</v>
      </c>
      <c r="L57" s="33">
        <f>'Water Heater Stock'!L8*'Device Energy Use'!$C7</f>
        <v>3.0550274109843758</v>
      </c>
      <c r="M57" s="33">
        <f>'Water Heater Stock'!M8*'Device Energy Use'!$C7</f>
        <v>3.236054403727731</v>
      </c>
      <c r="N57" s="33">
        <f>'Water Heater Stock'!N8*'Device Energy Use'!$C7</f>
        <v>3.4006311640081925</v>
      </c>
      <c r="O57" s="33">
        <f>'Water Heater Stock'!O8*'Device Energy Use'!$C7</f>
        <v>3.5499577934221049</v>
      </c>
      <c r="P57" s="33">
        <f>'Water Heater Stock'!P8*'Device Energy Use'!$C7</f>
        <v>3.685148854405246</v>
      </c>
      <c r="Q57" s="33">
        <f>'Water Heater Stock'!Q8*'Device Energy Use'!$C7</f>
        <v>3.8072394702968744</v>
      </c>
      <c r="R57" s="33">
        <f>'Water Heater Stock'!R8*'Device Energy Use'!$C7</f>
        <v>3.9171909897450763</v>
      </c>
      <c r="S57" s="33">
        <f>'Water Heater Stock'!S8*'Device Energy Use'!$C7</f>
        <v>4.0158962465784658</v>
      </c>
      <c r="T57" s="33">
        <f>'Water Heater Stock'!T8*'Device Energy Use'!$C7</f>
        <v>4.1041844440459201</v>
      </c>
      <c r="U57" s="33">
        <f>'Water Heater Stock'!U8*'Device Energy Use'!$C7</f>
        <v>4.1828256902613949</v>
      </c>
      <c r="V57" s="33">
        <f>'Water Heater Stock'!V8*'Device Energy Use'!$C7</f>
        <v>4.2525352097737041</v>
      </c>
      <c r="W57" s="33">
        <f>'Water Heater Stock'!W8*'Device Energy Use'!$C7</f>
        <v>4.3139772544009958</v>
      </c>
    </row>
    <row r="58" spans="1:23">
      <c r="A58" s="37" t="str">
        <f>'Device Energy Use'!A8</f>
        <v>Instant Gas</v>
      </c>
      <c r="B58" s="33">
        <f>'Water Heater Stock'!B9*'Device Energy Use'!$C8</f>
        <v>0</v>
      </c>
      <c r="C58" s="33">
        <f>'Water Heater Stock'!C9*'Device Energy Use'!$C8</f>
        <v>1114.9435531130569</v>
      </c>
      <c r="D58" s="33">
        <f>'Water Heater Stock'!D9*'Device Energy Use'!$C8</f>
        <v>2155.665014302595</v>
      </c>
      <c r="E58" s="33">
        <f>'Water Heater Stock'!E9*'Device Energy Use'!$C8</f>
        <v>3127.5009591905259</v>
      </c>
      <c r="F58" s="33">
        <f>'Water Heater Stock'!F9*'Device Energy Use'!$C8</f>
        <v>4035.406540874013</v>
      </c>
      <c r="G58" s="33">
        <f>'Water Heater Stock'!G9*'Device Energy Use'!$C8</f>
        <v>4883.9827214816241</v>
      </c>
      <c r="H58" s="33">
        <f>'Water Heater Stock'!H9*'Device Energy Use'!$C8</f>
        <v>5677.5015584658449</v>
      </c>
      <c r="I58" s="33">
        <f>'Water Heater Stock'!I9*'Device Energy Use'!$C8</f>
        <v>6419.9296845844356</v>
      </c>
      <c r="J58" s="33">
        <f>'Water Heater Stock'!J9*'Device Energy Use'!$C8</f>
        <v>7114.9501105981444</v>
      </c>
      <c r="K58" s="33">
        <f>'Water Heater Stock'!K9*'Device Energy Use'!$C8</f>
        <v>7765.9824704964158</v>
      </c>
      <c r="L58" s="33">
        <f>'Water Heater Stock'!L9*'Device Energy Use'!$C8</f>
        <v>8376.2018205049553</v>
      </c>
      <c r="M58" s="33">
        <f>'Water Heater Stock'!M9*'Device Energy Use'!$C8</f>
        <v>8948.5560951826756</v>
      </c>
      <c r="N58" s="33">
        <f>'Water Heater Stock'!N9*'Device Energy Use'!$C8</f>
        <v>9485.7823165366553</v>
      </c>
      <c r="O58" s="33">
        <f>'Water Heater Stock'!O9*'Device Energy Use'!$C8</f>
        <v>9990.4216452320397</v>
      </c>
      <c r="P58" s="33">
        <f>'Water Heater Stock'!P9*'Device Energy Use'!$C8</f>
        <v>10464.833356611423</v>
      </c>
      <c r="Q58" s="33">
        <f>'Water Heater Stock'!Q9*'Device Energy Use'!$C8</f>
        <v>10911.20781833038</v>
      </c>
      <c r="R58" s="33">
        <f>'Water Heater Stock'!R9*'Device Energy Use'!$C8</f>
        <v>11331.578540929893</v>
      </c>
      <c r="S58" s="33">
        <f>'Water Heater Stock'!S9*'Device Energy Use'!$C8</f>
        <v>11727.833367572381</v>
      </c>
      <c r="T58" s="33">
        <f>'Water Heater Stock'!T9*'Device Energy Use'!$C8</f>
        <v>12101.724864437796</v>
      </c>
      <c r="U58" s="33">
        <f>'Water Heater Stock'!U9*'Device Energy Use'!$C8</f>
        <v>12454.879968883988</v>
      </c>
      <c r="V58" s="33">
        <f>'Water Heater Stock'!V9*'Device Energy Use'!$C8</f>
        <v>12788.808948396871</v>
      </c>
      <c r="W58" s="33">
        <f>'Water Heater Stock'!W9*'Device Energy Use'!$C8</f>
        <v>13104.913719568684</v>
      </c>
    </row>
    <row r="59" spans="1:23">
      <c r="A59" s="37" t="str">
        <f>'Device Energy Use'!A9</f>
        <v>Condensing Gas</v>
      </c>
      <c r="B59" s="33">
        <f>'Water Heater Stock'!B10*'Device Energy Use'!$C9</f>
        <v>0</v>
      </c>
      <c r="C59" s="33">
        <f>'Water Heater Stock'!C10*'Device Energy Use'!$C9</f>
        <v>2923.0308880637926</v>
      </c>
      <c r="D59" s="33">
        <f>'Water Heater Stock'!D10*'Device Energy Use'!$C9</f>
        <v>5638.8983201197443</v>
      </c>
      <c r="E59" s="33">
        <f>'Water Heater Stock'!E10*'Device Energy Use'!$C9</f>
        <v>8162.3443794229852</v>
      </c>
      <c r="F59" s="33">
        <f>'Water Heater Stock'!F10*'Device Energy Use'!$C9</f>
        <v>10507.057424854724</v>
      </c>
      <c r="G59" s="33">
        <f>'Water Heater Stock'!G10*'Device Energy Use'!$C9</f>
        <v>12685.747370008223</v>
      </c>
      <c r="H59" s="33">
        <f>'Water Heater Stock'!H10*'Device Energy Use'!$C9</f>
        <v>14710.2155856749</v>
      </c>
      <c r="I59" s="33">
        <f>'Water Heater Stock'!I10*'Device Energy Use'!$C9</f>
        <v>16591.419809767824</v>
      </c>
      <c r="J59" s="33">
        <f>'Water Heater Stock'!J10*'Device Energy Use'!$C9</f>
        <v>18339.534421288059</v>
      </c>
      <c r="K59" s="33">
        <f>'Water Heater Stock'!K10*'Device Energy Use'!$C9</f>
        <v>19964.006409466951</v>
      </c>
      <c r="L59" s="33">
        <f>'Water Heater Stock'!L10*'Device Energy Use'!$C9</f>
        <v>21473.607345564484</v>
      </c>
      <c r="M59" s="33">
        <f>'Water Heater Stock'!M10*'Device Energy Use'!$C9</f>
        <v>22876.48164284051</v>
      </c>
      <c r="N59" s="33">
        <f>'Water Heater Stock'!N10*'Device Energy Use'!$C9</f>
        <v>24180.191369820976</v>
      </c>
      <c r="O59" s="33">
        <f>'Water Heater Stock'!O10*'Device Energy Use'!$C9</f>
        <v>25391.757863043382</v>
      </c>
      <c r="P59" s="33">
        <f>'Water Heater Stock'!P10*'Device Energy Use'!$C9</f>
        <v>26517.700367880763</v>
      </c>
      <c r="Q59" s="33">
        <f>'Water Heater Stock'!Q10*'Device Energy Use'!$C9</f>
        <v>27564.071919714213</v>
      </c>
      <c r="R59" s="33">
        <f>'Water Heater Stock'!R10*'Device Energy Use'!$C9</f>
        <v>28536.492662561439</v>
      </c>
      <c r="S59" s="33">
        <f>'Water Heater Stock'!S10*'Device Energy Use'!$C9</f>
        <v>29440.18078818914</v>
      </c>
      <c r="T59" s="33">
        <f>'Water Heater Stock'!T10*'Device Energy Use'!$C9</f>
        <v>30279.981265663147</v>
      </c>
      <c r="U59" s="33">
        <f>'Water Heater Stock'!U10*'Device Energy Use'!$C9</f>
        <v>31060.392519150097</v>
      </c>
      <c r="V59" s="33">
        <f>'Water Heater Stock'!V10*'Device Energy Use'!$C9</f>
        <v>31785.591200511608</v>
      </c>
      <c r="W59" s="33">
        <f>'Water Heater Stock'!W10*'Device Energy Use'!$C9</f>
        <v>32459.455192764181</v>
      </c>
    </row>
    <row r="61" spans="1:23">
      <c r="A61" s="12" t="s">
        <v>100</v>
      </c>
    </row>
    <row r="62" spans="1:23">
      <c r="A62" s="38" t="str">
        <f>'Device Energy Use'!A4</f>
        <v>Water Heat Ending</v>
      </c>
      <c r="B62" s="41">
        <f>'Water Heater Stock'!B13</f>
        <v>2014</v>
      </c>
      <c r="C62" s="41">
        <f>'Water Heater Stock'!C13</f>
        <v>2015</v>
      </c>
      <c r="D62" s="41">
        <f>'Water Heater Stock'!D13</f>
        <v>2016</v>
      </c>
      <c r="E62" s="41">
        <f>'Water Heater Stock'!E13</f>
        <v>2017</v>
      </c>
      <c r="F62" s="41">
        <f>'Water Heater Stock'!F13</f>
        <v>2018</v>
      </c>
      <c r="G62" s="41">
        <f>'Water Heater Stock'!G13</f>
        <v>2019</v>
      </c>
      <c r="H62" s="41">
        <f>'Water Heater Stock'!H13</f>
        <v>2020</v>
      </c>
      <c r="I62" s="41">
        <f>'Water Heater Stock'!I13</f>
        <v>2021</v>
      </c>
      <c r="J62" s="41">
        <f>'Water Heater Stock'!J13</f>
        <v>2022</v>
      </c>
      <c r="K62" s="41">
        <f>'Water Heater Stock'!K13</f>
        <v>2023</v>
      </c>
      <c r="L62" s="41">
        <f>'Water Heater Stock'!L13</f>
        <v>2024</v>
      </c>
      <c r="M62" s="41">
        <f>'Water Heater Stock'!M13</f>
        <v>2025</v>
      </c>
      <c r="N62" s="41">
        <f>'Water Heater Stock'!N13</f>
        <v>2026</v>
      </c>
      <c r="O62" s="41">
        <f>'Water Heater Stock'!O13</f>
        <v>2027</v>
      </c>
      <c r="P62" s="41">
        <f>'Water Heater Stock'!P13</f>
        <v>2028</v>
      </c>
      <c r="Q62" s="41">
        <f>'Water Heater Stock'!Q13</f>
        <v>2029</v>
      </c>
      <c r="R62" s="41">
        <f>'Water Heater Stock'!R13</f>
        <v>2030</v>
      </c>
      <c r="S62" s="41">
        <f>'Water Heater Stock'!S13</f>
        <v>2031</v>
      </c>
      <c r="T62" s="41">
        <f>'Water Heater Stock'!T13</f>
        <v>2032</v>
      </c>
      <c r="U62" s="41">
        <f>'Water Heater Stock'!U13</f>
        <v>2033</v>
      </c>
      <c r="V62" s="41">
        <f>'Water Heater Stock'!V13</f>
        <v>2034</v>
      </c>
      <c r="W62" s="41">
        <f>'Water Heater Stock'!W13</f>
        <v>2035</v>
      </c>
    </row>
    <row r="63" spans="1:23" ht="16.5" thickBot="1">
      <c r="A63" s="48" t="s">
        <v>45</v>
      </c>
      <c r="B63" s="49">
        <f t="shared" ref="B63:W63" si="12">SUM(B64:B68)</f>
        <v>0</v>
      </c>
      <c r="C63" s="49">
        <f t="shared" si="12"/>
        <v>0</v>
      </c>
      <c r="D63" s="49">
        <f t="shared" si="12"/>
        <v>0</v>
      </c>
      <c r="E63" s="49">
        <f t="shared" si="12"/>
        <v>0</v>
      </c>
      <c r="F63" s="49">
        <f t="shared" si="12"/>
        <v>0</v>
      </c>
      <c r="G63" s="49">
        <f t="shared" si="12"/>
        <v>0</v>
      </c>
      <c r="H63" s="49">
        <f t="shared" si="12"/>
        <v>0</v>
      </c>
      <c r="I63" s="49">
        <f t="shared" si="12"/>
        <v>0</v>
      </c>
      <c r="J63" s="49">
        <f t="shared" si="12"/>
        <v>0</v>
      </c>
      <c r="K63" s="49">
        <f t="shared" si="12"/>
        <v>0</v>
      </c>
      <c r="L63" s="49">
        <f t="shared" si="12"/>
        <v>0</v>
      </c>
      <c r="M63" s="49">
        <f t="shared" si="12"/>
        <v>0</v>
      </c>
      <c r="N63" s="49">
        <f t="shared" si="12"/>
        <v>0</v>
      </c>
      <c r="O63" s="49">
        <f t="shared" si="12"/>
        <v>0</v>
      </c>
      <c r="P63" s="49">
        <f t="shared" si="12"/>
        <v>0</v>
      </c>
      <c r="Q63" s="49">
        <f t="shared" si="12"/>
        <v>0</v>
      </c>
      <c r="R63" s="49">
        <f t="shared" si="12"/>
        <v>0</v>
      </c>
      <c r="S63" s="49">
        <f t="shared" si="12"/>
        <v>0</v>
      </c>
      <c r="T63" s="49">
        <f t="shared" si="12"/>
        <v>0</v>
      </c>
      <c r="U63" s="49">
        <f t="shared" si="12"/>
        <v>0</v>
      </c>
      <c r="V63" s="49">
        <f t="shared" si="12"/>
        <v>0</v>
      </c>
      <c r="W63" s="49">
        <f t="shared" si="12"/>
        <v>0</v>
      </c>
    </row>
    <row r="64" spans="1:23" ht="16.5" thickTop="1">
      <c r="A64" s="37" t="str">
        <f>'Device Energy Use'!A5</f>
        <v>Electric Resistance</v>
      </c>
      <c r="B64" s="33">
        <f>'Water Heater Stock'!B15*'Device Energy Use'!$C5</f>
        <v>0</v>
      </c>
      <c r="C64" s="33">
        <f>'Water Heater Stock'!C15*'Device Energy Use'!$C5</f>
        <v>0</v>
      </c>
      <c r="D64" s="33">
        <f>'Water Heater Stock'!D15*'Device Energy Use'!$C5</f>
        <v>0</v>
      </c>
      <c r="E64" s="33">
        <f>'Water Heater Stock'!E15*'Device Energy Use'!$C5</f>
        <v>0</v>
      </c>
      <c r="F64" s="33">
        <f>'Water Heater Stock'!F15*'Device Energy Use'!$C5</f>
        <v>0</v>
      </c>
      <c r="G64" s="33">
        <f>'Water Heater Stock'!G15*'Device Energy Use'!$C5</f>
        <v>0</v>
      </c>
      <c r="H64" s="33">
        <f>'Water Heater Stock'!H15*'Device Energy Use'!$C5</f>
        <v>0</v>
      </c>
      <c r="I64" s="33">
        <f>'Water Heater Stock'!I15*'Device Energy Use'!$C5</f>
        <v>0</v>
      </c>
      <c r="J64" s="33">
        <f>'Water Heater Stock'!J15*'Device Energy Use'!$C5</f>
        <v>0</v>
      </c>
      <c r="K64" s="33">
        <f>'Water Heater Stock'!K15*'Device Energy Use'!$C5</f>
        <v>0</v>
      </c>
      <c r="L64" s="33">
        <f>'Water Heater Stock'!L15*'Device Energy Use'!$C5</f>
        <v>0</v>
      </c>
      <c r="M64" s="33">
        <f>'Water Heater Stock'!M15*'Device Energy Use'!$C5</f>
        <v>0</v>
      </c>
      <c r="N64" s="33">
        <f>'Water Heater Stock'!N15*'Device Energy Use'!$C5</f>
        <v>0</v>
      </c>
      <c r="O64" s="33">
        <f>'Water Heater Stock'!O15*'Device Energy Use'!$C5</f>
        <v>0</v>
      </c>
      <c r="P64" s="33">
        <f>'Water Heater Stock'!P15*'Device Energy Use'!$C5</f>
        <v>0</v>
      </c>
      <c r="Q64" s="33">
        <f>'Water Heater Stock'!Q15*'Device Energy Use'!$C5</f>
        <v>0</v>
      </c>
      <c r="R64" s="33">
        <f>'Water Heater Stock'!R15*'Device Energy Use'!$C5</f>
        <v>0</v>
      </c>
      <c r="S64" s="33">
        <f>'Water Heater Stock'!S15*'Device Energy Use'!$C5</f>
        <v>0</v>
      </c>
      <c r="T64" s="33">
        <f>'Water Heater Stock'!T15*'Device Energy Use'!$C5</f>
        <v>0</v>
      </c>
      <c r="U64" s="33">
        <f>'Water Heater Stock'!U15*'Device Energy Use'!$C5</f>
        <v>0</v>
      </c>
      <c r="V64" s="33">
        <f>'Water Heater Stock'!V15*'Device Energy Use'!$C5</f>
        <v>0</v>
      </c>
      <c r="W64" s="33">
        <f>'Water Heater Stock'!W15*'Device Energy Use'!$C5</f>
        <v>0</v>
      </c>
    </row>
    <row r="65" spans="1:23">
      <c r="A65" s="37" t="str">
        <f>'Device Energy Use'!A6</f>
        <v>HPWH</v>
      </c>
      <c r="B65" s="33">
        <f>'Water Heater Stock'!B16*'Device Energy Use'!$C6</f>
        <v>0</v>
      </c>
      <c r="C65" s="33">
        <f>'Water Heater Stock'!C16*'Device Energy Use'!$C6</f>
        <v>0</v>
      </c>
      <c r="D65" s="33">
        <f>'Water Heater Stock'!D16*'Device Energy Use'!$C6</f>
        <v>0</v>
      </c>
      <c r="E65" s="33">
        <f>'Water Heater Stock'!E16*'Device Energy Use'!$C6</f>
        <v>0</v>
      </c>
      <c r="F65" s="33">
        <f>'Water Heater Stock'!F16*'Device Energy Use'!$C6</f>
        <v>0</v>
      </c>
      <c r="G65" s="33">
        <f>'Water Heater Stock'!G16*'Device Energy Use'!$C6</f>
        <v>0</v>
      </c>
      <c r="H65" s="33">
        <f>'Water Heater Stock'!H16*'Device Energy Use'!$C6</f>
        <v>0</v>
      </c>
      <c r="I65" s="33">
        <f>'Water Heater Stock'!I16*'Device Energy Use'!$C6</f>
        <v>0</v>
      </c>
      <c r="J65" s="33">
        <f>'Water Heater Stock'!J16*'Device Energy Use'!$C6</f>
        <v>0</v>
      </c>
      <c r="K65" s="33">
        <f>'Water Heater Stock'!K16*'Device Energy Use'!$C6</f>
        <v>0</v>
      </c>
      <c r="L65" s="33">
        <f>'Water Heater Stock'!L16*'Device Energy Use'!$C6</f>
        <v>0</v>
      </c>
      <c r="M65" s="33">
        <f>'Water Heater Stock'!M16*'Device Energy Use'!$C6</f>
        <v>0</v>
      </c>
      <c r="N65" s="33">
        <f>'Water Heater Stock'!N16*'Device Energy Use'!$C6</f>
        <v>0</v>
      </c>
      <c r="O65" s="33">
        <f>'Water Heater Stock'!O16*'Device Energy Use'!$C6</f>
        <v>0</v>
      </c>
      <c r="P65" s="33">
        <f>'Water Heater Stock'!P16*'Device Energy Use'!$C6</f>
        <v>0</v>
      </c>
      <c r="Q65" s="33">
        <f>'Water Heater Stock'!Q16*'Device Energy Use'!$C6</f>
        <v>0</v>
      </c>
      <c r="R65" s="33">
        <f>'Water Heater Stock'!R16*'Device Energy Use'!$C6</f>
        <v>0</v>
      </c>
      <c r="S65" s="33">
        <f>'Water Heater Stock'!S16*'Device Energy Use'!$C6</f>
        <v>0</v>
      </c>
      <c r="T65" s="33">
        <f>'Water Heater Stock'!T16*'Device Energy Use'!$C6</f>
        <v>0</v>
      </c>
      <c r="U65" s="33">
        <f>'Water Heater Stock'!U16*'Device Energy Use'!$C6</f>
        <v>0</v>
      </c>
      <c r="V65" s="33">
        <f>'Water Heater Stock'!V16*'Device Energy Use'!$C6</f>
        <v>0</v>
      </c>
      <c r="W65" s="33">
        <f>'Water Heater Stock'!W16*'Device Energy Use'!$C6</f>
        <v>0</v>
      </c>
    </row>
    <row r="66" spans="1:23">
      <c r="A66" s="37" t="str">
        <f>'Device Energy Use'!A7</f>
        <v>Gas Tank</v>
      </c>
      <c r="B66" s="33">
        <f>'Water Heater Stock'!B17*'Device Energy Use'!$C7</f>
        <v>0</v>
      </c>
      <c r="C66" s="33">
        <f>'Water Heater Stock'!C17*'Device Energy Use'!$C7</f>
        <v>0</v>
      </c>
      <c r="D66" s="33">
        <f>'Water Heater Stock'!D17*'Device Energy Use'!$C7</f>
        <v>0</v>
      </c>
      <c r="E66" s="33">
        <f>'Water Heater Stock'!E17*'Device Energy Use'!$C7</f>
        <v>0</v>
      </c>
      <c r="F66" s="33">
        <f>'Water Heater Stock'!F17*'Device Energy Use'!$C7</f>
        <v>0</v>
      </c>
      <c r="G66" s="33">
        <f>'Water Heater Stock'!G17*'Device Energy Use'!$C7</f>
        <v>0</v>
      </c>
      <c r="H66" s="33">
        <f>'Water Heater Stock'!H17*'Device Energy Use'!$C7</f>
        <v>0</v>
      </c>
      <c r="I66" s="33">
        <f>'Water Heater Stock'!I17*'Device Energy Use'!$C7</f>
        <v>0</v>
      </c>
      <c r="J66" s="33">
        <f>'Water Heater Stock'!J17*'Device Energy Use'!$C7</f>
        <v>0</v>
      </c>
      <c r="K66" s="33">
        <f>'Water Heater Stock'!K17*'Device Energy Use'!$C7</f>
        <v>0</v>
      </c>
      <c r="L66" s="33">
        <f>'Water Heater Stock'!L17*'Device Energy Use'!$C7</f>
        <v>0</v>
      </c>
      <c r="M66" s="33">
        <f>'Water Heater Stock'!M17*'Device Energy Use'!$C7</f>
        <v>0</v>
      </c>
      <c r="N66" s="33">
        <f>'Water Heater Stock'!N17*'Device Energy Use'!$C7</f>
        <v>0</v>
      </c>
      <c r="O66" s="33">
        <f>'Water Heater Stock'!O17*'Device Energy Use'!$C7</f>
        <v>0</v>
      </c>
      <c r="P66" s="33">
        <f>'Water Heater Stock'!P17*'Device Energy Use'!$C7</f>
        <v>0</v>
      </c>
      <c r="Q66" s="33">
        <f>'Water Heater Stock'!Q17*'Device Energy Use'!$C7</f>
        <v>0</v>
      </c>
      <c r="R66" s="33">
        <f>'Water Heater Stock'!R17*'Device Energy Use'!$C7</f>
        <v>0</v>
      </c>
      <c r="S66" s="33">
        <f>'Water Heater Stock'!S17*'Device Energy Use'!$C7</f>
        <v>0</v>
      </c>
      <c r="T66" s="33">
        <f>'Water Heater Stock'!T17*'Device Energy Use'!$C7</f>
        <v>0</v>
      </c>
      <c r="U66" s="33">
        <f>'Water Heater Stock'!U17*'Device Energy Use'!$C7</f>
        <v>0</v>
      </c>
      <c r="V66" s="33">
        <f>'Water Heater Stock'!V17*'Device Energy Use'!$C7</f>
        <v>0</v>
      </c>
      <c r="W66" s="33">
        <f>'Water Heater Stock'!W17*'Device Energy Use'!$C7</f>
        <v>0</v>
      </c>
    </row>
    <row r="67" spans="1:23">
      <c r="A67" s="37" t="str">
        <f>'Device Energy Use'!A8</f>
        <v>Instant Gas</v>
      </c>
      <c r="B67" s="33">
        <f>'Water Heater Stock'!B18*'Device Energy Use'!$C8</f>
        <v>0</v>
      </c>
      <c r="C67" s="33">
        <f>'Water Heater Stock'!C18*'Device Energy Use'!$C8</f>
        <v>0</v>
      </c>
      <c r="D67" s="33">
        <f>'Water Heater Stock'!D18*'Device Energy Use'!$C8</f>
        <v>0</v>
      </c>
      <c r="E67" s="33">
        <f>'Water Heater Stock'!E18*'Device Energy Use'!$C8</f>
        <v>0</v>
      </c>
      <c r="F67" s="33">
        <f>'Water Heater Stock'!F18*'Device Energy Use'!$C8</f>
        <v>0</v>
      </c>
      <c r="G67" s="33">
        <f>'Water Heater Stock'!G18*'Device Energy Use'!$C8</f>
        <v>0</v>
      </c>
      <c r="H67" s="33">
        <f>'Water Heater Stock'!H18*'Device Energy Use'!$C8</f>
        <v>0</v>
      </c>
      <c r="I67" s="33">
        <f>'Water Heater Stock'!I18*'Device Energy Use'!$C8</f>
        <v>0</v>
      </c>
      <c r="J67" s="33">
        <f>'Water Heater Stock'!J18*'Device Energy Use'!$C8</f>
        <v>0</v>
      </c>
      <c r="K67" s="33">
        <f>'Water Heater Stock'!K18*'Device Energy Use'!$C8</f>
        <v>0</v>
      </c>
      <c r="L67" s="33">
        <f>'Water Heater Stock'!L18*'Device Energy Use'!$C8</f>
        <v>0</v>
      </c>
      <c r="M67" s="33">
        <f>'Water Heater Stock'!M18*'Device Energy Use'!$C8</f>
        <v>0</v>
      </c>
      <c r="N67" s="33">
        <f>'Water Heater Stock'!N18*'Device Energy Use'!$C8</f>
        <v>0</v>
      </c>
      <c r="O67" s="33">
        <f>'Water Heater Stock'!O18*'Device Energy Use'!$C8</f>
        <v>0</v>
      </c>
      <c r="P67" s="33">
        <f>'Water Heater Stock'!P18*'Device Energy Use'!$C8</f>
        <v>0</v>
      </c>
      <c r="Q67" s="33">
        <f>'Water Heater Stock'!Q18*'Device Energy Use'!$C8</f>
        <v>0</v>
      </c>
      <c r="R67" s="33">
        <f>'Water Heater Stock'!R18*'Device Energy Use'!$C8</f>
        <v>0</v>
      </c>
      <c r="S67" s="33">
        <f>'Water Heater Stock'!S18*'Device Energy Use'!$C8</f>
        <v>0</v>
      </c>
      <c r="T67" s="33">
        <f>'Water Heater Stock'!T18*'Device Energy Use'!$C8</f>
        <v>0</v>
      </c>
      <c r="U67" s="33">
        <f>'Water Heater Stock'!U18*'Device Energy Use'!$C8</f>
        <v>0</v>
      </c>
      <c r="V67" s="33">
        <f>'Water Heater Stock'!V18*'Device Energy Use'!$C8</f>
        <v>0</v>
      </c>
      <c r="W67" s="33">
        <f>'Water Heater Stock'!W18*'Device Energy Use'!$C8</f>
        <v>0</v>
      </c>
    </row>
    <row r="68" spans="1:23">
      <c r="A68" s="37" t="str">
        <f>'Device Energy Use'!A9</f>
        <v>Condensing Gas</v>
      </c>
      <c r="B68" s="33">
        <f>'Water Heater Stock'!B19*'Device Energy Use'!$C9</f>
        <v>0</v>
      </c>
      <c r="C68" s="33">
        <f>'Water Heater Stock'!C19*'Device Energy Use'!$C9</f>
        <v>0</v>
      </c>
      <c r="D68" s="33">
        <f>'Water Heater Stock'!D19*'Device Energy Use'!$C9</f>
        <v>0</v>
      </c>
      <c r="E68" s="33">
        <f>'Water Heater Stock'!E19*'Device Energy Use'!$C9</f>
        <v>0</v>
      </c>
      <c r="F68" s="33">
        <f>'Water Heater Stock'!F19*'Device Energy Use'!$C9</f>
        <v>0</v>
      </c>
      <c r="G68" s="33">
        <f>'Water Heater Stock'!G19*'Device Energy Use'!$C9</f>
        <v>0</v>
      </c>
      <c r="H68" s="33">
        <f>'Water Heater Stock'!H19*'Device Energy Use'!$C9</f>
        <v>0</v>
      </c>
      <c r="I68" s="33">
        <f>'Water Heater Stock'!I19*'Device Energy Use'!$C9</f>
        <v>0</v>
      </c>
      <c r="J68" s="33">
        <f>'Water Heater Stock'!J19*'Device Energy Use'!$C9</f>
        <v>0</v>
      </c>
      <c r="K68" s="33">
        <f>'Water Heater Stock'!K19*'Device Energy Use'!$C9</f>
        <v>0</v>
      </c>
      <c r="L68" s="33">
        <f>'Water Heater Stock'!L19*'Device Energy Use'!$C9</f>
        <v>0</v>
      </c>
      <c r="M68" s="33">
        <f>'Water Heater Stock'!M19*'Device Energy Use'!$C9</f>
        <v>0</v>
      </c>
      <c r="N68" s="33">
        <f>'Water Heater Stock'!N19*'Device Energy Use'!$C9</f>
        <v>0</v>
      </c>
      <c r="O68" s="33">
        <f>'Water Heater Stock'!O19*'Device Energy Use'!$C9</f>
        <v>0</v>
      </c>
      <c r="P68" s="33">
        <f>'Water Heater Stock'!P19*'Device Energy Use'!$C9</f>
        <v>0</v>
      </c>
      <c r="Q68" s="33">
        <f>'Water Heater Stock'!Q19*'Device Energy Use'!$C9</f>
        <v>0</v>
      </c>
      <c r="R68" s="33">
        <f>'Water Heater Stock'!R19*'Device Energy Use'!$C9</f>
        <v>0</v>
      </c>
      <c r="S68" s="33">
        <f>'Water Heater Stock'!S19*'Device Energy Use'!$C9</f>
        <v>0</v>
      </c>
      <c r="T68" s="33">
        <f>'Water Heater Stock'!T19*'Device Energy Use'!$C9</f>
        <v>0</v>
      </c>
      <c r="U68" s="33">
        <f>'Water Heater Stock'!U19*'Device Energy Use'!$C9</f>
        <v>0</v>
      </c>
      <c r="V68" s="33">
        <f>'Water Heater Stock'!V19*'Device Energy Use'!$C9</f>
        <v>0</v>
      </c>
      <c r="W68" s="33">
        <f>'Water Heater Stock'!W19*'Device Energy Use'!$C9</f>
        <v>0</v>
      </c>
    </row>
    <row r="69" spans="1:23">
      <c r="A69" s="37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/>
  <dimension ref="A1:W19"/>
  <sheetViews>
    <sheetView workbookViewId="0">
      <selection activeCell="A2" sqref="A2"/>
    </sheetView>
  </sheetViews>
  <sheetFormatPr defaultColWidth="9.140625" defaultRowHeight="15.75"/>
  <cols>
    <col min="1" max="1" width="20.7109375" style="9" customWidth="1"/>
    <col min="2" max="11" width="9.7109375" style="9" customWidth="1"/>
    <col min="12" max="16384" width="9.140625" style="9"/>
  </cols>
  <sheetData>
    <row r="1" spans="1:23">
      <c r="A1" s="147" t="str">
        <f>CONCATENATE("Segment:  ",State,", Single Family, ", SpaceHeat, ", ", TankSize,", ", StartWH, " is starting water heater")</f>
        <v>Segment:  Idaho, Single Family, Gas FAF, &gt;55 Gallons, Electric Resistance is starting water heater</v>
      </c>
    </row>
    <row r="3" spans="1:23">
      <c r="A3" s="12" t="s">
        <v>106</v>
      </c>
    </row>
    <row r="4" spans="1:23" s="23" customFormat="1">
      <c r="A4" s="40" t="str">
        <f>+'Device Energy Use'!A4</f>
        <v>Water Heat Ending</v>
      </c>
      <c r="B4" s="39">
        <v>2014</v>
      </c>
      <c r="C4" s="39">
        <v>2015</v>
      </c>
      <c r="D4" s="39">
        <v>2016</v>
      </c>
      <c r="E4" s="39">
        <v>2017</v>
      </c>
      <c r="F4" s="39">
        <v>2018</v>
      </c>
      <c r="G4" s="39">
        <v>2019</v>
      </c>
      <c r="H4" s="39">
        <v>2020</v>
      </c>
      <c r="I4" s="39">
        <v>2021</v>
      </c>
      <c r="J4" s="39">
        <v>2022</v>
      </c>
      <c r="K4" s="39">
        <v>2023</v>
      </c>
      <c r="L4" s="39">
        <v>2024</v>
      </c>
      <c r="M4" s="39">
        <v>2025</v>
      </c>
      <c r="N4" s="39">
        <v>2026</v>
      </c>
      <c r="O4" s="39">
        <v>2027</v>
      </c>
      <c r="P4" s="39">
        <v>2028</v>
      </c>
      <c r="Q4" s="39">
        <v>2029</v>
      </c>
      <c r="R4" s="39">
        <v>2030</v>
      </c>
      <c r="S4" s="39">
        <v>2031</v>
      </c>
      <c r="T4" s="39">
        <v>2032</v>
      </c>
      <c r="U4" s="39">
        <v>2033</v>
      </c>
      <c r="V4" s="39">
        <v>2034</v>
      </c>
      <c r="W4" s="39">
        <v>2035</v>
      </c>
    </row>
    <row r="5" spans="1:23" s="23" customFormat="1" ht="16.5" thickBot="1">
      <c r="A5" s="48" t="s">
        <v>45</v>
      </c>
      <c r="B5" s="49">
        <f t="shared" ref="B5:W5" si="0">SUM(B6:B10)</f>
        <v>7058</v>
      </c>
      <c r="C5" s="49">
        <f t="shared" si="0"/>
        <v>7058.0000000000009</v>
      </c>
      <c r="D5" s="49">
        <f t="shared" si="0"/>
        <v>7058.0000000000009</v>
      </c>
      <c r="E5" s="49">
        <f t="shared" si="0"/>
        <v>7058</v>
      </c>
      <c r="F5" s="49">
        <f t="shared" si="0"/>
        <v>7058.0000000000009</v>
      </c>
      <c r="G5" s="49">
        <f t="shared" si="0"/>
        <v>7058.0000000000009</v>
      </c>
      <c r="H5" s="49">
        <f t="shared" si="0"/>
        <v>7058.0000000000018</v>
      </c>
      <c r="I5" s="49">
        <f t="shared" si="0"/>
        <v>7058.0000000000009</v>
      </c>
      <c r="J5" s="49">
        <f t="shared" si="0"/>
        <v>7058</v>
      </c>
      <c r="K5" s="49">
        <f t="shared" si="0"/>
        <v>7058</v>
      </c>
      <c r="L5" s="49">
        <f t="shared" si="0"/>
        <v>7058.0000000000009</v>
      </c>
      <c r="M5" s="49">
        <f t="shared" si="0"/>
        <v>7058</v>
      </c>
      <c r="N5" s="49">
        <f t="shared" si="0"/>
        <v>7058</v>
      </c>
      <c r="O5" s="49">
        <f t="shared" si="0"/>
        <v>7058</v>
      </c>
      <c r="P5" s="49">
        <f t="shared" si="0"/>
        <v>7058</v>
      </c>
      <c r="Q5" s="49">
        <f t="shared" si="0"/>
        <v>7058.0000000000009</v>
      </c>
      <c r="R5" s="49">
        <f t="shared" si="0"/>
        <v>7058</v>
      </c>
      <c r="S5" s="49">
        <f t="shared" si="0"/>
        <v>7058</v>
      </c>
      <c r="T5" s="49">
        <f t="shared" si="0"/>
        <v>7058</v>
      </c>
      <c r="U5" s="49">
        <f t="shared" si="0"/>
        <v>7058</v>
      </c>
      <c r="V5" s="49">
        <f t="shared" si="0"/>
        <v>7058</v>
      </c>
      <c r="W5" s="49">
        <f t="shared" si="0"/>
        <v>7058.0000000000009</v>
      </c>
    </row>
    <row r="6" spans="1:23" ht="16.5" thickTop="1">
      <c r="A6" s="9" t="str">
        <f>+'Device Energy Use'!A5</f>
        <v>Electric Resistance</v>
      </c>
      <c r="B6" s="33">
        <f>Households</f>
        <v>7058</v>
      </c>
      <c r="C6" s="33">
        <f>+B6-'Water Heaters Retired'!C6+'Water Heaters Purchased'!C6</f>
        <v>6553.866314840674</v>
      </c>
      <c r="D6" s="33">
        <f>+C6-'Water Heaters Retired'!D6+'Water Heaters Purchased'!D6</f>
        <v>6085.7420714434556</v>
      </c>
      <c r="E6" s="33">
        <f>+D6-'Water Heaters Retired'!E6+'Water Heaters Purchased'!E6</f>
        <v>5651.0551684413686</v>
      </c>
      <c r="F6" s="33">
        <f>+E6-'Water Heaters Retired'!F6+'Water Heaters Purchased'!F6</f>
        <v>5247.4172259730294</v>
      </c>
      <c r="G6" s="33">
        <f>+F6-'Water Heaters Retired'!G6+'Water Heaters Purchased'!G6</f>
        <v>4872.6104627180939</v>
      </c>
      <c r="H6" s="33">
        <f>+G6-'Water Heaters Retired'!H6+'Water Heaters Purchased'!H6</f>
        <v>4524.5755102873281</v>
      </c>
      <c r="I6" s="33">
        <f>+H6-'Water Heaters Retired'!I6+'Water Heaters Purchased'!I6</f>
        <v>4201.4000980133842</v>
      </c>
      <c r="J6" s="33">
        <f>+I6-'Water Heaters Retired'!J6+'Water Heaters Purchased'!J6</f>
        <v>3901.3085459708213</v>
      </c>
      <c r="K6" s="33">
        <f>+J6-'Water Heaters Retired'!K6+'Water Heaters Purchased'!K6</f>
        <v>3622.6520084946851</v>
      </c>
      <c r="L6" s="33">
        <f>+K6-'Water Heaters Retired'!L6+'Water Heaters Purchased'!L6</f>
        <v>3363.8994145906322</v>
      </c>
      <c r="M6" s="33">
        <f>+L6-'Water Heaters Retired'!M6+'Water Heaters Purchased'!M6</f>
        <v>3123.6290554586139</v>
      </c>
      <c r="N6" s="33">
        <f>+M6-'Water Heaters Retired'!N6+'Water Heaters Purchased'!N6</f>
        <v>2900.520772907731</v>
      </c>
      <c r="O6" s="33">
        <f>+N6-'Water Heaters Retired'!O6+'Water Heaters Purchased'!O6</f>
        <v>2693.3487057414563</v>
      </c>
      <c r="P6" s="33">
        <f>+O6-'Water Heaters Retired'!P6+'Water Heaters Purchased'!P6</f>
        <v>2500.9745542582032</v>
      </c>
      <c r="Q6" s="33">
        <f>+P6-'Water Heaters Retired'!Q6+'Water Heaters Purchased'!Q6</f>
        <v>2322.3413258589976</v>
      </c>
      <c r="R6" s="33">
        <f>+Q6-'Water Heaters Retired'!R6+'Water Heaters Purchased'!R6</f>
        <v>2156.4675273974594</v>
      </c>
      <c r="S6" s="33">
        <f>+R6-'Water Heaters Retired'!S6+'Water Heaters Purchased'!S6</f>
        <v>2002.4417723619345</v>
      </c>
      <c r="T6" s="33">
        <f>+S6-'Water Heaters Retired'!T6+'Water Heaters Purchased'!T6</f>
        <v>1859.4177732588996</v>
      </c>
      <c r="U6" s="33">
        <f>+T6-'Water Heaters Retired'!U6+'Water Heaters Purchased'!U6</f>
        <v>1726.6096916832732</v>
      </c>
      <c r="V6" s="33">
        <f>+U6-'Water Heaters Retired'!V6+'Water Heaters Purchased'!V6</f>
        <v>1603.2878205265588</v>
      </c>
      <c r="W6" s="33">
        <f>+V6-'Water Heaters Retired'!W6+'Water Heaters Purchased'!W6</f>
        <v>1488.774574598697</v>
      </c>
    </row>
    <row r="7" spans="1:23">
      <c r="A7" s="9" t="str">
        <f>+'Device Energy Use'!A6</f>
        <v>HPWH</v>
      </c>
      <c r="B7" s="33">
        <v>0</v>
      </c>
      <c r="C7" s="33">
        <f>+B7-'Water Heaters Retired'!C7+'Water Heaters Purchased'!C7</f>
        <v>244.95940843970308</v>
      </c>
      <c r="D7" s="33">
        <f>+C7-'Water Heaters Retired'!D7+'Water Heaters Purchased'!D7</f>
        <v>471.9608802569453</v>
      </c>
      <c r="E7" s="33">
        <f>+D7-'Water Heaters Retired'!E7+'Water Heaters Purchased'!E7</f>
        <v>682.28831727220449</v>
      </c>
      <c r="F7" s="33">
        <f>+E7-'Water Heaters Retired'!F7+'Water Heaters Purchased'!F7</f>
        <v>877.1339753858191</v>
      </c>
      <c r="G7" s="33">
        <f>+F7-'Water Heaters Retired'!G7+'Water Heaters Purchased'!G7</f>
        <v>1057.6050107405715</v>
      </c>
      <c r="H7" s="33">
        <f>+G7-'Water Heaters Retired'!H7+'Water Heaters Purchased'!H7</f>
        <v>1224.7295582810002</v>
      </c>
      <c r="I7" s="33">
        <f>+H7-'Water Heaters Retired'!I7+'Water Heaters Purchased'!I7</f>
        <v>1379.4623761096966</v>
      </c>
      <c r="J7" s="33">
        <f>+I7-'Water Heaters Retired'!J7+'Water Heaters Purchased'!J7</f>
        <v>1522.6900866551232</v>
      </c>
      <c r="K7" s="33">
        <f>+J7-'Water Heaters Retired'!K7+'Water Heaters Purchased'!K7</f>
        <v>1655.2360434501886</v>
      </c>
      <c r="L7" s="33">
        <f>+K7-'Water Heaters Retired'!L7+'Water Heaters Purchased'!L7</f>
        <v>1777.8648502637325</v>
      </c>
      <c r="M7" s="33">
        <f>+L7-'Water Heaters Retired'!M7+'Water Heaters Purchased'!M7</f>
        <v>1891.2865574169484</v>
      </c>
      <c r="N7" s="33">
        <f>+M7-'Water Heaters Retired'!N7+'Water Heaters Purchased'!N7</f>
        <v>1996.1605583430598</v>
      </c>
      <c r="O7" s="33">
        <f>+N7-'Water Heaters Retired'!O7+'Water Heaters Purchased'!O7</f>
        <v>2093.0992078015688</v>
      </c>
      <c r="P7" s="33">
        <f>+O7-'Water Heaters Retired'!P7+'Water Heaters Purchased'!P7</f>
        <v>2182.6711816290244</v>
      </c>
      <c r="Q7" s="33">
        <f>+P7-'Water Heaters Retired'!Q7+'Water Heaters Purchased'!Q7</f>
        <v>2265.4045964881338</v>
      </c>
      <c r="R7" s="33">
        <f>+Q7-'Water Heaters Retired'!R7+'Water Heaters Purchased'!R7</f>
        <v>2341.7899067583621</v>
      </c>
      <c r="S7" s="33">
        <f>+R7-'Water Heaters Retired'!S7+'Water Heaters Purchased'!S7</f>
        <v>2412.2825944866554</v>
      </c>
      <c r="T7" s="33">
        <f>+S7-'Water Heaters Retired'!T7+'Water Heaters Purchased'!T7</f>
        <v>2477.305667179905</v>
      </c>
      <c r="U7" s="33">
        <f>+T7-'Water Heaters Retired'!U7+'Water Heaters Purchased'!U7</f>
        <v>2537.2519771649422</v>
      </c>
      <c r="V7" s="33">
        <f>+U7-'Water Heaters Retired'!V7+'Water Heaters Purchased'!V7</f>
        <v>2592.4863752614642</v>
      </c>
      <c r="W7" s="33">
        <f>+V7-'Water Heaters Retired'!W7+'Water Heaters Purchased'!W7</f>
        <v>2643.3477106029077</v>
      </c>
    </row>
    <row r="8" spans="1:23">
      <c r="A8" s="9" t="str">
        <f>+'Device Energy Use'!A7</f>
        <v>Gas Tank</v>
      </c>
      <c r="B8" s="33">
        <v>0</v>
      </c>
      <c r="C8" s="33">
        <f>+B8-'Water Heaters Retired'!C8+'Water Heaters Purchased'!C8</f>
        <v>2.5121551290024146E-2</v>
      </c>
      <c r="D8" s="33">
        <f>+C8-'Water Heaters Retired'!D8+'Water Heaters Purchased'!D8</f>
        <v>4.8232043721554638E-2</v>
      </c>
      <c r="E8" s="33">
        <f>+D8-'Water Heaters Retired'!E8+'Water Heaters Purchased'!E8</f>
        <v>6.947643353937355E-2</v>
      </c>
      <c r="F8" s="33">
        <f>+E8-'Water Heaters Retired'!F8+'Water Heaters Purchased'!F8</f>
        <v>8.8989339277485785E-2</v>
      </c>
      <c r="G8" s="33">
        <f>+F8-'Water Heaters Retired'!G8+'Water Heaters Purchased'!G8</f>
        <v>0.10689577958625658</v>
      </c>
      <c r="H8" s="33">
        <f>+G8-'Water Heaters Retired'!H8+'Water Heaters Purchased'!H8</f>
        <v>0.12331185835671482</v>
      </c>
      <c r="I8" s="33">
        <f>+H8-'Water Heaters Retired'!I8+'Water Heaters Purchased'!I8</f>
        <v>0.13834540090698602</v>
      </c>
      <c r="J8" s="33">
        <f>+I8-'Water Heaters Retired'!J8+'Water Heaters Purchased'!J8</f>
        <v>0.15209654472688416</v>
      </c>
      <c r="K8" s="33">
        <f>+J8-'Water Heaters Retired'!K8+'Water Heaters Purchased'!K8</f>
        <v>0.16465828802696905</v>
      </c>
      <c r="L8" s="33">
        <f>+K8-'Water Heaters Retired'!L8+'Water Heaters Purchased'!L8</f>
        <v>0.17611699910648679</v>
      </c>
      <c r="M8" s="33">
        <f>+L8-'Water Heaters Retired'!M8+'Water Heaters Purchased'!M8</f>
        <v>0.1865528893392879</v>
      </c>
      <c r="N8" s="33">
        <f>+M8-'Water Heaters Retired'!N8+'Water Heaters Purchased'!N8</f>
        <v>0.19604045237687229</v>
      </c>
      <c r="O8" s="33">
        <f>+N8-'Water Heaters Retired'!O8+'Water Heaters Purchased'!O8</f>
        <v>0.20464887198204723</v>
      </c>
      <c r="P8" s="33">
        <f>+O8-'Water Heaters Retired'!P8+'Water Heaters Purchased'!P8</f>
        <v>0.21244240073428225</v>
      </c>
      <c r="Q8" s="33">
        <f>+P8-'Water Heaters Retired'!Q8+'Water Heaters Purchased'!Q8</f>
        <v>0.21948071168775679</v>
      </c>
      <c r="R8" s="33">
        <f>+Q8-'Water Heaters Retired'!R8+'Water Heaters Purchased'!R8</f>
        <v>0.22581922491444381</v>
      </c>
      <c r="S8" s="33">
        <f>+R8-'Water Heaters Retired'!S8+'Water Heaters Purchased'!S8</f>
        <v>0.23150941072653453</v>
      </c>
      <c r="T8" s="33">
        <f>+S8-'Water Heaters Retired'!T8+'Water Heaters Purchased'!T8</f>
        <v>0.23659907124433621</v>
      </c>
      <c r="U8" s="33">
        <f>+T8-'Water Heaters Retired'!U8+'Water Heaters Purchased'!U8</f>
        <v>0.24113260185675092</v>
      </c>
      <c r="V8" s="33">
        <f>+U8-'Water Heaters Retired'!V8+'Water Heaters Purchased'!V8</f>
        <v>0.24515123401092437</v>
      </c>
      <c r="W8" s="33">
        <f>+V8-'Water Heaters Retired'!W8+'Water Heaters Purchased'!W8</f>
        <v>0.24869326066502848</v>
      </c>
    </row>
    <row r="9" spans="1:23">
      <c r="A9" s="9" t="str">
        <f>+'Device Energy Use'!A8</f>
        <v>Instant Gas</v>
      </c>
      <c r="B9" s="33">
        <v>0</v>
      </c>
      <c r="C9" s="33">
        <f>+B9-'Water Heaters Retired'!C9+'Water Heaters Purchased'!C9</f>
        <v>73.709344680059971</v>
      </c>
      <c r="D9" s="33">
        <f>+C9-'Water Heaters Retired'!D9+'Water Heaters Purchased'!D9</f>
        <v>142.51183847857493</v>
      </c>
      <c r="E9" s="33">
        <f>+D9-'Water Heaters Retired'!E9+'Water Heaters Purchased'!E9</f>
        <v>206.76028445075642</v>
      </c>
      <c r="F9" s="33">
        <f>+E9-'Water Heaters Retired'!F9+'Water Heaters Purchased'!F9</f>
        <v>266.78226966283881</v>
      </c>
      <c r="G9" s="33">
        <f>+F9-'Water Heaters Retired'!G9+'Water Heaters Purchased'!G9</f>
        <v>322.88196548067071</v>
      </c>
      <c r="H9" s="33">
        <f>+G9-'Water Heaters Retired'!H9+'Water Heaters Purchased'!H9</f>
        <v>375.34179925618326</v>
      </c>
      <c r="I9" s="33">
        <f>+H9-'Water Heaters Retired'!I9+'Water Heaters Purchased'!I9</f>
        <v>424.42400659793657</v>
      </c>
      <c r="J9" s="33">
        <f>+I9-'Water Heaters Retired'!J9+'Water Heaters Purchased'!J9</f>
        <v>470.37207275580408</v>
      </c>
      <c r="K9" s="33">
        <f>+J9-'Water Heaters Retired'!K9+'Water Heaters Purchased'!K9</f>
        <v>513.41207104058594</v>
      </c>
      <c r="L9" s="33">
        <f>+K9-'Water Heaters Retired'!L9+'Water Heaters Purchased'!L9</f>
        <v>553.7539056335886</v>
      </c>
      <c r="M9" s="33">
        <f>+L9-'Water Heaters Retired'!M9+'Water Heaters Purchased'!M9</f>
        <v>591.59246561586951</v>
      </c>
      <c r="N9" s="33">
        <f>+M9-'Water Heaters Retired'!N9+'Water Heaters Purchased'!N9</f>
        <v>627.10869655902593</v>
      </c>
      <c r="O9" s="33">
        <f>+N9-'Water Heaters Retired'!O9+'Water Heaters Purchased'!O9</f>
        <v>660.47059556643728</v>
      </c>
      <c r="P9" s="33">
        <f>+O9-'Water Heaters Retired'!P9+'Water Heaters Purchased'!P9</f>
        <v>691.83413523325146</v>
      </c>
      <c r="Q9" s="33">
        <f>+P9-'Water Heaters Retired'!Q9+'Water Heaters Purchased'!Q9</f>
        <v>721.34412160283273</v>
      </c>
      <c r="R9" s="33">
        <f>+Q9-'Water Heaters Retired'!R9+'Water Heaters Purchased'!R9</f>
        <v>749.13499083471345</v>
      </c>
      <c r="S9" s="33">
        <f>+R9-'Water Heaters Retired'!S9+'Water Heaters Purchased'!S9</f>
        <v>775.3315489623219</v>
      </c>
      <c r="T9" s="33">
        <f>+S9-'Water Heaters Retired'!T9+'Water Heaters Purchased'!T9</f>
        <v>800.04965880604232</v>
      </c>
      <c r="U9" s="33">
        <f>+T9-'Water Heaters Retired'!U9+'Water Heaters Purchased'!U9</f>
        <v>823.39687781678572</v>
      </c>
      <c r="V9" s="33">
        <f>+U9-'Water Heaters Retired'!V9+'Water Heaters Purchased'!V9</f>
        <v>845.4730503556118</v>
      </c>
      <c r="W9" s="33">
        <f>+V9-'Water Heaters Retired'!W9+'Water Heaters Purchased'!W9</f>
        <v>866.37085766456357</v>
      </c>
    </row>
    <row r="10" spans="1:23">
      <c r="A10" s="9" t="str">
        <f>+'Device Energy Use'!A9</f>
        <v>Condensing Gas</v>
      </c>
      <c r="B10" s="33">
        <v>0</v>
      </c>
      <c r="C10" s="33">
        <f>+B10-'Water Heaters Retired'!C10+'Water Heaters Purchased'!C10</f>
        <v>185.43981048827362</v>
      </c>
      <c r="D10" s="33">
        <f>+C10-'Water Heaters Retired'!D10+'Water Heaters Purchased'!D10</f>
        <v>357.73697777730393</v>
      </c>
      <c r="E10" s="33">
        <f>+D10-'Water Heaters Retired'!E10+'Water Heaters Purchased'!E10</f>
        <v>517.82675340213177</v>
      </c>
      <c r="F10" s="33">
        <f>+E10-'Water Heaters Retired'!F10+'Water Heaters Purchased'!F10</f>
        <v>666.57753963903565</v>
      </c>
      <c r="G10" s="33">
        <f>+F10-'Water Heaters Retired'!G10+'Water Heaters Purchased'!G10</f>
        <v>804.79566528107807</v>
      </c>
      <c r="H10" s="33">
        <f>+G10-'Water Heaters Retired'!H10+'Water Heaters Purchased'!H10</f>
        <v>933.22982031713286</v>
      </c>
      <c r="I10" s="33">
        <f>+H10-'Water Heaters Retired'!I10+'Water Heaters Purchased'!I10</f>
        <v>1052.5751738780762</v>
      </c>
      <c r="J10" s="33">
        <f>+I10-'Water Heaters Retired'!J10+'Water Heaters Purchased'!J10</f>
        <v>1163.477198073525</v>
      </c>
      <c r="K10" s="33">
        <f>+J10-'Water Heaters Retired'!K10+'Water Heaters Purchased'!K10</f>
        <v>1266.5352187265137</v>
      </c>
      <c r="L10" s="33">
        <f>+K10-'Water Heaters Retired'!L10+'Water Heaters Purchased'!L10</f>
        <v>1362.3057125129405</v>
      </c>
      <c r="M10" s="33">
        <f>+L10-'Water Heaters Retired'!M10+'Water Heaters Purchased'!M10</f>
        <v>1451.3053686192291</v>
      </c>
      <c r="N10" s="33">
        <f>+M10-'Water Heaters Retired'!N10+'Water Heaters Purchased'!N10</f>
        <v>1534.0139317378066</v>
      </c>
      <c r="O10" s="33">
        <f>+N10-'Water Heaters Retired'!O10+'Water Heaters Purchased'!O10</f>
        <v>1610.8768420185556</v>
      </c>
      <c r="P10" s="33">
        <f>+O10-'Water Heaters Retired'!P10+'Water Heaters Purchased'!P10</f>
        <v>1682.3076864787868</v>
      </c>
      <c r="Q10" s="33">
        <f>+P10-'Water Heaters Retired'!Q10+'Water Heaters Purchased'!Q10</f>
        <v>1748.6904753383485</v>
      </c>
      <c r="R10" s="33">
        <f>+Q10-'Water Heaters Retired'!R10+'Water Heaters Purchased'!R10</f>
        <v>1810.3817557845509</v>
      </c>
      <c r="S10" s="33">
        <f>+R10-'Water Heaters Retired'!S10+'Water Heaters Purchased'!S10</f>
        <v>1867.7125747783621</v>
      </c>
      <c r="T10" s="33">
        <f>+S10-'Water Heaters Retired'!T10+'Water Heaters Purchased'!T10</f>
        <v>1920.9903016839091</v>
      </c>
      <c r="U10" s="33">
        <f>+T10-'Water Heaters Retired'!U10+'Water Heaters Purchased'!U10</f>
        <v>1970.5003207331426</v>
      </c>
      <c r="V10" s="33">
        <f>+U10-'Water Heaters Retired'!V10+'Water Heaters Purchased'!V10</f>
        <v>2016.5076026223546</v>
      </c>
      <c r="W10" s="33">
        <f>+V10-'Water Heaters Retired'!W10+'Water Heaters Purchased'!W10</f>
        <v>2059.2581638731672</v>
      </c>
    </row>
    <row r="11" spans="1:23">
      <c r="A11" s="37"/>
    </row>
    <row r="12" spans="1:23">
      <c r="A12" s="101" t="s">
        <v>107</v>
      </c>
    </row>
    <row r="13" spans="1:23" s="23" customFormat="1">
      <c r="A13" s="40" t="str">
        <f>+'Device Energy Use'!A4</f>
        <v>Water Heat Ending</v>
      </c>
      <c r="B13" s="39">
        <v>2014</v>
      </c>
      <c r="C13" s="39">
        <v>2015</v>
      </c>
      <c r="D13" s="39">
        <v>2016</v>
      </c>
      <c r="E13" s="39">
        <v>2017</v>
      </c>
      <c r="F13" s="39">
        <v>2018</v>
      </c>
      <c r="G13" s="39">
        <v>2019</v>
      </c>
      <c r="H13" s="39">
        <v>2020</v>
      </c>
      <c r="I13" s="39">
        <v>2021</v>
      </c>
      <c r="J13" s="39">
        <v>2022</v>
      </c>
      <c r="K13" s="39">
        <v>2023</v>
      </c>
      <c r="L13" s="39">
        <v>2024</v>
      </c>
      <c r="M13" s="39">
        <v>2025</v>
      </c>
      <c r="N13" s="39">
        <v>2026</v>
      </c>
      <c r="O13" s="39">
        <v>2027</v>
      </c>
      <c r="P13" s="39">
        <v>2028</v>
      </c>
      <c r="Q13" s="39">
        <v>2029</v>
      </c>
      <c r="R13" s="39">
        <v>2030</v>
      </c>
      <c r="S13" s="39">
        <v>2031</v>
      </c>
      <c r="T13" s="39">
        <v>2032</v>
      </c>
      <c r="U13" s="39">
        <v>2033</v>
      </c>
      <c r="V13" s="39">
        <v>2034</v>
      </c>
      <c r="W13" s="39">
        <v>2035</v>
      </c>
    </row>
    <row r="14" spans="1:23" s="23" customFormat="1" ht="16.5" thickBot="1">
      <c r="A14" s="48" t="s">
        <v>45</v>
      </c>
      <c r="B14" s="49">
        <f t="shared" ref="B14:W14" si="1">SUM(B15:B19)</f>
        <v>7058</v>
      </c>
      <c r="C14" s="49">
        <f t="shared" si="1"/>
        <v>7058</v>
      </c>
      <c r="D14" s="49">
        <f t="shared" si="1"/>
        <v>7058.0000000000009</v>
      </c>
      <c r="E14" s="49">
        <f t="shared" si="1"/>
        <v>7058.0000000000009</v>
      </c>
      <c r="F14" s="49">
        <f t="shared" si="1"/>
        <v>7058.0000000000009</v>
      </c>
      <c r="G14" s="49">
        <f t="shared" si="1"/>
        <v>7058.0000000000018</v>
      </c>
      <c r="H14" s="49">
        <f t="shared" si="1"/>
        <v>7058.0000000000009</v>
      </c>
      <c r="I14" s="49">
        <f t="shared" si="1"/>
        <v>7058.0000000000018</v>
      </c>
      <c r="J14" s="49">
        <f t="shared" si="1"/>
        <v>7058.0000000000018</v>
      </c>
      <c r="K14" s="49">
        <f t="shared" si="1"/>
        <v>7058.0000000000018</v>
      </c>
      <c r="L14" s="49">
        <f t="shared" si="1"/>
        <v>7058.0000000000018</v>
      </c>
      <c r="M14" s="49">
        <f t="shared" si="1"/>
        <v>7058.0000000000018</v>
      </c>
      <c r="N14" s="49">
        <f t="shared" si="1"/>
        <v>7058.0000000000018</v>
      </c>
      <c r="O14" s="49">
        <f t="shared" si="1"/>
        <v>7058.0000000000009</v>
      </c>
      <c r="P14" s="49">
        <f t="shared" si="1"/>
        <v>7058</v>
      </c>
      <c r="Q14" s="49">
        <f t="shared" si="1"/>
        <v>7058</v>
      </c>
      <c r="R14" s="49">
        <f t="shared" si="1"/>
        <v>7058</v>
      </c>
      <c r="S14" s="49">
        <f t="shared" si="1"/>
        <v>7058</v>
      </c>
      <c r="T14" s="49">
        <f t="shared" si="1"/>
        <v>7057.9999999999991</v>
      </c>
      <c r="U14" s="49">
        <f t="shared" si="1"/>
        <v>7057.9999999999991</v>
      </c>
      <c r="V14" s="49">
        <f t="shared" si="1"/>
        <v>7057.9999999999982</v>
      </c>
      <c r="W14" s="49">
        <f t="shared" si="1"/>
        <v>7057.9999999999982</v>
      </c>
    </row>
    <row r="15" spans="1:23" ht="16.5" thickTop="1">
      <c r="A15" s="9" t="str">
        <f>+'Device Energy Use'!A5</f>
        <v>Electric Resistance</v>
      </c>
      <c r="B15" s="33">
        <f>Households</f>
        <v>7058</v>
      </c>
      <c r="C15" s="33">
        <f>+B15-'Water Heaters Retired'!C15+'Water Heaters Purchased'!C15</f>
        <v>6553.8571428571431</v>
      </c>
      <c r="D15" s="33">
        <f>+C15-'Water Heaters Retired'!D15+'Water Heaters Purchased'!D15</f>
        <v>6085.724489795919</v>
      </c>
      <c r="E15" s="33">
        <f>+D15-'Water Heaters Retired'!E15+'Water Heaters Purchased'!E15</f>
        <v>5651.0298833819252</v>
      </c>
      <c r="F15" s="33">
        <f>+E15-'Water Heaters Retired'!F15+'Water Heaters Purchased'!F15</f>
        <v>5247.3848917117875</v>
      </c>
      <c r="G15" s="33">
        <f>+F15-'Water Heaters Retired'!G15+'Water Heaters Purchased'!G15</f>
        <v>4872.5716851609459</v>
      </c>
      <c r="H15" s="33">
        <f>+G15-'Water Heaters Retired'!H15+'Water Heaters Purchased'!H15</f>
        <v>4524.5308505065923</v>
      </c>
      <c r="I15" s="33">
        <f>+H15-'Water Heaters Retired'!I15+'Water Heaters Purchased'!I15</f>
        <v>4201.3500754704073</v>
      </c>
      <c r="J15" s="33">
        <f>+I15-'Water Heaters Retired'!J15+'Water Heaters Purchased'!J15</f>
        <v>3901.2536415082354</v>
      </c>
      <c r="K15" s="33">
        <f>+J15-'Water Heaters Retired'!K15+'Water Heaters Purchased'!K15</f>
        <v>3622.5926671147899</v>
      </c>
      <c r="L15" s="33">
        <f>+K15-'Water Heaters Retired'!L15+'Water Heaters Purchased'!L15</f>
        <v>3363.8360480351621</v>
      </c>
      <c r="M15" s="33">
        <f>+L15-'Water Heaters Retired'!M15+'Water Heaters Purchased'!M15</f>
        <v>3123.5620446040789</v>
      </c>
      <c r="N15" s="33">
        <f>+M15-'Water Heaters Retired'!N15+'Water Heaters Purchased'!N15</f>
        <v>2900.4504699895019</v>
      </c>
      <c r="O15" s="33">
        <f>+N15-'Water Heaters Retired'!O15+'Water Heaters Purchased'!O15</f>
        <v>2693.2754364188231</v>
      </c>
      <c r="P15" s="33">
        <f>+O15-'Water Heaters Retired'!P15+'Water Heaters Purchased'!P15</f>
        <v>2500.8986195317643</v>
      </c>
      <c r="Q15" s="33">
        <f>+P15-'Water Heaters Retired'!Q15+'Water Heaters Purchased'!Q15</f>
        <v>2322.2630038509242</v>
      </c>
      <c r="R15" s="33">
        <f>+Q15-'Water Heaters Retired'!R15+'Water Heaters Purchased'!R15</f>
        <v>2156.3870750044298</v>
      </c>
      <c r="S15" s="33">
        <f>+R15-'Water Heaters Retired'!S15+'Water Heaters Purchased'!S15</f>
        <v>2002.3594267898277</v>
      </c>
      <c r="T15" s="33">
        <f>+S15-'Water Heaters Retired'!T15+'Water Heaters Purchased'!T15</f>
        <v>1859.3337534476971</v>
      </c>
      <c r="U15" s="33">
        <f>+T15-'Water Heaters Retired'!U15+'Water Heaters Purchased'!U15</f>
        <v>1726.5241996300044</v>
      </c>
      <c r="V15" s="33">
        <f>+U15-'Water Heaters Retired'!V15+'Water Heaters Purchased'!V15</f>
        <v>1603.2010425135754</v>
      </c>
      <c r="W15" s="33">
        <f>+V15-'Water Heaters Retired'!W15+'Water Heaters Purchased'!W15</f>
        <v>1488.6866823340342</v>
      </c>
    </row>
    <row r="16" spans="1:23">
      <c r="A16" s="9" t="str">
        <f>+'Device Energy Use'!A6</f>
        <v>HPWH</v>
      </c>
      <c r="B16" s="33">
        <v>0</v>
      </c>
      <c r="C16" s="33">
        <f>+B16-'Water Heaters Retired'!C16+'Water Heaters Purchased'!C16</f>
        <v>504.14285714285717</v>
      </c>
      <c r="D16" s="33">
        <f>+C16-'Water Heaters Retired'!D16+'Water Heaters Purchased'!D16</f>
        <v>972.27551020408168</v>
      </c>
      <c r="E16" s="33">
        <f>+D16-'Water Heaters Retired'!E16+'Water Heaters Purchased'!E16</f>
        <v>1406.970116618076</v>
      </c>
      <c r="F16" s="33">
        <f>+E16-'Water Heaters Retired'!F16+'Water Heaters Purchased'!F16</f>
        <v>1810.6151082882134</v>
      </c>
      <c r="G16" s="33">
        <f>+F16-'Water Heaters Retired'!G16+'Water Heaters Purchased'!G16</f>
        <v>2185.4283148390555</v>
      </c>
      <c r="H16" s="33">
        <f>+G16-'Water Heaters Retired'!H16+'Water Heaters Purchased'!H16</f>
        <v>2533.4691494934086</v>
      </c>
      <c r="I16" s="33">
        <f>+H16-'Water Heaters Retired'!I16+'Water Heaters Purchased'!I16</f>
        <v>2856.649924529594</v>
      </c>
      <c r="J16" s="33">
        <f>+I16-'Water Heaters Retired'!J16+'Water Heaters Purchased'!J16</f>
        <v>3156.7463584917659</v>
      </c>
      <c r="K16" s="33">
        <f>+J16-'Water Heaters Retired'!K16+'Water Heaters Purchased'!K16</f>
        <v>3435.4073328852114</v>
      </c>
      <c r="L16" s="33">
        <f>+K16-'Water Heaters Retired'!L16+'Water Heaters Purchased'!L16</f>
        <v>3694.1639519648393</v>
      </c>
      <c r="M16" s="33">
        <f>+L16-'Water Heaters Retired'!M16+'Water Heaters Purchased'!M16</f>
        <v>3934.4379553959225</v>
      </c>
      <c r="N16" s="33">
        <f>+M16-'Water Heaters Retired'!N16+'Water Heaters Purchased'!N16</f>
        <v>4157.5495300104994</v>
      </c>
      <c r="O16" s="33">
        <f>+N16-'Water Heaters Retired'!O16+'Water Heaters Purchased'!O16</f>
        <v>4364.7245635811778</v>
      </c>
      <c r="P16" s="33">
        <f>+O16-'Water Heaters Retired'!P16+'Water Heaters Purchased'!P16</f>
        <v>4557.1013804682361</v>
      </c>
      <c r="Q16" s="33">
        <f>+P16-'Water Heaters Retired'!Q16+'Water Heaters Purchased'!Q16</f>
        <v>4735.7369961490758</v>
      </c>
      <c r="R16" s="33">
        <f>+Q16-'Water Heaters Retired'!R16+'Water Heaters Purchased'!R16</f>
        <v>4901.6129249955702</v>
      </c>
      <c r="S16" s="33">
        <f>+R16-'Water Heaters Retired'!S16+'Water Heaters Purchased'!S16</f>
        <v>5055.6405732101721</v>
      </c>
      <c r="T16" s="33">
        <f>+S16-'Water Heaters Retired'!T16+'Water Heaters Purchased'!T16</f>
        <v>5198.6662465523023</v>
      </c>
      <c r="U16" s="33">
        <f>+T16-'Water Heaters Retired'!U16+'Water Heaters Purchased'!U16</f>
        <v>5331.4758003699944</v>
      </c>
      <c r="V16" s="33">
        <f>+U16-'Water Heaters Retired'!V16+'Water Heaters Purchased'!V16</f>
        <v>5454.7989574864232</v>
      </c>
      <c r="W16" s="33">
        <f>+V16-'Water Heaters Retired'!W16+'Water Heaters Purchased'!W16</f>
        <v>5569.313317665964</v>
      </c>
    </row>
    <row r="17" spans="1:23">
      <c r="A17" s="9" t="str">
        <f>+'Device Energy Use'!A7</f>
        <v>Gas Tank</v>
      </c>
      <c r="B17" s="33">
        <v>0</v>
      </c>
      <c r="C17" s="33">
        <f>+B17-'Water Heaters Retired'!C17+'Water Heaters Purchased'!C17</f>
        <v>0</v>
      </c>
      <c r="D17" s="33">
        <f>+C17-'Water Heaters Retired'!D17+'Water Heaters Purchased'!D17</f>
        <v>0</v>
      </c>
      <c r="E17" s="33">
        <f>+D17-'Water Heaters Retired'!E17+'Water Heaters Purchased'!E17</f>
        <v>0</v>
      </c>
      <c r="F17" s="33">
        <f>+E17-'Water Heaters Retired'!F17+'Water Heaters Purchased'!F17</f>
        <v>0</v>
      </c>
      <c r="G17" s="33">
        <f>+F17-'Water Heaters Retired'!G17+'Water Heaters Purchased'!G17</f>
        <v>0</v>
      </c>
      <c r="H17" s="33">
        <f>+G17-'Water Heaters Retired'!H17+'Water Heaters Purchased'!H17</f>
        <v>0</v>
      </c>
      <c r="I17" s="33">
        <f>+H17-'Water Heaters Retired'!I17+'Water Heaters Purchased'!I17</f>
        <v>0</v>
      </c>
      <c r="J17" s="33">
        <f>+I17-'Water Heaters Retired'!J17+'Water Heaters Purchased'!J17</f>
        <v>0</v>
      </c>
      <c r="K17" s="33">
        <f>+J17-'Water Heaters Retired'!K17+'Water Heaters Purchased'!K17</f>
        <v>0</v>
      </c>
      <c r="L17" s="33">
        <f>+K17-'Water Heaters Retired'!L17+'Water Heaters Purchased'!L17</f>
        <v>0</v>
      </c>
      <c r="M17" s="33">
        <f>+L17-'Water Heaters Retired'!M17+'Water Heaters Purchased'!M17</f>
        <v>0</v>
      </c>
      <c r="N17" s="33">
        <f>+M17-'Water Heaters Retired'!N17+'Water Heaters Purchased'!N17</f>
        <v>0</v>
      </c>
      <c r="O17" s="33">
        <f>+N17-'Water Heaters Retired'!O17+'Water Heaters Purchased'!O17</f>
        <v>0</v>
      </c>
      <c r="P17" s="33">
        <f>+O17-'Water Heaters Retired'!P17+'Water Heaters Purchased'!P17</f>
        <v>0</v>
      </c>
      <c r="Q17" s="33">
        <f>+P17-'Water Heaters Retired'!Q17+'Water Heaters Purchased'!Q17</f>
        <v>0</v>
      </c>
      <c r="R17" s="33">
        <f>+Q17-'Water Heaters Retired'!R17+'Water Heaters Purchased'!R17</f>
        <v>0</v>
      </c>
      <c r="S17" s="33">
        <f>+R17-'Water Heaters Retired'!S17+'Water Heaters Purchased'!S17</f>
        <v>0</v>
      </c>
      <c r="T17" s="33">
        <f>+S17-'Water Heaters Retired'!T17+'Water Heaters Purchased'!T17</f>
        <v>0</v>
      </c>
      <c r="U17" s="33">
        <f>+T17-'Water Heaters Retired'!U17+'Water Heaters Purchased'!U17</f>
        <v>0</v>
      </c>
      <c r="V17" s="33">
        <f>+U17-'Water Heaters Retired'!V17+'Water Heaters Purchased'!V17</f>
        <v>0</v>
      </c>
      <c r="W17" s="33">
        <f>+V17-'Water Heaters Retired'!W17+'Water Heaters Purchased'!W17</f>
        <v>0</v>
      </c>
    </row>
    <row r="18" spans="1:23">
      <c r="A18" s="9" t="str">
        <f>+'Device Energy Use'!A8</f>
        <v>Instant Gas</v>
      </c>
      <c r="B18" s="33">
        <v>0</v>
      </c>
      <c r="C18" s="33">
        <f>+B18-'Water Heaters Retired'!C18+'Water Heaters Purchased'!C18</f>
        <v>0</v>
      </c>
      <c r="D18" s="33">
        <f>+C18-'Water Heaters Retired'!D18+'Water Heaters Purchased'!D18</f>
        <v>0</v>
      </c>
      <c r="E18" s="33">
        <f>+D18-'Water Heaters Retired'!E18+'Water Heaters Purchased'!E18</f>
        <v>0</v>
      </c>
      <c r="F18" s="33">
        <f>+E18-'Water Heaters Retired'!F18+'Water Heaters Purchased'!F18</f>
        <v>0</v>
      </c>
      <c r="G18" s="33">
        <f>+F18-'Water Heaters Retired'!G18+'Water Heaters Purchased'!G18</f>
        <v>0</v>
      </c>
      <c r="H18" s="33">
        <f>+G18-'Water Heaters Retired'!H18+'Water Heaters Purchased'!H18</f>
        <v>0</v>
      </c>
      <c r="I18" s="33">
        <f>+H18-'Water Heaters Retired'!I18+'Water Heaters Purchased'!I18</f>
        <v>0</v>
      </c>
      <c r="J18" s="33">
        <f>+I18-'Water Heaters Retired'!J18+'Water Heaters Purchased'!J18</f>
        <v>0</v>
      </c>
      <c r="K18" s="33">
        <f>+J18-'Water Heaters Retired'!K18+'Water Heaters Purchased'!K18</f>
        <v>0</v>
      </c>
      <c r="L18" s="33">
        <f>+K18-'Water Heaters Retired'!L18+'Water Heaters Purchased'!L18</f>
        <v>0</v>
      </c>
      <c r="M18" s="33">
        <f>+L18-'Water Heaters Retired'!M18+'Water Heaters Purchased'!M18</f>
        <v>0</v>
      </c>
      <c r="N18" s="33">
        <f>+M18-'Water Heaters Retired'!N18+'Water Heaters Purchased'!N18</f>
        <v>0</v>
      </c>
      <c r="O18" s="33">
        <f>+N18-'Water Heaters Retired'!O18+'Water Heaters Purchased'!O18</f>
        <v>0</v>
      </c>
      <c r="P18" s="33">
        <f>+O18-'Water Heaters Retired'!P18+'Water Heaters Purchased'!P18</f>
        <v>0</v>
      </c>
      <c r="Q18" s="33">
        <f>+P18-'Water Heaters Retired'!Q18+'Water Heaters Purchased'!Q18</f>
        <v>0</v>
      </c>
      <c r="R18" s="33">
        <f>+Q18-'Water Heaters Retired'!R18+'Water Heaters Purchased'!R18</f>
        <v>0</v>
      </c>
      <c r="S18" s="33">
        <f>+R18-'Water Heaters Retired'!S18+'Water Heaters Purchased'!S18</f>
        <v>0</v>
      </c>
      <c r="T18" s="33">
        <f>+S18-'Water Heaters Retired'!T18+'Water Heaters Purchased'!T18</f>
        <v>0</v>
      </c>
      <c r="U18" s="33">
        <f>+T18-'Water Heaters Retired'!U18+'Water Heaters Purchased'!U18</f>
        <v>0</v>
      </c>
      <c r="V18" s="33">
        <f>+U18-'Water Heaters Retired'!V18+'Water Heaters Purchased'!V18</f>
        <v>0</v>
      </c>
      <c r="W18" s="33">
        <f>+V18-'Water Heaters Retired'!W18+'Water Heaters Purchased'!W18</f>
        <v>0</v>
      </c>
    </row>
    <row r="19" spans="1:23">
      <c r="A19" s="9" t="str">
        <f>+'Device Energy Use'!A9</f>
        <v>Condensing Gas</v>
      </c>
      <c r="B19" s="33">
        <v>0</v>
      </c>
      <c r="C19" s="33">
        <f>+B19-'Water Heaters Retired'!C19+'Water Heaters Purchased'!C19</f>
        <v>0</v>
      </c>
      <c r="D19" s="33">
        <f>+C19-'Water Heaters Retired'!D19+'Water Heaters Purchased'!D19</f>
        <v>0</v>
      </c>
      <c r="E19" s="33">
        <f>+D19-'Water Heaters Retired'!E19+'Water Heaters Purchased'!E19</f>
        <v>0</v>
      </c>
      <c r="F19" s="33">
        <f>+E19-'Water Heaters Retired'!F19+'Water Heaters Purchased'!F19</f>
        <v>0</v>
      </c>
      <c r="G19" s="33">
        <f>+F19-'Water Heaters Retired'!G19+'Water Heaters Purchased'!G19</f>
        <v>0</v>
      </c>
      <c r="H19" s="33">
        <f>+G19-'Water Heaters Retired'!H19+'Water Heaters Purchased'!H19</f>
        <v>0</v>
      </c>
      <c r="I19" s="33">
        <f>+H19-'Water Heaters Retired'!I19+'Water Heaters Purchased'!I19</f>
        <v>0</v>
      </c>
      <c r="J19" s="33">
        <f>+I19-'Water Heaters Retired'!J19+'Water Heaters Purchased'!J19</f>
        <v>0</v>
      </c>
      <c r="K19" s="33">
        <f>+J19-'Water Heaters Retired'!K19+'Water Heaters Purchased'!K19</f>
        <v>0</v>
      </c>
      <c r="L19" s="33">
        <f>+K19-'Water Heaters Retired'!L19+'Water Heaters Purchased'!L19</f>
        <v>0</v>
      </c>
      <c r="M19" s="33">
        <f>+L19-'Water Heaters Retired'!M19+'Water Heaters Purchased'!M19</f>
        <v>0</v>
      </c>
      <c r="N19" s="33">
        <f>+M19-'Water Heaters Retired'!N19+'Water Heaters Purchased'!N19</f>
        <v>0</v>
      </c>
      <c r="O19" s="33">
        <f>+N19-'Water Heaters Retired'!O19+'Water Heaters Purchased'!O19</f>
        <v>0</v>
      </c>
      <c r="P19" s="33">
        <f>+O19-'Water Heaters Retired'!P19+'Water Heaters Purchased'!P19</f>
        <v>0</v>
      </c>
      <c r="Q19" s="33">
        <f>+P19-'Water Heaters Retired'!Q19+'Water Heaters Purchased'!Q19</f>
        <v>0</v>
      </c>
      <c r="R19" s="33">
        <f>+Q19-'Water Heaters Retired'!R19+'Water Heaters Purchased'!R19</f>
        <v>0</v>
      </c>
      <c r="S19" s="33">
        <f>+R19-'Water Heaters Retired'!S19+'Water Heaters Purchased'!S19</f>
        <v>0</v>
      </c>
      <c r="T19" s="33">
        <f>+S19-'Water Heaters Retired'!T19+'Water Heaters Purchased'!T19</f>
        <v>0</v>
      </c>
      <c r="U19" s="33">
        <f>+T19-'Water Heaters Retired'!U19+'Water Heaters Purchased'!U19</f>
        <v>0</v>
      </c>
      <c r="V19" s="33">
        <f>+U19-'Water Heaters Retired'!V19+'Water Heaters Purchased'!V19</f>
        <v>0</v>
      </c>
      <c r="W19" s="33">
        <f>+V19-'Water Heaters Retired'!W19+'Water Heaters Purchased'!W19</f>
        <v>0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4"/>
  <dimension ref="A1:W19"/>
  <sheetViews>
    <sheetView workbookViewId="0"/>
  </sheetViews>
  <sheetFormatPr defaultColWidth="9.140625" defaultRowHeight="15.75"/>
  <cols>
    <col min="1" max="1" width="20.7109375" style="9" customWidth="1"/>
    <col min="2" max="10" width="9.7109375" style="9" customWidth="1"/>
    <col min="11" max="16384" width="9.140625" style="9"/>
  </cols>
  <sheetData>
    <row r="1" spans="1:23">
      <c r="A1" s="147" t="str">
        <f>CONCATENATE("Segment:  ",State,", Single Family, ", SpaceHeat, ", ", TankSize,", ", StartWH, " is starting water heater")</f>
        <v>Segment:  Idaho, Single Family, Gas FAF, &gt;55 Gallons, Electric Resistance is starting water heater</v>
      </c>
    </row>
    <row r="3" spans="1:23">
      <c r="A3" s="12" t="s">
        <v>104</v>
      </c>
      <c r="D3" s="12"/>
    </row>
    <row r="4" spans="1:23">
      <c r="A4" s="38" t="str">
        <f>'Device Energy Use'!A4</f>
        <v>Water Heat Ending</v>
      </c>
      <c r="B4" s="39">
        <f>'Water Heater Stock'!B4</f>
        <v>2014</v>
      </c>
      <c r="C4" s="39">
        <f>'Water Heater Stock'!C4</f>
        <v>2015</v>
      </c>
      <c r="D4" s="39">
        <f>'Water Heater Stock'!D4</f>
        <v>2016</v>
      </c>
      <c r="E4" s="39">
        <f>'Water Heater Stock'!E4</f>
        <v>2017</v>
      </c>
      <c r="F4" s="39">
        <f>'Water Heater Stock'!F4</f>
        <v>2018</v>
      </c>
      <c r="G4" s="39">
        <f>'Water Heater Stock'!G4</f>
        <v>2019</v>
      </c>
      <c r="H4" s="39">
        <f>'Water Heater Stock'!H4</f>
        <v>2020</v>
      </c>
      <c r="I4" s="39">
        <f>'Water Heater Stock'!I4</f>
        <v>2021</v>
      </c>
      <c r="J4" s="39">
        <f>'Water Heater Stock'!J4</f>
        <v>2022</v>
      </c>
      <c r="K4" s="39">
        <f>'Water Heater Stock'!K4</f>
        <v>2023</v>
      </c>
      <c r="L4" s="39">
        <f>'Water Heater Stock'!L4</f>
        <v>2024</v>
      </c>
      <c r="M4" s="39">
        <f>'Water Heater Stock'!M4</f>
        <v>2025</v>
      </c>
      <c r="N4" s="39">
        <f>'Water Heater Stock'!N4</f>
        <v>2026</v>
      </c>
      <c r="O4" s="39">
        <f>'Water Heater Stock'!O4</f>
        <v>2027</v>
      </c>
      <c r="P4" s="39">
        <f>'Water Heater Stock'!P4</f>
        <v>2028</v>
      </c>
      <c r="Q4" s="39">
        <f>'Water Heater Stock'!Q4</f>
        <v>2029</v>
      </c>
      <c r="R4" s="39">
        <f>'Water Heater Stock'!R4</f>
        <v>2030</v>
      </c>
      <c r="S4" s="39">
        <f>'Water Heater Stock'!S4</f>
        <v>2031</v>
      </c>
      <c r="T4" s="39">
        <f>'Water Heater Stock'!T4</f>
        <v>2032</v>
      </c>
      <c r="U4" s="39">
        <f>'Water Heater Stock'!U4</f>
        <v>2033</v>
      </c>
      <c r="V4" s="39">
        <f>'Water Heater Stock'!V4</f>
        <v>2034</v>
      </c>
      <c r="W4" s="39">
        <f>'Water Heater Stock'!W4</f>
        <v>2035</v>
      </c>
    </row>
    <row r="5" spans="1:23" ht="16.5" thickBot="1">
      <c r="A5" s="48" t="s">
        <v>45</v>
      </c>
      <c r="B5" s="49">
        <f t="shared" ref="B5:W5" si="0">SUM(B6:B10)</f>
        <v>0</v>
      </c>
      <c r="C5" s="49">
        <f t="shared" si="0"/>
        <v>504.14285714285717</v>
      </c>
      <c r="D5" s="49">
        <f t="shared" si="0"/>
        <v>504.14285714285722</v>
      </c>
      <c r="E5" s="49">
        <f t="shared" si="0"/>
        <v>504.14285714285722</v>
      </c>
      <c r="F5" s="49">
        <f t="shared" si="0"/>
        <v>504.14285714285717</v>
      </c>
      <c r="G5" s="49">
        <f t="shared" si="0"/>
        <v>504.14285714285717</v>
      </c>
      <c r="H5" s="49">
        <f t="shared" si="0"/>
        <v>504.14285714285722</v>
      </c>
      <c r="I5" s="49">
        <f t="shared" si="0"/>
        <v>504.14285714285722</v>
      </c>
      <c r="J5" s="49">
        <f t="shared" si="0"/>
        <v>504.14285714285711</v>
      </c>
      <c r="K5" s="49">
        <f t="shared" si="0"/>
        <v>504.14285714285711</v>
      </c>
      <c r="L5" s="49">
        <f t="shared" si="0"/>
        <v>504.14285714285717</v>
      </c>
      <c r="M5" s="49">
        <f t="shared" si="0"/>
        <v>504.14285714285717</v>
      </c>
      <c r="N5" s="49">
        <f t="shared" si="0"/>
        <v>504.14285714285711</v>
      </c>
      <c r="O5" s="49">
        <f t="shared" si="0"/>
        <v>504.14285714285711</v>
      </c>
      <c r="P5" s="49">
        <f t="shared" si="0"/>
        <v>504.14285714285717</v>
      </c>
      <c r="Q5" s="49">
        <f t="shared" si="0"/>
        <v>504.14285714285722</v>
      </c>
      <c r="R5" s="49">
        <f t="shared" si="0"/>
        <v>504.14285714285717</v>
      </c>
      <c r="S5" s="49">
        <f t="shared" si="0"/>
        <v>504.14285714285717</v>
      </c>
      <c r="T5" s="49">
        <f t="shared" si="0"/>
        <v>504.14285714285722</v>
      </c>
      <c r="U5" s="49">
        <f t="shared" si="0"/>
        <v>504.14285714285717</v>
      </c>
      <c r="V5" s="49">
        <f t="shared" si="0"/>
        <v>504.14285714285711</v>
      </c>
      <c r="W5" s="49">
        <f t="shared" si="0"/>
        <v>504.14285714285711</v>
      </c>
    </row>
    <row r="6" spans="1:23" ht="16.5" thickTop="1">
      <c r="A6" s="9" t="str">
        <f>+'Water Heater Stock'!A6</f>
        <v>Electric Resistance</v>
      </c>
      <c r="B6" s="33">
        <v>0</v>
      </c>
      <c r="C6" s="33">
        <f>'Water Heater Stock'!B6/Lifetime</f>
        <v>504.14285714285717</v>
      </c>
      <c r="D6" s="33">
        <f>'Water Heater Stock'!C6/Lifetime</f>
        <v>468.13330820290531</v>
      </c>
      <c r="E6" s="33">
        <f>'Water Heater Stock'!D6/Lifetime</f>
        <v>434.69586224596111</v>
      </c>
      <c r="F6" s="33">
        <f>'Water Heater Stock'!E6/Lifetime</f>
        <v>403.64679774581202</v>
      </c>
      <c r="G6" s="33">
        <f>'Water Heater Stock'!F6/Lifetime</f>
        <v>374.8155161409307</v>
      </c>
      <c r="H6" s="33">
        <f>'Water Heater Stock'!G6/Lifetime</f>
        <v>348.04360447986386</v>
      </c>
      <c r="I6" s="33">
        <f>'Water Heater Stock'!H6/Lifetime</f>
        <v>323.18396502052343</v>
      </c>
      <c r="J6" s="33">
        <f>'Water Heater Stock'!I6/Lifetime</f>
        <v>300.100007000956</v>
      </c>
      <c r="K6" s="33">
        <f>'Water Heater Stock'!J6/Lifetime</f>
        <v>278.66489614077295</v>
      </c>
      <c r="L6" s="33">
        <f>'Water Heater Stock'!K6/Lifetime</f>
        <v>258.76085774962036</v>
      </c>
      <c r="M6" s="33">
        <f>'Water Heater Stock'!L6/Lifetime</f>
        <v>240.2785296136166</v>
      </c>
      <c r="N6" s="33">
        <f>'Water Heater Stock'!M6/Lifetime</f>
        <v>223.11636110418672</v>
      </c>
      <c r="O6" s="33">
        <f>'Water Heater Stock'!N6/Lifetime</f>
        <v>207.18005520769506</v>
      </c>
      <c r="P6" s="33">
        <f>'Water Heater Stock'!O6/Lifetime</f>
        <v>192.38205041010403</v>
      </c>
      <c r="Q6" s="33">
        <f>'Water Heater Stock'!P6/Lifetime</f>
        <v>178.64103958987167</v>
      </c>
      <c r="R6" s="33">
        <f>'Water Heater Stock'!Q6/Lifetime</f>
        <v>165.88152327564268</v>
      </c>
      <c r="S6" s="33">
        <f>'Water Heater Stock'!R6/Lifetime</f>
        <v>154.03339481410424</v>
      </c>
      <c r="T6" s="33">
        <f>'Water Heater Stock'!S6/Lifetime</f>
        <v>143.03155516870962</v>
      </c>
      <c r="U6" s="33">
        <f>'Water Heater Stock'!T6/Lifetime</f>
        <v>132.81555523277854</v>
      </c>
      <c r="V6" s="33">
        <f>'Water Heater Stock'!U6/Lifetime</f>
        <v>123.32926369166238</v>
      </c>
      <c r="W6" s="33">
        <f>'Water Heater Stock'!V6/Lifetime</f>
        <v>114.52055860903991</v>
      </c>
    </row>
    <row r="7" spans="1:23">
      <c r="A7" s="9" t="str">
        <f>+'Water Heater Stock'!A7</f>
        <v>HPWH</v>
      </c>
      <c r="B7" s="33">
        <v>0</v>
      </c>
      <c r="C7" s="33">
        <f>'Water Heater Stock'!B7/Lifetime</f>
        <v>0</v>
      </c>
      <c r="D7" s="33">
        <f>'Water Heater Stock'!C7/Lifetime</f>
        <v>17.497100602835935</v>
      </c>
      <c r="E7" s="33">
        <f>'Water Heater Stock'!D7/Lifetime</f>
        <v>33.711491446924661</v>
      </c>
      <c r="F7" s="33">
        <f>'Water Heater Stock'!E7/Lifetime</f>
        <v>48.734879805157462</v>
      </c>
      <c r="G7" s="33">
        <f>'Water Heater Stock'!F7/Lifetime</f>
        <v>62.65242681327279</v>
      </c>
      <c r="H7" s="33">
        <f>'Water Heater Stock'!G7/Lifetime</f>
        <v>75.543215052897963</v>
      </c>
      <c r="I7" s="33">
        <f>'Water Heater Stock'!H7/Lifetime</f>
        <v>87.48068273435716</v>
      </c>
      <c r="J7" s="33">
        <f>'Water Heater Stock'!I7/Lifetime</f>
        <v>98.533026864978325</v>
      </c>
      <c r="K7" s="33">
        <f>'Water Heater Stock'!J7/Lifetime</f>
        <v>108.76357761822308</v>
      </c>
      <c r="L7" s="33">
        <f>'Water Heater Stock'!K7/Lifetime</f>
        <v>118.23114596072776</v>
      </c>
      <c r="M7" s="33">
        <f>'Water Heater Stock'!L7/Lifetime</f>
        <v>126.99034644740946</v>
      </c>
      <c r="N7" s="33">
        <f>'Water Heater Stock'!M7/Lifetime</f>
        <v>135.09189695835346</v>
      </c>
      <c r="O7" s="33">
        <f>'Water Heater Stock'!N7/Lifetime</f>
        <v>142.58289702450426</v>
      </c>
      <c r="P7" s="33">
        <f>'Water Heater Stock'!O7/Lifetime</f>
        <v>149.50708627154063</v>
      </c>
      <c r="Q7" s="33">
        <f>'Water Heater Stock'!P7/Lifetime</f>
        <v>155.90508440207319</v>
      </c>
      <c r="R7" s="33">
        <f>'Water Heater Stock'!Q7/Lifetime</f>
        <v>161.81461403486671</v>
      </c>
      <c r="S7" s="33">
        <f>'Water Heater Stock'!R7/Lifetime</f>
        <v>167.27070762559728</v>
      </c>
      <c r="T7" s="33">
        <f>'Water Heater Stock'!S7/Lifetime</f>
        <v>172.30589960618968</v>
      </c>
      <c r="U7" s="33">
        <f>'Water Heater Stock'!T7/Lifetime</f>
        <v>176.95040479856465</v>
      </c>
      <c r="V7" s="33">
        <f>'Water Heater Stock'!U7/Lifetime</f>
        <v>181.23228408321015</v>
      </c>
      <c r="W7" s="33">
        <f>'Water Heater Stock'!V7/Lifetime</f>
        <v>185.17759823296174</v>
      </c>
    </row>
    <row r="8" spans="1:23">
      <c r="A8" s="9" t="str">
        <f>+'Water Heater Stock'!A8</f>
        <v>Gas Tank</v>
      </c>
      <c r="B8" s="33">
        <v>0</v>
      </c>
      <c r="C8" s="33">
        <f>'Water Heater Stock'!B8/Lifetime</f>
        <v>0</v>
      </c>
      <c r="D8" s="33">
        <f>'Water Heater Stock'!C8/Lifetime</f>
        <v>1.7943965207160104E-3</v>
      </c>
      <c r="E8" s="33">
        <f>'Water Heater Stock'!D8/Lifetime</f>
        <v>3.4451459801110454E-3</v>
      </c>
      <c r="F8" s="33">
        <f>'Water Heater Stock'!E8/Lifetime</f>
        <v>4.9626023956695397E-3</v>
      </c>
      <c r="G8" s="33">
        <f>'Water Heater Stock'!F8/Lifetime</f>
        <v>6.35638137696327E-3</v>
      </c>
      <c r="H8" s="33">
        <f>'Water Heater Stock'!G8/Lifetime</f>
        <v>7.6354128275897557E-3</v>
      </c>
      <c r="I8" s="33">
        <f>'Water Heater Stock'!H8/Lifetime</f>
        <v>8.8079898826224877E-3</v>
      </c>
      <c r="J8" s="33">
        <f>'Water Heater Stock'!I8/Lifetime</f>
        <v>9.8818143504990023E-3</v>
      </c>
      <c r="K8" s="33">
        <f>'Water Heater Stock'!J8/Lifetime</f>
        <v>1.0864038909063154E-2</v>
      </c>
      <c r="L8" s="33">
        <f>'Water Heater Stock'!K8/Lifetime</f>
        <v>1.1761306287640647E-2</v>
      </c>
      <c r="M8" s="33">
        <f>'Water Heater Stock'!L8/Lifetime</f>
        <v>1.2579785650463342E-2</v>
      </c>
      <c r="N8" s="33">
        <f>'Water Heater Stock'!M8/Lifetime</f>
        <v>1.3325206381377708E-2</v>
      </c>
      <c r="O8" s="33">
        <f>'Water Heater Stock'!N8/Lifetime</f>
        <v>1.4002889455490877E-2</v>
      </c>
      <c r="P8" s="33">
        <f>'Water Heater Stock'!O8/Lifetime</f>
        <v>1.4617776570146231E-2</v>
      </c>
      <c r="Q8" s="33">
        <f>'Water Heater Stock'!P8/Lifetime</f>
        <v>1.5174457195305874E-2</v>
      </c>
      <c r="R8" s="33">
        <f>'Water Heater Stock'!Q8/Lifetime</f>
        <v>1.5677193691982626E-2</v>
      </c>
      <c r="S8" s="33">
        <f>'Water Heater Stock'!R8/Lifetime</f>
        <v>1.6129944636745986E-2</v>
      </c>
      <c r="T8" s="33">
        <f>'Water Heater Stock'!S8/Lifetime</f>
        <v>1.6536386480466753E-2</v>
      </c>
      <c r="U8" s="33">
        <f>'Water Heater Stock'!T8/Lifetime</f>
        <v>1.6899933660309729E-2</v>
      </c>
      <c r="V8" s="33">
        <f>'Water Heater Stock'!U8/Lifetime</f>
        <v>1.7223757275482209E-2</v>
      </c>
      <c r="W8" s="33">
        <f>'Water Heater Stock'!V8/Lifetime</f>
        <v>1.7510802429351741E-2</v>
      </c>
    </row>
    <row r="9" spans="1:23">
      <c r="A9" s="9" t="str">
        <f>+'Water Heater Stock'!A9</f>
        <v>Instant Gas</v>
      </c>
      <c r="B9" s="33">
        <v>0</v>
      </c>
      <c r="C9" s="33">
        <f>'Water Heater Stock'!B9/Lifetime</f>
        <v>0</v>
      </c>
      <c r="D9" s="33">
        <f>'Water Heater Stock'!C9/Lifetime</f>
        <v>5.2649531914328547</v>
      </c>
      <c r="E9" s="33">
        <f>'Water Heater Stock'!D9/Lifetime</f>
        <v>10.179417034183924</v>
      </c>
      <c r="F9" s="33">
        <f>'Water Heater Stock'!E9/Lifetime</f>
        <v>14.768591746482601</v>
      </c>
      <c r="G9" s="33">
        <f>'Water Heater Stock'!F9/Lifetime</f>
        <v>19.055876404488487</v>
      </c>
      <c r="H9" s="33">
        <f>'Water Heater Stock'!G9/Lifetime</f>
        <v>23.062997534333622</v>
      </c>
      <c r="I9" s="33">
        <f>'Water Heater Stock'!H9/Lifetime</f>
        <v>26.810128518298804</v>
      </c>
      <c r="J9" s="33">
        <f>'Water Heater Stock'!I9/Lifetime</f>
        <v>30.316000471281182</v>
      </c>
      <c r="K9" s="33">
        <f>'Water Heater Stock'!J9/Lifetime</f>
        <v>33.598005196843147</v>
      </c>
      <c r="L9" s="33">
        <f>'Water Heater Stock'!K9/Lifetime</f>
        <v>36.672290788613282</v>
      </c>
      <c r="M9" s="33">
        <f>'Water Heater Stock'!L9/Lifetime</f>
        <v>39.553850402399185</v>
      </c>
      <c r="N9" s="33">
        <f>'Water Heater Stock'!M9/Lifetime</f>
        <v>42.256604686847822</v>
      </c>
      <c r="O9" s="33">
        <f>'Water Heater Stock'!N9/Lifetime</f>
        <v>44.793478325644706</v>
      </c>
      <c r="P9" s="33">
        <f>'Water Heater Stock'!O9/Lifetime</f>
        <v>47.176471111888375</v>
      </c>
      <c r="Q9" s="33">
        <f>'Water Heater Stock'!P9/Lifetime</f>
        <v>49.416723945232249</v>
      </c>
      <c r="R9" s="33">
        <f>'Water Heater Stock'!Q9/Lifetime</f>
        <v>51.524580114488053</v>
      </c>
      <c r="S9" s="33">
        <f>'Water Heater Stock'!R9/Lifetime</f>
        <v>53.509642202479533</v>
      </c>
      <c r="T9" s="33">
        <f>'Water Heater Stock'!S9/Lifetime</f>
        <v>55.380824925880134</v>
      </c>
      <c r="U9" s="33">
        <f>'Water Heater Stock'!T9/Lifetime</f>
        <v>57.146404200431597</v>
      </c>
      <c r="V9" s="33">
        <f>'Water Heater Stock'!U9/Lifetime</f>
        <v>58.814062701198978</v>
      </c>
      <c r="W9" s="33">
        <f>'Water Heater Stock'!V9/Lifetime</f>
        <v>60.390932168257983</v>
      </c>
    </row>
    <row r="10" spans="1:23">
      <c r="A10" s="9" t="str">
        <f>+'Water Heater Stock'!A10</f>
        <v>Condensing Gas</v>
      </c>
      <c r="B10" s="33">
        <v>0</v>
      </c>
      <c r="C10" s="33">
        <f>'Water Heater Stock'!B10/Lifetime</f>
        <v>0</v>
      </c>
      <c r="D10" s="33">
        <f>'Water Heater Stock'!C10/Lifetime</f>
        <v>13.245700749162401</v>
      </c>
      <c r="E10" s="33">
        <f>'Water Heater Stock'!D10/Lifetime</f>
        <v>25.552641269807424</v>
      </c>
      <c r="F10" s="33">
        <f>'Water Heater Stock'!E10/Lifetime</f>
        <v>36.987625243009411</v>
      </c>
      <c r="G10" s="33">
        <f>'Water Heater Stock'!F10/Lifetime</f>
        <v>47.612681402788262</v>
      </c>
      <c r="H10" s="33">
        <f>'Water Heater Stock'!G10/Lifetime</f>
        <v>57.485404662934151</v>
      </c>
      <c r="I10" s="33">
        <f>'Water Heater Stock'!H10/Lifetime</f>
        <v>66.659272879795211</v>
      </c>
      <c r="J10" s="33">
        <f>'Water Heater Stock'!I10/Lifetime</f>
        <v>75.183940991291152</v>
      </c>
      <c r="K10" s="33">
        <f>'Water Heater Stock'!J10/Lifetime</f>
        <v>83.105514148108924</v>
      </c>
      <c r="L10" s="33">
        <f>'Water Heater Stock'!K10/Lifetime</f>
        <v>90.466801337608118</v>
      </c>
      <c r="M10" s="33">
        <f>'Water Heater Stock'!L10/Lifetime</f>
        <v>97.307550893781467</v>
      </c>
      <c r="N10" s="33">
        <f>'Water Heater Stock'!M10/Lifetime</f>
        <v>103.6646691870878</v>
      </c>
      <c r="O10" s="33">
        <f>'Water Heater Stock'!N10/Lifetime</f>
        <v>109.57242369555762</v>
      </c>
      <c r="P10" s="33">
        <f>'Water Heater Stock'!O10/Lifetime</f>
        <v>115.06263157275397</v>
      </c>
      <c r="Q10" s="33">
        <f>'Water Heater Stock'!P10/Lifetime</f>
        <v>120.16483474848476</v>
      </c>
      <c r="R10" s="33">
        <f>'Water Heater Stock'!Q10/Lifetime</f>
        <v>124.90646252416775</v>
      </c>
      <c r="S10" s="33">
        <f>'Water Heater Stock'!R10/Lifetime</f>
        <v>129.31298255603934</v>
      </c>
      <c r="T10" s="33">
        <f>'Water Heater Stock'!S10/Lifetime</f>
        <v>133.40804105559729</v>
      </c>
      <c r="U10" s="33">
        <f>'Water Heater Stock'!T10/Lifetime</f>
        <v>137.21359297742208</v>
      </c>
      <c r="V10" s="33">
        <f>'Water Heater Stock'!U10/Lifetime</f>
        <v>140.75002290951019</v>
      </c>
      <c r="W10" s="33">
        <f>'Water Heater Stock'!V10/Lifetime</f>
        <v>144.03625733016818</v>
      </c>
    </row>
    <row r="12" spans="1:23">
      <c r="A12" s="12" t="s">
        <v>105</v>
      </c>
      <c r="D12" s="12"/>
    </row>
    <row r="13" spans="1:23">
      <c r="A13" s="38" t="str">
        <f>'Device Energy Use'!A4</f>
        <v>Water Heat Ending</v>
      </c>
      <c r="B13" s="39">
        <f>+'Water Heater Stock'!B13</f>
        <v>2014</v>
      </c>
      <c r="C13" s="39">
        <f>+'Water Heater Stock'!C13</f>
        <v>2015</v>
      </c>
      <c r="D13" s="39">
        <f>+'Water Heater Stock'!D13</f>
        <v>2016</v>
      </c>
      <c r="E13" s="39">
        <f>+'Water Heater Stock'!E13</f>
        <v>2017</v>
      </c>
      <c r="F13" s="39">
        <f>+'Water Heater Stock'!F13</f>
        <v>2018</v>
      </c>
      <c r="G13" s="39">
        <f>+'Water Heater Stock'!G13</f>
        <v>2019</v>
      </c>
      <c r="H13" s="39">
        <f>+'Water Heater Stock'!H13</f>
        <v>2020</v>
      </c>
      <c r="I13" s="39">
        <f>+'Water Heater Stock'!I13</f>
        <v>2021</v>
      </c>
      <c r="J13" s="39">
        <f>+'Water Heater Stock'!J13</f>
        <v>2022</v>
      </c>
      <c r="K13" s="39">
        <f>+'Water Heater Stock'!K13</f>
        <v>2023</v>
      </c>
      <c r="L13" s="39">
        <f>+'Water Heater Stock'!L13</f>
        <v>2024</v>
      </c>
      <c r="M13" s="39">
        <f>+'Water Heater Stock'!M13</f>
        <v>2025</v>
      </c>
      <c r="N13" s="39">
        <f>+'Water Heater Stock'!N13</f>
        <v>2026</v>
      </c>
      <c r="O13" s="39">
        <f>+'Water Heater Stock'!O13</f>
        <v>2027</v>
      </c>
      <c r="P13" s="39">
        <f>+'Water Heater Stock'!P13</f>
        <v>2028</v>
      </c>
      <c r="Q13" s="39">
        <f>+'Water Heater Stock'!Q13</f>
        <v>2029</v>
      </c>
      <c r="R13" s="39">
        <f>+'Water Heater Stock'!R13</f>
        <v>2030</v>
      </c>
      <c r="S13" s="39">
        <f>+'Water Heater Stock'!S13</f>
        <v>2031</v>
      </c>
      <c r="T13" s="39">
        <f>+'Water Heater Stock'!T13</f>
        <v>2032</v>
      </c>
      <c r="U13" s="39">
        <f>+'Water Heater Stock'!U13</f>
        <v>2033</v>
      </c>
      <c r="V13" s="39">
        <f>+'Water Heater Stock'!V13</f>
        <v>2034</v>
      </c>
      <c r="W13" s="39">
        <f>+'Water Heater Stock'!W13</f>
        <v>2035</v>
      </c>
    </row>
    <row r="14" spans="1:23" ht="16.5" thickBot="1">
      <c r="A14" s="48" t="s">
        <v>45</v>
      </c>
      <c r="B14" s="49">
        <f t="shared" ref="B14:W14" si="1">SUM(B15:B19)</f>
        <v>0</v>
      </c>
      <c r="C14" s="49">
        <f t="shared" si="1"/>
        <v>504.14285714285717</v>
      </c>
      <c r="D14" s="49">
        <f t="shared" si="1"/>
        <v>504.14285714285717</v>
      </c>
      <c r="E14" s="49">
        <f t="shared" si="1"/>
        <v>504.14285714285722</v>
      </c>
      <c r="F14" s="49">
        <f t="shared" si="1"/>
        <v>504.14285714285722</v>
      </c>
      <c r="G14" s="49">
        <f t="shared" si="1"/>
        <v>504.14285714285722</v>
      </c>
      <c r="H14" s="49">
        <f t="shared" si="1"/>
        <v>504.14285714285722</v>
      </c>
      <c r="I14" s="49">
        <f t="shared" si="1"/>
        <v>504.14285714285722</v>
      </c>
      <c r="J14" s="49">
        <f t="shared" si="1"/>
        <v>504.14285714285722</v>
      </c>
      <c r="K14" s="49">
        <f t="shared" si="1"/>
        <v>504.14285714285722</v>
      </c>
      <c r="L14" s="49">
        <f t="shared" si="1"/>
        <v>504.14285714285722</v>
      </c>
      <c r="M14" s="49">
        <f t="shared" si="1"/>
        <v>504.14285714285722</v>
      </c>
      <c r="N14" s="49">
        <f t="shared" si="1"/>
        <v>504.14285714285722</v>
      </c>
      <c r="O14" s="49">
        <f t="shared" si="1"/>
        <v>504.14285714285722</v>
      </c>
      <c r="P14" s="49">
        <f t="shared" si="1"/>
        <v>504.14285714285722</v>
      </c>
      <c r="Q14" s="49">
        <f t="shared" si="1"/>
        <v>504.14285714285717</v>
      </c>
      <c r="R14" s="49">
        <f t="shared" si="1"/>
        <v>504.14285714285711</v>
      </c>
      <c r="S14" s="49">
        <f t="shared" si="1"/>
        <v>504.14285714285711</v>
      </c>
      <c r="T14" s="49">
        <f t="shared" si="1"/>
        <v>504.14285714285711</v>
      </c>
      <c r="U14" s="49">
        <f t="shared" si="1"/>
        <v>504.14285714285711</v>
      </c>
      <c r="V14" s="49">
        <f t="shared" si="1"/>
        <v>504.14285714285705</v>
      </c>
      <c r="W14" s="49">
        <f t="shared" si="1"/>
        <v>504.14285714285705</v>
      </c>
    </row>
    <row r="15" spans="1:23" ht="16.5" thickTop="1">
      <c r="A15" s="9" t="str">
        <f>+'Water Heater Stock'!A15</f>
        <v>Electric Resistance</v>
      </c>
      <c r="B15" s="33">
        <v>0</v>
      </c>
      <c r="C15" s="33">
        <f>'Water Heater Stock'!B15/Lifetime</f>
        <v>504.14285714285717</v>
      </c>
      <c r="D15" s="33">
        <f>'Water Heater Stock'!C15/Lifetime</f>
        <v>468.13265306122452</v>
      </c>
      <c r="E15" s="33">
        <f>'Water Heater Stock'!D15/Lifetime</f>
        <v>434.69460641399422</v>
      </c>
      <c r="F15" s="33">
        <f>'Water Heater Stock'!E15/Lifetime</f>
        <v>403.64499167013753</v>
      </c>
      <c r="G15" s="33">
        <f>'Water Heater Stock'!F15/Lifetime</f>
        <v>374.81320655084198</v>
      </c>
      <c r="H15" s="33">
        <f>'Water Heater Stock'!G15/Lifetime</f>
        <v>348.04083465435326</v>
      </c>
      <c r="I15" s="33">
        <f>'Water Heater Stock'!H15/Lifetime</f>
        <v>323.18077503618514</v>
      </c>
      <c r="J15" s="33">
        <f>'Water Heater Stock'!I15/Lifetime</f>
        <v>300.09643396217194</v>
      </c>
      <c r="K15" s="33">
        <f>'Water Heater Stock'!J15/Lifetime</f>
        <v>278.66097439344537</v>
      </c>
      <c r="L15" s="33">
        <f>'Water Heater Stock'!K15/Lifetime</f>
        <v>258.75661907962785</v>
      </c>
      <c r="M15" s="33">
        <f>'Water Heater Stock'!L15/Lifetime</f>
        <v>240.274003431083</v>
      </c>
      <c r="N15" s="33">
        <f>'Water Heater Stock'!M15/Lifetime</f>
        <v>223.11157461457705</v>
      </c>
      <c r="O15" s="33">
        <f>'Water Heater Stock'!N15/Lifetime</f>
        <v>207.17503357067872</v>
      </c>
      <c r="P15" s="33">
        <f>'Water Heater Stock'!O15/Lifetime</f>
        <v>192.37681688705879</v>
      </c>
      <c r="Q15" s="33">
        <f>'Water Heater Stock'!P15/Lifetime</f>
        <v>178.63561568084032</v>
      </c>
      <c r="R15" s="33">
        <f>'Water Heater Stock'!Q15/Lifetime</f>
        <v>165.87592884649459</v>
      </c>
      <c r="S15" s="33">
        <f>'Water Heater Stock'!R15/Lifetime</f>
        <v>154.02764821460212</v>
      </c>
      <c r="T15" s="33">
        <f>'Water Heater Stock'!S15/Lifetime</f>
        <v>143.02567334213055</v>
      </c>
      <c r="U15" s="33">
        <f>'Water Heater Stock'!T15/Lifetime</f>
        <v>132.80955381769266</v>
      </c>
      <c r="V15" s="33">
        <f>'Water Heater Stock'!U15/Lifetime</f>
        <v>123.32315711642889</v>
      </c>
      <c r="W15" s="33">
        <f>'Water Heater Stock'!V15/Lifetime</f>
        <v>114.5143601795411</v>
      </c>
    </row>
    <row r="16" spans="1:23">
      <c r="A16" s="9" t="str">
        <f>+'Water Heater Stock'!A16</f>
        <v>HPWH</v>
      </c>
      <c r="B16" s="33">
        <v>0</v>
      </c>
      <c r="C16" s="33">
        <f>'Water Heater Stock'!B16/Lifetime</f>
        <v>0</v>
      </c>
      <c r="D16" s="33">
        <f>'Water Heater Stock'!C16/Lifetime</f>
        <v>36.010204081632658</v>
      </c>
      <c r="E16" s="33">
        <f>'Water Heater Stock'!D16/Lifetime</f>
        <v>69.448250728862973</v>
      </c>
      <c r="F16" s="33">
        <f>'Water Heater Stock'!E16/Lifetime</f>
        <v>100.49786547271971</v>
      </c>
      <c r="G16" s="33">
        <f>'Water Heater Stock'!F16/Lifetime</f>
        <v>129.32965059201524</v>
      </c>
      <c r="H16" s="33">
        <f>'Water Heater Stock'!G16/Lifetime</f>
        <v>156.10202248850396</v>
      </c>
      <c r="I16" s="33">
        <f>'Water Heater Stock'!H16/Lifetime</f>
        <v>180.96208210667206</v>
      </c>
      <c r="J16" s="33">
        <f>'Water Heater Stock'!I16/Lifetime</f>
        <v>204.04642318068528</v>
      </c>
      <c r="K16" s="33">
        <f>'Water Heater Stock'!J16/Lifetime</f>
        <v>225.48188274941185</v>
      </c>
      <c r="L16" s="33">
        <f>'Water Heater Stock'!K16/Lifetime</f>
        <v>245.3862380632294</v>
      </c>
      <c r="M16" s="33">
        <f>'Water Heater Stock'!L16/Lifetime</f>
        <v>263.86885371177425</v>
      </c>
      <c r="N16" s="33">
        <f>'Water Heater Stock'!M16/Lifetime</f>
        <v>281.0312825282802</v>
      </c>
      <c r="O16" s="33">
        <f>'Water Heater Stock'!N16/Lifetime</f>
        <v>296.96782357217853</v>
      </c>
      <c r="P16" s="33">
        <f>'Water Heater Stock'!O16/Lifetime</f>
        <v>311.76604025579843</v>
      </c>
      <c r="Q16" s="33">
        <f>'Water Heater Stock'!P16/Lifetime</f>
        <v>325.50724146201685</v>
      </c>
      <c r="R16" s="33">
        <f>'Water Heater Stock'!Q16/Lifetime</f>
        <v>338.26692829636255</v>
      </c>
      <c r="S16" s="33">
        <f>'Water Heater Stock'!R16/Lifetime</f>
        <v>350.11520892825502</v>
      </c>
      <c r="T16" s="33">
        <f>'Water Heater Stock'!S16/Lifetime</f>
        <v>361.11718380072659</v>
      </c>
      <c r="U16" s="33">
        <f>'Water Heater Stock'!T16/Lifetime</f>
        <v>371.33330332516442</v>
      </c>
      <c r="V16" s="33">
        <f>'Water Heater Stock'!U16/Lifetime</f>
        <v>380.81970002642817</v>
      </c>
      <c r="W16" s="33">
        <f>'Water Heater Stock'!V16/Lifetime</f>
        <v>389.62849696331597</v>
      </c>
    </row>
    <row r="17" spans="1:23">
      <c r="A17" s="9" t="str">
        <f>+'Water Heater Stock'!A17</f>
        <v>Gas Tank</v>
      </c>
      <c r="B17" s="33">
        <v>0</v>
      </c>
      <c r="C17" s="33">
        <f>'Water Heater Stock'!B17/Lifetime</f>
        <v>0</v>
      </c>
      <c r="D17" s="33">
        <f>'Water Heater Stock'!C17/Lifetime</f>
        <v>0</v>
      </c>
      <c r="E17" s="33">
        <f>'Water Heater Stock'!D17/Lifetime</f>
        <v>0</v>
      </c>
      <c r="F17" s="33">
        <f>'Water Heater Stock'!E17/Lifetime</f>
        <v>0</v>
      </c>
      <c r="G17" s="33">
        <f>'Water Heater Stock'!F17/Lifetime</f>
        <v>0</v>
      </c>
      <c r="H17" s="33">
        <f>'Water Heater Stock'!G17/Lifetime</f>
        <v>0</v>
      </c>
      <c r="I17" s="33">
        <f>'Water Heater Stock'!H17/Lifetime</f>
        <v>0</v>
      </c>
      <c r="J17" s="33">
        <f>'Water Heater Stock'!I17/Lifetime</f>
        <v>0</v>
      </c>
      <c r="K17" s="33">
        <f>'Water Heater Stock'!J17/Lifetime</f>
        <v>0</v>
      </c>
      <c r="L17" s="33">
        <f>'Water Heater Stock'!K17/Lifetime</f>
        <v>0</v>
      </c>
      <c r="M17" s="33">
        <f>'Water Heater Stock'!L17/Lifetime</f>
        <v>0</v>
      </c>
      <c r="N17" s="33">
        <f>'Water Heater Stock'!M17/Lifetime</f>
        <v>0</v>
      </c>
      <c r="O17" s="33">
        <f>'Water Heater Stock'!N17/Lifetime</f>
        <v>0</v>
      </c>
      <c r="P17" s="33">
        <f>'Water Heater Stock'!O17/Lifetime</f>
        <v>0</v>
      </c>
      <c r="Q17" s="33">
        <f>'Water Heater Stock'!P17/Lifetime</f>
        <v>0</v>
      </c>
      <c r="R17" s="33">
        <f>'Water Heater Stock'!Q17/Lifetime</f>
        <v>0</v>
      </c>
      <c r="S17" s="33">
        <f>'Water Heater Stock'!R17/Lifetime</f>
        <v>0</v>
      </c>
      <c r="T17" s="33">
        <f>'Water Heater Stock'!S17/Lifetime</f>
        <v>0</v>
      </c>
      <c r="U17" s="33">
        <f>'Water Heater Stock'!T17/Lifetime</f>
        <v>0</v>
      </c>
      <c r="V17" s="33">
        <f>'Water Heater Stock'!U17/Lifetime</f>
        <v>0</v>
      </c>
      <c r="W17" s="33">
        <f>'Water Heater Stock'!V17/Lifetime</f>
        <v>0</v>
      </c>
    </row>
    <row r="18" spans="1:23">
      <c r="A18" s="9" t="str">
        <f>+'Water Heater Stock'!A18</f>
        <v>Instant Gas</v>
      </c>
      <c r="B18" s="33">
        <v>0</v>
      </c>
      <c r="C18" s="33">
        <f>'Water Heater Stock'!B18/Lifetime</f>
        <v>0</v>
      </c>
      <c r="D18" s="33">
        <f>'Water Heater Stock'!C18/Lifetime</f>
        <v>0</v>
      </c>
      <c r="E18" s="33">
        <f>'Water Heater Stock'!D18/Lifetime</f>
        <v>0</v>
      </c>
      <c r="F18" s="33">
        <f>'Water Heater Stock'!E18/Lifetime</f>
        <v>0</v>
      </c>
      <c r="G18" s="33">
        <f>'Water Heater Stock'!F18/Lifetime</f>
        <v>0</v>
      </c>
      <c r="H18" s="33">
        <f>'Water Heater Stock'!G18/Lifetime</f>
        <v>0</v>
      </c>
      <c r="I18" s="33">
        <f>'Water Heater Stock'!H18/Lifetime</f>
        <v>0</v>
      </c>
      <c r="J18" s="33">
        <f>'Water Heater Stock'!I18/Lifetime</f>
        <v>0</v>
      </c>
      <c r="K18" s="33">
        <f>'Water Heater Stock'!J18/Lifetime</f>
        <v>0</v>
      </c>
      <c r="L18" s="33">
        <f>'Water Heater Stock'!K18/Lifetime</f>
        <v>0</v>
      </c>
      <c r="M18" s="33">
        <f>'Water Heater Stock'!L18/Lifetime</f>
        <v>0</v>
      </c>
      <c r="N18" s="33">
        <f>'Water Heater Stock'!M18/Lifetime</f>
        <v>0</v>
      </c>
      <c r="O18" s="33">
        <f>'Water Heater Stock'!N18/Lifetime</f>
        <v>0</v>
      </c>
      <c r="P18" s="33">
        <f>'Water Heater Stock'!O18/Lifetime</f>
        <v>0</v>
      </c>
      <c r="Q18" s="33">
        <f>'Water Heater Stock'!P18/Lifetime</f>
        <v>0</v>
      </c>
      <c r="R18" s="33">
        <f>'Water Heater Stock'!Q18/Lifetime</f>
        <v>0</v>
      </c>
      <c r="S18" s="33">
        <f>'Water Heater Stock'!R18/Lifetime</f>
        <v>0</v>
      </c>
      <c r="T18" s="33">
        <f>'Water Heater Stock'!S18/Lifetime</f>
        <v>0</v>
      </c>
      <c r="U18" s="33">
        <f>'Water Heater Stock'!T18/Lifetime</f>
        <v>0</v>
      </c>
      <c r="V18" s="33">
        <f>'Water Heater Stock'!U18/Lifetime</f>
        <v>0</v>
      </c>
      <c r="W18" s="33">
        <f>'Water Heater Stock'!V18/Lifetime</f>
        <v>0</v>
      </c>
    </row>
    <row r="19" spans="1:23">
      <c r="A19" s="9" t="str">
        <f>+'Water Heater Stock'!A19</f>
        <v>Condensing Gas</v>
      </c>
      <c r="B19" s="33">
        <v>0</v>
      </c>
      <c r="C19" s="33">
        <f>'Water Heater Stock'!B19/Lifetime</f>
        <v>0</v>
      </c>
      <c r="D19" s="33">
        <f>'Water Heater Stock'!C19/Lifetime</f>
        <v>0</v>
      </c>
      <c r="E19" s="33">
        <f>'Water Heater Stock'!D19/Lifetime</f>
        <v>0</v>
      </c>
      <c r="F19" s="33">
        <f>'Water Heater Stock'!E19/Lifetime</f>
        <v>0</v>
      </c>
      <c r="G19" s="33">
        <f>'Water Heater Stock'!F19/Lifetime</f>
        <v>0</v>
      </c>
      <c r="H19" s="33">
        <f>'Water Heater Stock'!G19/Lifetime</f>
        <v>0</v>
      </c>
      <c r="I19" s="33">
        <f>'Water Heater Stock'!H19/Lifetime</f>
        <v>0</v>
      </c>
      <c r="J19" s="33">
        <f>'Water Heater Stock'!I19/Lifetime</f>
        <v>0</v>
      </c>
      <c r="K19" s="33">
        <f>'Water Heater Stock'!J19/Lifetime</f>
        <v>0</v>
      </c>
      <c r="L19" s="33">
        <f>'Water Heater Stock'!K19/Lifetime</f>
        <v>0</v>
      </c>
      <c r="M19" s="33">
        <f>'Water Heater Stock'!L19/Lifetime</f>
        <v>0</v>
      </c>
      <c r="N19" s="33">
        <f>'Water Heater Stock'!M19/Lifetime</f>
        <v>0</v>
      </c>
      <c r="O19" s="33">
        <f>'Water Heater Stock'!N19/Lifetime</f>
        <v>0</v>
      </c>
      <c r="P19" s="33">
        <f>'Water Heater Stock'!O19/Lifetime</f>
        <v>0</v>
      </c>
      <c r="Q19" s="33">
        <f>'Water Heater Stock'!P19/Lifetime</f>
        <v>0</v>
      </c>
      <c r="R19" s="33">
        <f>'Water Heater Stock'!Q19/Lifetime</f>
        <v>0</v>
      </c>
      <c r="S19" s="33">
        <f>'Water Heater Stock'!R19/Lifetime</f>
        <v>0</v>
      </c>
      <c r="T19" s="33">
        <f>'Water Heater Stock'!S19/Lifetime</f>
        <v>0</v>
      </c>
      <c r="U19" s="33">
        <f>'Water Heater Stock'!T19/Lifetime</f>
        <v>0</v>
      </c>
      <c r="V19" s="33">
        <f>'Water Heater Stock'!U19/Lifetime</f>
        <v>0</v>
      </c>
      <c r="W19" s="33">
        <f>'Water Heater Stock'!V19/Lifetime</f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5"/>
  <dimension ref="A1:W19"/>
  <sheetViews>
    <sheetView workbookViewId="0"/>
  </sheetViews>
  <sheetFormatPr defaultColWidth="9.140625" defaultRowHeight="15.75"/>
  <cols>
    <col min="1" max="1" width="20.7109375" style="9" customWidth="1"/>
    <col min="2" max="13" width="9.7109375" style="9" customWidth="1"/>
    <col min="14" max="16384" width="9.140625" style="9"/>
  </cols>
  <sheetData>
    <row r="1" spans="1:23">
      <c r="A1" s="147" t="str">
        <f>CONCATENATE("Segment:  ",State,", Single Family, ", SpaceHeat, ", ", TankSize,", ", StartWH, " is starting water heater")</f>
        <v>Segment:  Idaho, Single Family, Gas FAF, &gt;55 Gallons, Electric Resistance is starting water heater</v>
      </c>
    </row>
    <row r="3" spans="1:23">
      <c r="A3" s="12" t="s">
        <v>102</v>
      </c>
    </row>
    <row r="4" spans="1:23">
      <c r="A4" s="38" t="str">
        <f>'Device Energy Use'!A4</f>
        <v>Water Heat Ending</v>
      </c>
      <c r="B4" s="39">
        <f>+'Water Heater Stock'!B4</f>
        <v>2014</v>
      </c>
      <c r="C4" s="39">
        <f>+'Water Heater Stock'!C4</f>
        <v>2015</v>
      </c>
      <c r="D4" s="39">
        <f>+'Water Heater Stock'!D4</f>
        <v>2016</v>
      </c>
      <c r="E4" s="39">
        <f>+'Water Heater Stock'!E4</f>
        <v>2017</v>
      </c>
      <c r="F4" s="39">
        <f>+'Water Heater Stock'!F4</f>
        <v>2018</v>
      </c>
      <c r="G4" s="39">
        <f>+'Water Heater Stock'!G4</f>
        <v>2019</v>
      </c>
      <c r="H4" s="39">
        <f>+'Water Heater Stock'!H4</f>
        <v>2020</v>
      </c>
      <c r="I4" s="39">
        <f>+'Water Heater Stock'!I4</f>
        <v>2021</v>
      </c>
      <c r="J4" s="39">
        <f>+'Water Heater Stock'!J4</f>
        <v>2022</v>
      </c>
      <c r="K4" s="39">
        <f>+'Water Heater Stock'!K4</f>
        <v>2023</v>
      </c>
      <c r="L4" s="39">
        <f>+'Water Heater Stock'!L4</f>
        <v>2024</v>
      </c>
      <c r="M4" s="39">
        <f>+'Water Heater Stock'!M4</f>
        <v>2025</v>
      </c>
      <c r="N4" s="39">
        <f>+'Water Heater Stock'!N4</f>
        <v>2026</v>
      </c>
      <c r="O4" s="39">
        <f>+'Water Heater Stock'!O4</f>
        <v>2027</v>
      </c>
      <c r="P4" s="39">
        <f>+'Water Heater Stock'!P4</f>
        <v>2028</v>
      </c>
      <c r="Q4" s="39">
        <f>+'Water Heater Stock'!Q4</f>
        <v>2029</v>
      </c>
      <c r="R4" s="39">
        <f>+'Water Heater Stock'!R4</f>
        <v>2030</v>
      </c>
      <c r="S4" s="39">
        <f>+'Water Heater Stock'!S4</f>
        <v>2031</v>
      </c>
      <c r="T4" s="39">
        <f>+'Water Heater Stock'!T4</f>
        <v>2032</v>
      </c>
      <c r="U4" s="39">
        <f>+'Water Heater Stock'!U4</f>
        <v>2033</v>
      </c>
      <c r="V4" s="39">
        <f>+'Water Heater Stock'!V4</f>
        <v>2034</v>
      </c>
      <c r="W4" s="39">
        <f>+'Water Heater Stock'!W4</f>
        <v>2035</v>
      </c>
    </row>
    <row r="5" spans="1:23" s="28" customFormat="1" ht="16.5" thickBot="1">
      <c r="A5" s="48" t="s">
        <v>45</v>
      </c>
      <c r="B5" s="49">
        <f t="shared" ref="B5:W5" si="0">SUM(B6:B10)</f>
        <v>0</v>
      </c>
      <c r="C5" s="49">
        <f t="shared" ref="C5" si="1">SUM(C6:C10)</f>
        <v>504.14285714285722</v>
      </c>
      <c r="D5" s="49">
        <f t="shared" si="0"/>
        <v>504.14285714285722</v>
      </c>
      <c r="E5" s="49">
        <f t="shared" si="0"/>
        <v>504.14285714285722</v>
      </c>
      <c r="F5" s="49">
        <f t="shared" si="0"/>
        <v>504.14285714285722</v>
      </c>
      <c r="G5" s="49">
        <f t="shared" si="0"/>
        <v>504.14285714285722</v>
      </c>
      <c r="H5" s="49">
        <f t="shared" si="0"/>
        <v>504.14285714285722</v>
      </c>
      <c r="I5" s="49">
        <f t="shared" si="0"/>
        <v>504.14285714285722</v>
      </c>
      <c r="J5" s="49">
        <f t="shared" si="0"/>
        <v>504.14285714285711</v>
      </c>
      <c r="K5" s="49">
        <f t="shared" si="0"/>
        <v>504.14285714285711</v>
      </c>
      <c r="L5" s="49">
        <f t="shared" si="0"/>
        <v>504.14285714285722</v>
      </c>
      <c r="M5" s="49">
        <f t="shared" si="0"/>
        <v>504.14285714285717</v>
      </c>
      <c r="N5" s="49">
        <f t="shared" si="0"/>
        <v>504.14285714285711</v>
      </c>
      <c r="O5" s="49">
        <f t="shared" si="0"/>
        <v>504.142857142857</v>
      </c>
      <c r="P5" s="49">
        <f t="shared" si="0"/>
        <v>504.14285714285722</v>
      </c>
      <c r="Q5" s="49">
        <f t="shared" si="0"/>
        <v>504.14285714285722</v>
      </c>
      <c r="R5" s="49">
        <f t="shared" si="0"/>
        <v>504.14285714285717</v>
      </c>
      <c r="S5" s="49">
        <f t="shared" si="0"/>
        <v>504.14285714285711</v>
      </c>
      <c r="T5" s="49">
        <f t="shared" si="0"/>
        <v>504.14285714285717</v>
      </c>
      <c r="U5" s="49">
        <f t="shared" si="0"/>
        <v>504.14285714285722</v>
      </c>
      <c r="V5" s="49">
        <f t="shared" si="0"/>
        <v>504.14285714285717</v>
      </c>
      <c r="W5" s="49">
        <f t="shared" si="0"/>
        <v>504.14285714285711</v>
      </c>
    </row>
    <row r="6" spans="1:23" ht="16.5" thickTop="1">
      <c r="A6" s="9" t="str">
        <f>+'Water Heater Stock'!A6</f>
        <v>Electric Resistance</v>
      </c>
      <c r="B6" s="33">
        <v>0</v>
      </c>
      <c r="C6" s="33">
        <f>SUM('Water Heaters Retired'!C$6:C$10)*'Marginal Market Share'!C5</f>
        <v>9.1719835305116588E-3</v>
      </c>
      <c r="D6" s="33">
        <f>SUM('Water Heaters Retired'!D$6:D$10)*'Marginal Market Share'!D5</f>
        <v>9.064805686194945E-3</v>
      </c>
      <c r="E6" s="33">
        <f>SUM('Water Heaters Retired'!E$6:E$10)*'Marginal Market Share'!E5</f>
        <v>8.9592438747714623E-3</v>
      </c>
      <c r="F6" s="33">
        <f>SUM('Water Heaters Retired'!F$6:F$10)*'Marginal Market Share'!F5</f>
        <v>8.8552774730199842E-3</v>
      </c>
      <c r="G6" s="33">
        <f>SUM('Water Heaters Retired'!G$6:G$10)*'Marginal Market Share'!G5</f>
        <v>8.7528859953223646E-3</v>
      </c>
      <c r="H6" s="33">
        <f>SUM('Water Heaters Retired'!H$6:H$10)*'Marginal Market Share'!H5</f>
        <v>8.652049097470969E-3</v>
      </c>
      <c r="I6" s="33">
        <f>SUM('Water Heaters Retired'!I$6:I$10)*'Marginal Market Share'!I5</f>
        <v>8.552746580289745E-3</v>
      </c>
      <c r="J6" s="33">
        <f>SUM('Water Heaters Retired'!J$6:J$10)*'Marginal Market Share'!J5</f>
        <v>8.454958393072181E-3</v>
      </c>
      <c r="K6" s="33">
        <f>SUM('Water Heaters Retired'!K$6:K$10)*'Marginal Market Share'!K5</f>
        <v>8.3586646368395377E-3</v>
      </c>
      <c r="L6" s="33">
        <f>SUM('Water Heaters Retired'!L$6:L$10)*'Marginal Market Share'!L5</f>
        <v>8.2638455674228072E-3</v>
      </c>
      <c r="M6" s="33">
        <f>SUM('Water Heaters Retired'!M$6:M$10)*'Marginal Market Share'!M5</f>
        <v>8.1704815983718766E-3</v>
      </c>
      <c r="N6" s="33">
        <f>SUM('Water Heaters Retired'!N$6:N$10)*'Marginal Market Share'!N5</f>
        <v>8.0785533036954425E-3</v>
      </c>
      <c r="O6" s="33">
        <f>SUM('Water Heaters Retired'!O$6:O$10)*'Marginal Market Share'!O5</f>
        <v>7.9880414204351741E-3</v>
      </c>
      <c r="P6" s="33">
        <f>SUM('Water Heaters Retired'!P$6:P$10)*'Marginal Market Share'!P5</f>
        <v>7.8989268510777835E-3</v>
      </c>
      <c r="Q6" s="33">
        <f>SUM('Water Heaters Retired'!Q$6:Q$10)*'Marginal Market Share'!Q5</f>
        <v>7.8111906658085203E-3</v>
      </c>
      <c r="R6" s="33">
        <f>SUM('Water Heaters Retired'!R$6:R$10)*'Marginal Market Share'!R5</f>
        <v>7.7248141046097904E-3</v>
      </c>
      <c r="S6" s="33">
        <f>SUM('Water Heaters Retired'!S$6:S$10)*'Marginal Market Share'!S5</f>
        <v>7.6397785792084909E-3</v>
      </c>
      <c r="T6" s="33">
        <f>SUM('Water Heaters Retired'!T$6:T$10)*'Marginal Market Share'!T5</f>
        <v>7.5560656748756743E-3</v>
      </c>
      <c r="U6" s="33">
        <f>SUM('Water Heaters Retired'!U$6:U$10)*'Marginal Market Share'!U5</f>
        <v>7.4736571520822468E-3</v>
      </c>
      <c r="V6" s="33">
        <f>SUM('Water Heaters Retired'!V$6:V$10)*'Marginal Market Share'!V5</f>
        <v>7.3925349480142748E-3</v>
      </c>
      <c r="W6" s="33">
        <f>SUM('Water Heaters Retired'!W$6:W$10)*'Marginal Market Share'!W5</f>
        <v>7.3126811779515924E-3</v>
      </c>
    </row>
    <row r="7" spans="1:23">
      <c r="A7" s="9" t="str">
        <f>+'Water Heater Stock'!A7</f>
        <v>HPWH</v>
      </c>
      <c r="B7" s="33">
        <v>0</v>
      </c>
      <c r="C7" s="33">
        <f>SUM('Water Heaters Retired'!C$6:C$10)*'Marginal Market Share'!C6</f>
        <v>244.95940843970308</v>
      </c>
      <c r="D7" s="33">
        <f>SUM('Water Heaters Retired'!D$6:D$10)*'Marginal Market Share'!D6</f>
        <v>244.49857242007818</v>
      </c>
      <c r="E7" s="33">
        <f>SUM('Water Heaters Retired'!E$6:E$10)*'Marginal Market Share'!E6</f>
        <v>244.03892846218386</v>
      </c>
      <c r="F7" s="33">
        <f>SUM('Water Heaters Retired'!F$6:F$10)*'Marginal Market Share'!F6</f>
        <v>243.58053791877208</v>
      </c>
      <c r="G7" s="33">
        <f>SUM('Water Heaters Retired'!G$6:G$10)*'Marginal Market Share'!G6</f>
        <v>243.12346216802516</v>
      </c>
      <c r="H7" s="33">
        <f>SUM('Water Heaters Retired'!H$6:H$10)*'Marginal Market Share'!H6</f>
        <v>242.6677625933267</v>
      </c>
      <c r="I7" s="33">
        <f>SUM('Water Heaters Retired'!I$6:I$10)*'Marginal Market Share'!I6</f>
        <v>242.21350056305346</v>
      </c>
      <c r="J7" s="33">
        <f>SUM('Water Heaters Retired'!J$6:J$10)*'Marginal Market Share'!J6</f>
        <v>241.76073741040508</v>
      </c>
      <c r="K7" s="33">
        <f>SUM('Water Heaters Retired'!K$6:K$10)*'Marginal Market Share'!K6</f>
        <v>241.30953441328847</v>
      </c>
      <c r="L7" s="33">
        <f>SUM('Water Heaters Retired'!L$6:L$10)*'Marginal Market Share'!L6</f>
        <v>240.85995277427185</v>
      </c>
      <c r="M7" s="33">
        <f>SUM('Water Heaters Retired'!M$6:M$10)*'Marginal Market Share'!M6</f>
        <v>240.41205360062526</v>
      </c>
      <c r="N7" s="33">
        <f>SUM('Water Heaters Retired'!N$6:N$10)*'Marginal Market Share'!N6</f>
        <v>239.96589788446482</v>
      </c>
      <c r="O7" s="33">
        <f>SUM('Water Heaters Retired'!O$6:O$10)*'Marginal Market Share'!O6</f>
        <v>239.5215464830134</v>
      </c>
      <c r="P7" s="33">
        <f>SUM('Water Heaters Retired'!P$6:P$10)*'Marginal Market Share'!P6</f>
        <v>239.07906009899605</v>
      </c>
      <c r="Q7" s="33">
        <f>SUM('Water Heaters Retired'!Q$6:Q$10)*'Marginal Market Share'!Q6</f>
        <v>238.63849926118266</v>
      </c>
      <c r="R7" s="33">
        <f>SUM('Water Heaters Retired'!R$6:R$10)*'Marginal Market Share'!R6</f>
        <v>238.1999243050949</v>
      </c>
      <c r="S7" s="33">
        <f>SUM('Water Heaters Retired'!S$6:S$10)*'Marginal Market Share'!S6</f>
        <v>237.76339535389073</v>
      </c>
      <c r="T7" s="33">
        <f>SUM('Water Heaters Retired'!T$6:T$10)*'Marginal Market Share'!T6</f>
        <v>237.32897229943924</v>
      </c>
      <c r="U7" s="33">
        <f>SUM('Water Heaters Retired'!U$6:U$10)*'Marginal Market Share'!U6</f>
        <v>236.89671478360202</v>
      </c>
      <c r="V7" s="33">
        <f>SUM('Water Heaters Retired'!V$6:V$10)*'Marginal Market Share'!V6</f>
        <v>236.46668217973237</v>
      </c>
      <c r="W7" s="33">
        <f>SUM('Water Heaters Retired'!W$6:W$10)*'Marginal Market Share'!W6</f>
        <v>236.03893357440506</v>
      </c>
    </row>
    <row r="8" spans="1:23">
      <c r="A8" s="9" t="str">
        <f>+'Water Heater Stock'!A8</f>
        <v>Gas Tank</v>
      </c>
      <c r="B8" s="33">
        <v>0</v>
      </c>
      <c r="C8" s="33">
        <f>SUM('Water Heaters Retired'!C$6:C$10)*'Marginal Market Share'!C7</f>
        <v>2.5121551290024146E-2</v>
      </c>
      <c r="D8" s="33">
        <f>SUM('Water Heaters Retired'!D$6:D$10)*'Marginal Market Share'!D7</f>
        <v>2.4904888952246504E-2</v>
      </c>
      <c r="E8" s="33">
        <f>SUM('Water Heaters Retired'!E$6:E$10)*'Marginal Market Share'!E7</f>
        <v>2.4689535797929964E-2</v>
      </c>
      <c r="F8" s="33">
        <f>SUM('Water Heaters Retired'!F$6:F$10)*'Marginal Market Share'!F7</f>
        <v>2.4475508133781777E-2</v>
      </c>
      <c r="G8" s="33">
        <f>SUM('Water Heaters Retired'!G$6:G$10)*'Marginal Market Share'!G7</f>
        <v>2.4262821685734067E-2</v>
      </c>
      <c r="H8" s="33">
        <f>SUM('Water Heaters Retired'!H$6:H$10)*'Marginal Market Share'!H7</f>
        <v>2.4051491598048001E-2</v>
      </c>
      <c r="I8" s="33">
        <f>SUM('Water Heaters Retired'!I$6:I$10)*'Marginal Market Share'!I7</f>
        <v>2.3841532432893699E-2</v>
      </c>
      <c r="J8" s="33">
        <f>SUM('Water Heaters Retired'!J$6:J$10)*'Marginal Market Share'!J7</f>
        <v>2.3632958170397157E-2</v>
      </c>
      <c r="K8" s="33">
        <f>SUM('Water Heaters Retired'!K$6:K$10)*'Marginal Market Share'!K7</f>
        <v>2.3425782209148031E-2</v>
      </c>
      <c r="L8" s="33">
        <f>SUM('Water Heaters Retired'!L$6:L$10)*'Marginal Market Share'!L7</f>
        <v>2.3220017367158358E-2</v>
      </c>
      <c r="M8" s="33">
        <f>SUM('Water Heaters Retired'!M$6:M$10)*'Marginal Market Share'!M7</f>
        <v>2.301567588326444E-2</v>
      </c>
      <c r="N8" s="33">
        <f>SUM('Water Heaters Retired'!N$6:N$10)*'Marginal Market Share'!N7</f>
        <v>2.2812769418962094E-2</v>
      </c>
      <c r="O8" s="33">
        <f>SUM('Water Heaters Retired'!O$6:O$10)*'Marginal Market Share'!O7</f>
        <v>2.2611309060665819E-2</v>
      </c>
      <c r="P8" s="33">
        <f>SUM('Water Heaters Retired'!P$6:P$10)*'Marginal Market Share'!P7</f>
        <v>2.2411305322381243E-2</v>
      </c>
      <c r="Q8" s="33">
        <f>SUM('Water Heaters Retired'!Q$6:Q$10)*'Marginal Market Share'!Q7</f>
        <v>2.221276814878044E-2</v>
      </c>
      <c r="R8" s="33">
        <f>SUM('Water Heaters Retired'!R$6:R$10)*'Marginal Market Share'!R7</f>
        <v>2.2015706918669633E-2</v>
      </c>
      <c r="S8" s="33">
        <f>SUM('Water Heaters Retired'!S$6:S$10)*'Marginal Market Share'!S7</f>
        <v>2.1820130448836704E-2</v>
      </c>
      <c r="T8" s="33">
        <f>SUM('Water Heaters Retired'!T$6:T$10)*'Marginal Market Share'!T7</f>
        <v>2.1626046998268457E-2</v>
      </c>
      <c r="U8" s="33">
        <f>SUM('Water Heaters Retired'!U$6:U$10)*'Marginal Market Share'!U7</f>
        <v>2.1433464272724433E-2</v>
      </c>
      <c r="V8" s="33">
        <f>SUM('Water Heaters Retired'!V$6:V$10)*'Marginal Market Share'!V7</f>
        <v>2.1242389429655634E-2</v>
      </c>
      <c r="W8" s="33">
        <f>SUM('Water Heaters Retired'!W$6:W$10)*'Marginal Market Share'!W7</f>
        <v>2.1052829083455848E-2</v>
      </c>
    </row>
    <row r="9" spans="1:23">
      <c r="A9" s="9" t="str">
        <f>+'Water Heater Stock'!A9</f>
        <v>Instant Gas</v>
      </c>
      <c r="B9" s="33">
        <v>0</v>
      </c>
      <c r="C9" s="33">
        <f>SUM('Water Heaters Retired'!C$6:C$10)*'Marginal Market Share'!C8</f>
        <v>73.709344680059971</v>
      </c>
      <c r="D9" s="33">
        <f>SUM('Water Heaters Retired'!D$6:D$10)*'Marginal Market Share'!D8</f>
        <v>74.067446989947825</v>
      </c>
      <c r="E9" s="33">
        <f>SUM('Water Heaters Retired'!E$6:E$10)*'Marginal Market Share'!E8</f>
        <v>74.427863006365413</v>
      </c>
      <c r="F9" s="33">
        <f>SUM('Water Heaters Retired'!F$6:F$10)*'Marginal Market Share'!F8</f>
        <v>74.790576958565012</v>
      </c>
      <c r="G9" s="33">
        <f>SUM('Water Heaters Retired'!G$6:G$10)*'Marginal Market Share'!G8</f>
        <v>75.155572222320387</v>
      </c>
      <c r="H9" s="33">
        <f>SUM('Water Heaters Retired'!H$6:H$10)*'Marginal Market Share'!H8</f>
        <v>75.522831309846183</v>
      </c>
      <c r="I9" s="33">
        <f>SUM('Water Heaters Retired'!I$6:I$10)*'Marginal Market Share'!I8</f>
        <v>75.892335860052157</v>
      </c>
      <c r="J9" s="33">
        <f>SUM('Water Heaters Retired'!J$6:J$10)*'Marginal Market Share'!J8</f>
        <v>76.264066629148729</v>
      </c>
      <c r="K9" s="33">
        <f>SUM('Water Heaters Retired'!K$6:K$10)*'Marginal Market Share'!K8</f>
        <v>76.638003481624949</v>
      </c>
      <c r="L9" s="33">
        <f>SUM('Water Heaters Retired'!L$6:L$10)*'Marginal Market Share'!L8</f>
        <v>77.014125381615884</v>
      </c>
      <c r="M9" s="33">
        <f>SUM('Water Heaters Retired'!M$6:M$10)*'Marginal Market Share'!M8</f>
        <v>77.392410384680105</v>
      </c>
      <c r="N9" s="33">
        <f>SUM('Water Heaters Retired'!N$6:N$10)*'Marginal Market Share'!N8</f>
        <v>77.772835630004224</v>
      </c>
      <c r="O9" s="33">
        <f>SUM('Water Heaters Retired'!O$6:O$10)*'Marginal Market Share'!O8</f>
        <v>78.15537733305608</v>
      </c>
      <c r="P9" s="33">
        <f>SUM('Water Heaters Retired'!P$6:P$10)*'Marginal Market Share'!P8</f>
        <v>78.540010778702552</v>
      </c>
      <c r="Q9" s="33">
        <f>SUM('Water Heaters Retired'!Q$6:Q$10)*'Marginal Market Share'!Q8</f>
        <v>78.926710314813448</v>
      </c>
      <c r="R9" s="33">
        <f>SUM('Water Heaters Retired'!R$6:R$10)*'Marginal Market Share'!R8</f>
        <v>79.315449346368723</v>
      </c>
      <c r="S9" s="33">
        <f>SUM('Water Heaters Retired'!S$6:S$10)*'Marginal Market Share'!S8</f>
        <v>79.706200330087938</v>
      </c>
      <c r="T9" s="33">
        <f>SUM('Water Heaters Retired'!T$6:T$10)*'Marginal Market Share'!T8</f>
        <v>80.098934769600476</v>
      </c>
      <c r="U9" s="33">
        <f>SUM('Water Heaters Retired'!U$6:U$10)*'Marginal Market Share'!U8</f>
        <v>80.493623211174977</v>
      </c>
      <c r="V9" s="33">
        <f>SUM('Water Heaters Retired'!V$6:V$10)*'Marginal Market Share'!V8</f>
        <v>80.890235240025021</v>
      </c>
      <c r="W9" s="33">
        <f>SUM('Water Heaters Retired'!W$6:W$10)*'Marginal Market Share'!W8</f>
        <v>81.288739477209745</v>
      </c>
    </row>
    <row r="10" spans="1:23">
      <c r="A10" s="9" t="str">
        <f>+'Water Heater Stock'!A10</f>
        <v>Condensing Gas</v>
      </c>
      <c r="B10" s="33">
        <v>0</v>
      </c>
      <c r="C10" s="33">
        <f>SUM('Water Heaters Retired'!C$6:C$10)*'Marginal Market Share'!C9</f>
        <v>185.43981048827362</v>
      </c>
      <c r="D10" s="33">
        <f>SUM('Water Heaters Retired'!D$6:D$10)*'Marginal Market Share'!D9</f>
        <v>185.54286803819272</v>
      </c>
      <c r="E10" s="33">
        <f>SUM('Water Heaters Retired'!E$6:E$10)*'Marginal Market Share'!E9</f>
        <v>185.64241689463523</v>
      </c>
      <c r="F10" s="33">
        <f>SUM('Water Heaters Retired'!F$6:F$10)*'Marginal Market Share'!F9</f>
        <v>185.73841147991331</v>
      </c>
      <c r="G10" s="33">
        <f>SUM('Water Heaters Retired'!G$6:G$10)*'Marginal Market Share'!G9</f>
        <v>185.83080704483061</v>
      </c>
      <c r="H10" s="33">
        <f>SUM('Water Heaters Retired'!H$6:H$10)*'Marginal Market Share'!H9</f>
        <v>185.91955969898888</v>
      </c>
      <c r="I10" s="33">
        <f>SUM('Water Heaters Retired'!I$6:I$10)*'Marginal Market Share'!I9</f>
        <v>186.00462644073846</v>
      </c>
      <c r="J10" s="33">
        <f>SUM('Water Heaters Retired'!J$6:J$10)*'Marginal Market Share'!J9</f>
        <v>186.08596518673983</v>
      </c>
      <c r="K10" s="33">
        <f>SUM('Water Heaters Retired'!K$6:K$10)*'Marginal Market Share'!K9</f>
        <v>186.16353480109771</v>
      </c>
      <c r="L10" s="33">
        <f>SUM('Water Heaters Retired'!L$6:L$10)*'Marginal Market Share'!L9</f>
        <v>186.23729512403489</v>
      </c>
      <c r="M10" s="33">
        <f>SUM('Water Heaters Retired'!M$6:M$10)*'Marginal Market Share'!M9</f>
        <v>186.30720700007015</v>
      </c>
      <c r="N10" s="33">
        <f>SUM('Water Heaters Retired'!N$6:N$10)*'Marginal Market Share'!N9</f>
        <v>186.3732323056654</v>
      </c>
      <c r="O10" s="33">
        <f>SUM('Water Heaters Retired'!O$6:O$10)*'Marginal Market Share'!O9</f>
        <v>186.43533397630645</v>
      </c>
      <c r="P10" s="33">
        <f>SUM('Water Heaters Retired'!P$6:P$10)*'Marginal Market Share'!P9</f>
        <v>186.49347603298511</v>
      </c>
      <c r="Q10" s="33">
        <f>SUM('Water Heaters Retired'!Q$6:Q$10)*'Marginal Market Share'!Q9</f>
        <v>186.54762360804651</v>
      </c>
      <c r="R10" s="33">
        <f>SUM('Water Heaters Retired'!R$6:R$10)*'Marginal Market Share'!R9</f>
        <v>186.59774297037023</v>
      </c>
      <c r="S10" s="33">
        <f>SUM('Water Heaters Retired'!S$6:S$10)*'Marginal Market Share'!S9</f>
        <v>186.64380154985045</v>
      </c>
      <c r="T10" s="33">
        <f>SUM('Water Heaters Retired'!T$6:T$10)*'Marginal Market Share'!T9</f>
        <v>186.68576796114434</v>
      </c>
      <c r="U10" s="33">
        <f>SUM('Water Heaters Retired'!U$6:U$10)*'Marginal Market Share'!U9</f>
        <v>186.72361202665539</v>
      </c>
      <c r="V10" s="33">
        <f>SUM('Water Heaters Retired'!V$6:V$10)*'Marginal Market Share'!V9</f>
        <v>186.75730479872209</v>
      </c>
      <c r="W10" s="33">
        <f>SUM('Water Heaters Retired'!W$6:W$10)*'Marginal Market Share'!W9</f>
        <v>186.78681858098088</v>
      </c>
    </row>
    <row r="11" spans="1:23">
      <c r="D11" s="12"/>
    </row>
    <row r="12" spans="1:23">
      <c r="A12" s="12" t="s">
        <v>103</v>
      </c>
    </row>
    <row r="13" spans="1:23">
      <c r="A13" s="38" t="str">
        <f>'Device Energy Use'!A4</f>
        <v>Water Heat Ending</v>
      </c>
      <c r="B13" s="39">
        <f>+'Water Heater Stock'!B13</f>
        <v>2014</v>
      </c>
      <c r="C13" s="39">
        <f>+'Water Heater Stock'!C13</f>
        <v>2015</v>
      </c>
      <c r="D13" s="39">
        <f>+'Water Heater Stock'!D13</f>
        <v>2016</v>
      </c>
      <c r="E13" s="39">
        <f>+'Water Heater Stock'!E13</f>
        <v>2017</v>
      </c>
      <c r="F13" s="39">
        <f>+'Water Heater Stock'!F13</f>
        <v>2018</v>
      </c>
      <c r="G13" s="39">
        <f>+'Water Heater Stock'!G13</f>
        <v>2019</v>
      </c>
      <c r="H13" s="39">
        <f>+'Water Heater Stock'!H13</f>
        <v>2020</v>
      </c>
      <c r="I13" s="39">
        <f>+'Water Heater Stock'!I13</f>
        <v>2021</v>
      </c>
      <c r="J13" s="39">
        <f>+'Water Heater Stock'!J13</f>
        <v>2022</v>
      </c>
      <c r="K13" s="39">
        <f>+'Water Heater Stock'!K13</f>
        <v>2023</v>
      </c>
      <c r="L13" s="39">
        <f>+'Water Heater Stock'!L13</f>
        <v>2024</v>
      </c>
      <c r="M13" s="39">
        <f>+'Water Heater Stock'!M13</f>
        <v>2025</v>
      </c>
      <c r="N13" s="39">
        <f>+'Water Heater Stock'!N13</f>
        <v>2026</v>
      </c>
      <c r="O13" s="39">
        <f>+'Water Heater Stock'!O13</f>
        <v>2027</v>
      </c>
      <c r="P13" s="39">
        <f>+'Water Heater Stock'!P13</f>
        <v>2028</v>
      </c>
      <c r="Q13" s="39">
        <f>+'Water Heater Stock'!Q13</f>
        <v>2029</v>
      </c>
      <c r="R13" s="39">
        <f>+'Water Heater Stock'!R13</f>
        <v>2030</v>
      </c>
      <c r="S13" s="39">
        <f>+'Water Heater Stock'!S13</f>
        <v>2031</v>
      </c>
      <c r="T13" s="39">
        <f>+'Water Heater Stock'!T13</f>
        <v>2032</v>
      </c>
      <c r="U13" s="39">
        <f>+'Water Heater Stock'!U13</f>
        <v>2033</v>
      </c>
      <c r="V13" s="39">
        <f>+'Water Heater Stock'!V13</f>
        <v>2034</v>
      </c>
      <c r="W13" s="39">
        <f>+'Water Heater Stock'!W13</f>
        <v>2035</v>
      </c>
    </row>
    <row r="14" spans="1:23" ht="16.5" thickBot="1">
      <c r="A14" s="48" t="s">
        <v>45</v>
      </c>
      <c r="B14" s="49">
        <f t="shared" ref="B14:W14" si="2">SUM(B15:B19)</f>
        <v>0</v>
      </c>
      <c r="C14" s="49">
        <f t="shared" ref="C14" si="3">SUM(C15:C19)</f>
        <v>504.14285714285717</v>
      </c>
      <c r="D14" s="49">
        <f t="shared" si="2"/>
        <v>504.14285714285717</v>
      </c>
      <c r="E14" s="49">
        <f t="shared" si="2"/>
        <v>504.14285714285722</v>
      </c>
      <c r="F14" s="49">
        <f t="shared" si="2"/>
        <v>504.14285714285722</v>
      </c>
      <c r="G14" s="49">
        <f t="shared" si="2"/>
        <v>504.14285714285722</v>
      </c>
      <c r="H14" s="49">
        <f t="shared" si="2"/>
        <v>504.14285714285722</v>
      </c>
      <c r="I14" s="49">
        <f t="shared" si="2"/>
        <v>504.14285714285722</v>
      </c>
      <c r="J14" s="49">
        <f t="shared" si="2"/>
        <v>504.14285714285722</v>
      </c>
      <c r="K14" s="49">
        <f t="shared" si="2"/>
        <v>504.14285714285722</v>
      </c>
      <c r="L14" s="49">
        <f t="shared" si="2"/>
        <v>504.14285714285722</v>
      </c>
      <c r="M14" s="49">
        <f t="shared" si="2"/>
        <v>504.14285714285722</v>
      </c>
      <c r="N14" s="49">
        <f t="shared" si="2"/>
        <v>504.14285714285722</v>
      </c>
      <c r="O14" s="49">
        <f t="shared" si="2"/>
        <v>504.14285714285722</v>
      </c>
      <c r="P14" s="49">
        <f t="shared" si="2"/>
        <v>504.14285714285722</v>
      </c>
      <c r="Q14" s="49">
        <f t="shared" si="2"/>
        <v>504.14285714285717</v>
      </c>
      <c r="R14" s="49">
        <f t="shared" si="2"/>
        <v>504.14285714285711</v>
      </c>
      <c r="S14" s="49">
        <f t="shared" si="2"/>
        <v>504.14285714285711</v>
      </c>
      <c r="T14" s="49">
        <f t="shared" si="2"/>
        <v>504.14285714285711</v>
      </c>
      <c r="U14" s="49">
        <f t="shared" si="2"/>
        <v>504.14285714285711</v>
      </c>
      <c r="V14" s="49">
        <f t="shared" si="2"/>
        <v>504.14285714285705</v>
      </c>
      <c r="W14" s="49">
        <f t="shared" si="2"/>
        <v>504.14285714285705</v>
      </c>
    </row>
    <row r="15" spans="1:23" ht="16.5" thickTop="1">
      <c r="A15" s="9" t="str">
        <f>+'Water Heater Stock'!A15</f>
        <v>Electric Resistance</v>
      </c>
      <c r="B15" s="33">
        <v>0</v>
      </c>
      <c r="C15" s="33">
        <f>SUM('Water Heaters Retired'!C$15:C$19)*'Marginal Market Share'!C13</f>
        <v>0</v>
      </c>
      <c r="D15" s="33">
        <f>SUM('Water Heaters Retired'!D$15:D$19)*'Marginal Market Share'!D13</f>
        <v>0</v>
      </c>
      <c r="E15" s="33">
        <f>SUM('Water Heaters Retired'!E$15:E$19)*'Marginal Market Share'!E13</f>
        <v>0</v>
      </c>
      <c r="F15" s="33">
        <f>SUM('Water Heaters Retired'!F$15:F$19)*'Marginal Market Share'!F13</f>
        <v>0</v>
      </c>
      <c r="G15" s="33">
        <f>SUM('Water Heaters Retired'!G$15:G$19)*'Marginal Market Share'!G13</f>
        <v>0</v>
      </c>
      <c r="H15" s="33">
        <f>SUM('Water Heaters Retired'!H$15:H$19)*'Marginal Market Share'!H13</f>
        <v>0</v>
      </c>
      <c r="I15" s="33">
        <f>SUM('Water Heaters Retired'!I$15:I$19)*'Marginal Market Share'!I13</f>
        <v>0</v>
      </c>
      <c r="J15" s="33">
        <f>SUM('Water Heaters Retired'!J$15:J$19)*'Marginal Market Share'!J13</f>
        <v>0</v>
      </c>
      <c r="K15" s="33">
        <f>SUM('Water Heaters Retired'!K$15:K$19)*'Marginal Market Share'!K13</f>
        <v>0</v>
      </c>
      <c r="L15" s="33">
        <f>SUM('Water Heaters Retired'!L$15:L$19)*'Marginal Market Share'!L13</f>
        <v>0</v>
      </c>
      <c r="M15" s="33">
        <f>SUM('Water Heaters Retired'!M$15:M$19)*'Marginal Market Share'!M13</f>
        <v>0</v>
      </c>
      <c r="N15" s="33">
        <f>SUM('Water Heaters Retired'!N$15:N$19)*'Marginal Market Share'!N13</f>
        <v>0</v>
      </c>
      <c r="O15" s="33">
        <f>SUM('Water Heaters Retired'!O$15:O$19)*'Marginal Market Share'!O13</f>
        <v>0</v>
      </c>
      <c r="P15" s="33">
        <f>SUM('Water Heaters Retired'!P$15:P$19)*'Marginal Market Share'!P13</f>
        <v>0</v>
      </c>
      <c r="Q15" s="33">
        <f>SUM('Water Heaters Retired'!Q$15:Q$19)*'Marginal Market Share'!Q13</f>
        <v>0</v>
      </c>
      <c r="R15" s="33">
        <f>SUM('Water Heaters Retired'!R$15:R$19)*'Marginal Market Share'!R13</f>
        <v>0</v>
      </c>
      <c r="S15" s="33">
        <f>SUM('Water Heaters Retired'!S$15:S$19)*'Marginal Market Share'!S13</f>
        <v>0</v>
      </c>
      <c r="T15" s="33">
        <f>SUM('Water Heaters Retired'!T$15:T$19)*'Marginal Market Share'!T13</f>
        <v>0</v>
      </c>
      <c r="U15" s="33">
        <f>SUM('Water Heaters Retired'!U$15:U$19)*'Marginal Market Share'!U13</f>
        <v>0</v>
      </c>
      <c r="V15" s="33">
        <f>SUM('Water Heaters Retired'!V$15:V$19)*'Marginal Market Share'!V13</f>
        <v>0</v>
      </c>
      <c r="W15" s="33">
        <f>SUM('Water Heaters Retired'!W$15:W$19)*'Marginal Market Share'!W13</f>
        <v>0</v>
      </c>
    </row>
    <row r="16" spans="1:23">
      <c r="A16" s="9" t="str">
        <f>+'Water Heater Stock'!A16</f>
        <v>HPWH</v>
      </c>
      <c r="B16" s="33">
        <v>0</v>
      </c>
      <c r="C16" s="33">
        <f>SUM('Water Heaters Retired'!C$15:C$19)*'Marginal Market Share'!C14</f>
        <v>504.14285714285717</v>
      </c>
      <c r="D16" s="33">
        <f>SUM('Water Heaters Retired'!D$15:D$19)*'Marginal Market Share'!D14</f>
        <v>504.14285714285717</v>
      </c>
      <c r="E16" s="33">
        <f>SUM('Water Heaters Retired'!E$15:E$19)*'Marginal Market Share'!E14</f>
        <v>504.14285714285722</v>
      </c>
      <c r="F16" s="33">
        <f>SUM('Water Heaters Retired'!F$15:F$19)*'Marginal Market Share'!F14</f>
        <v>504.14285714285722</v>
      </c>
      <c r="G16" s="33">
        <f>SUM('Water Heaters Retired'!G$15:G$19)*'Marginal Market Share'!G14</f>
        <v>504.14285714285722</v>
      </c>
      <c r="H16" s="33">
        <f>SUM('Water Heaters Retired'!H$15:H$19)*'Marginal Market Share'!H14</f>
        <v>504.14285714285722</v>
      </c>
      <c r="I16" s="33">
        <f>SUM('Water Heaters Retired'!I$15:I$19)*'Marginal Market Share'!I14</f>
        <v>504.14285714285722</v>
      </c>
      <c r="J16" s="33">
        <f>SUM('Water Heaters Retired'!J$15:J$19)*'Marginal Market Share'!J14</f>
        <v>504.14285714285722</v>
      </c>
      <c r="K16" s="33">
        <f>SUM('Water Heaters Retired'!K$15:K$19)*'Marginal Market Share'!K14</f>
        <v>504.14285714285722</v>
      </c>
      <c r="L16" s="33">
        <f>SUM('Water Heaters Retired'!L$15:L$19)*'Marginal Market Share'!L14</f>
        <v>504.14285714285722</v>
      </c>
      <c r="M16" s="33">
        <f>SUM('Water Heaters Retired'!M$15:M$19)*'Marginal Market Share'!M14</f>
        <v>504.14285714285722</v>
      </c>
      <c r="N16" s="33">
        <f>SUM('Water Heaters Retired'!N$15:N$19)*'Marginal Market Share'!N14</f>
        <v>504.14285714285722</v>
      </c>
      <c r="O16" s="33">
        <f>SUM('Water Heaters Retired'!O$15:O$19)*'Marginal Market Share'!O14</f>
        <v>504.14285714285722</v>
      </c>
      <c r="P16" s="33">
        <f>SUM('Water Heaters Retired'!P$15:P$19)*'Marginal Market Share'!P14</f>
        <v>504.14285714285722</v>
      </c>
      <c r="Q16" s="33">
        <f>SUM('Water Heaters Retired'!Q$15:Q$19)*'Marginal Market Share'!Q14</f>
        <v>504.14285714285717</v>
      </c>
      <c r="R16" s="33">
        <f>SUM('Water Heaters Retired'!R$15:R$19)*'Marginal Market Share'!R14</f>
        <v>504.14285714285711</v>
      </c>
      <c r="S16" s="33">
        <f>SUM('Water Heaters Retired'!S$15:S$19)*'Marginal Market Share'!S14</f>
        <v>504.14285714285711</v>
      </c>
      <c r="T16" s="33">
        <f>SUM('Water Heaters Retired'!T$15:T$19)*'Marginal Market Share'!T14</f>
        <v>504.14285714285711</v>
      </c>
      <c r="U16" s="33">
        <f>SUM('Water Heaters Retired'!U$15:U$19)*'Marginal Market Share'!U14</f>
        <v>504.14285714285711</v>
      </c>
      <c r="V16" s="33">
        <f>SUM('Water Heaters Retired'!V$15:V$19)*'Marginal Market Share'!V14</f>
        <v>504.14285714285705</v>
      </c>
      <c r="W16" s="33">
        <f>SUM('Water Heaters Retired'!W$15:W$19)*'Marginal Market Share'!W14</f>
        <v>504.14285714285705</v>
      </c>
    </row>
    <row r="17" spans="1:23">
      <c r="A17" s="9" t="str">
        <f>+'Water Heater Stock'!A17</f>
        <v>Gas Tank</v>
      </c>
      <c r="B17" s="33">
        <v>0</v>
      </c>
      <c r="C17" s="33">
        <f>SUM('Water Heaters Retired'!C$15:C$19)*'Marginal Market Share'!C15</f>
        <v>0</v>
      </c>
      <c r="D17" s="33">
        <f>SUM('Water Heaters Retired'!D$15:D$19)*'Marginal Market Share'!D15</f>
        <v>0</v>
      </c>
      <c r="E17" s="33">
        <f>SUM('Water Heaters Retired'!E$15:E$19)*'Marginal Market Share'!E15</f>
        <v>0</v>
      </c>
      <c r="F17" s="33">
        <f>SUM('Water Heaters Retired'!F$15:F$19)*'Marginal Market Share'!F15</f>
        <v>0</v>
      </c>
      <c r="G17" s="33">
        <f>SUM('Water Heaters Retired'!G$15:G$19)*'Marginal Market Share'!G15</f>
        <v>0</v>
      </c>
      <c r="H17" s="33">
        <f>SUM('Water Heaters Retired'!H$15:H$19)*'Marginal Market Share'!H15</f>
        <v>0</v>
      </c>
      <c r="I17" s="33">
        <f>SUM('Water Heaters Retired'!I$15:I$19)*'Marginal Market Share'!I15</f>
        <v>0</v>
      </c>
      <c r="J17" s="33">
        <f>SUM('Water Heaters Retired'!J$15:J$19)*'Marginal Market Share'!J15</f>
        <v>0</v>
      </c>
      <c r="K17" s="33">
        <f>SUM('Water Heaters Retired'!K$15:K$19)*'Marginal Market Share'!K15</f>
        <v>0</v>
      </c>
      <c r="L17" s="33">
        <f>SUM('Water Heaters Retired'!L$15:L$19)*'Marginal Market Share'!L15</f>
        <v>0</v>
      </c>
      <c r="M17" s="33">
        <f>SUM('Water Heaters Retired'!M$15:M$19)*'Marginal Market Share'!M15</f>
        <v>0</v>
      </c>
      <c r="N17" s="33">
        <f>SUM('Water Heaters Retired'!N$15:N$19)*'Marginal Market Share'!N15</f>
        <v>0</v>
      </c>
      <c r="O17" s="33">
        <f>SUM('Water Heaters Retired'!O$15:O$19)*'Marginal Market Share'!O15</f>
        <v>0</v>
      </c>
      <c r="P17" s="33">
        <f>SUM('Water Heaters Retired'!P$15:P$19)*'Marginal Market Share'!P15</f>
        <v>0</v>
      </c>
      <c r="Q17" s="33">
        <f>SUM('Water Heaters Retired'!Q$15:Q$19)*'Marginal Market Share'!Q15</f>
        <v>0</v>
      </c>
      <c r="R17" s="33">
        <f>SUM('Water Heaters Retired'!R$15:R$19)*'Marginal Market Share'!R15</f>
        <v>0</v>
      </c>
      <c r="S17" s="33">
        <f>SUM('Water Heaters Retired'!S$15:S$19)*'Marginal Market Share'!S15</f>
        <v>0</v>
      </c>
      <c r="T17" s="33">
        <f>SUM('Water Heaters Retired'!T$15:T$19)*'Marginal Market Share'!T15</f>
        <v>0</v>
      </c>
      <c r="U17" s="33">
        <f>SUM('Water Heaters Retired'!U$15:U$19)*'Marginal Market Share'!U15</f>
        <v>0</v>
      </c>
      <c r="V17" s="33">
        <f>SUM('Water Heaters Retired'!V$15:V$19)*'Marginal Market Share'!V15</f>
        <v>0</v>
      </c>
      <c r="W17" s="33">
        <f>SUM('Water Heaters Retired'!W$15:W$19)*'Marginal Market Share'!W15</f>
        <v>0</v>
      </c>
    </row>
    <row r="18" spans="1:23">
      <c r="A18" s="9" t="str">
        <f>+'Water Heater Stock'!A18</f>
        <v>Instant Gas</v>
      </c>
      <c r="B18" s="33">
        <v>0</v>
      </c>
      <c r="C18" s="33">
        <f>SUM('Water Heaters Retired'!C$15:C$19)*'Marginal Market Share'!C16</f>
        <v>0</v>
      </c>
      <c r="D18" s="33">
        <f>SUM('Water Heaters Retired'!D$15:D$19)*'Marginal Market Share'!D16</f>
        <v>0</v>
      </c>
      <c r="E18" s="33">
        <f>SUM('Water Heaters Retired'!E$15:E$19)*'Marginal Market Share'!E16</f>
        <v>0</v>
      </c>
      <c r="F18" s="33">
        <f>SUM('Water Heaters Retired'!F$15:F$19)*'Marginal Market Share'!F16</f>
        <v>0</v>
      </c>
      <c r="G18" s="33">
        <f>SUM('Water Heaters Retired'!G$15:G$19)*'Marginal Market Share'!G16</f>
        <v>0</v>
      </c>
      <c r="H18" s="33">
        <f>SUM('Water Heaters Retired'!H$15:H$19)*'Marginal Market Share'!H16</f>
        <v>0</v>
      </c>
      <c r="I18" s="33">
        <f>SUM('Water Heaters Retired'!I$15:I$19)*'Marginal Market Share'!I16</f>
        <v>0</v>
      </c>
      <c r="J18" s="33">
        <f>SUM('Water Heaters Retired'!J$15:J$19)*'Marginal Market Share'!J16</f>
        <v>0</v>
      </c>
      <c r="K18" s="33">
        <f>SUM('Water Heaters Retired'!K$15:K$19)*'Marginal Market Share'!K16</f>
        <v>0</v>
      </c>
      <c r="L18" s="33">
        <f>SUM('Water Heaters Retired'!L$15:L$19)*'Marginal Market Share'!L16</f>
        <v>0</v>
      </c>
      <c r="M18" s="33">
        <f>SUM('Water Heaters Retired'!M$15:M$19)*'Marginal Market Share'!M16</f>
        <v>0</v>
      </c>
      <c r="N18" s="33">
        <f>SUM('Water Heaters Retired'!N$15:N$19)*'Marginal Market Share'!N16</f>
        <v>0</v>
      </c>
      <c r="O18" s="33">
        <f>SUM('Water Heaters Retired'!O$15:O$19)*'Marginal Market Share'!O16</f>
        <v>0</v>
      </c>
      <c r="P18" s="33">
        <f>SUM('Water Heaters Retired'!P$15:P$19)*'Marginal Market Share'!P16</f>
        <v>0</v>
      </c>
      <c r="Q18" s="33">
        <f>SUM('Water Heaters Retired'!Q$15:Q$19)*'Marginal Market Share'!Q16</f>
        <v>0</v>
      </c>
      <c r="R18" s="33">
        <f>SUM('Water Heaters Retired'!R$15:R$19)*'Marginal Market Share'!R16</f>
        <v>0</v>
      </c>
      <c r="S18" s="33">
        <f>SUM('Water Heaters Retired'!S$15:S$19)*'Marginal Market Share'!S16</f>
        <v>0</v>
      </c>
      <c r="T18" s="33">
        <f>SUM('Water Heaters Retired'!T$15:T$19)*'Marginal Market Share'!T16</f>
        <v>0</v>
      </c>
      <c r="U18" s="33">
        <f>SUM('Water Heaters Retired'!U$15:U$19)*'Marginal Market Share'!U16</f>
        <v>0</v>
      </c>
      <c r="V18" s="33">
        <f>SUM('Water Heaters Retired'!V$15:V$19)*'Marginal Market Share'!V16</f>
        <v>0</v>
      </c>
      <c r="W18" s="33">
        <f>SUM('Water Heaters Retired'!W$15:W$19)*'Marginal Market Share'!W16</f>
        <v>0</v>
      </c>
    </row>
    <row r="19" spans="1:23">
      <c r="A19" s="9" t="str">
        <f>+'Water Heater Stock'!A19</f>
        <v>Condensing Gas</v>
      </c>
      <c r="B19" s="33">
        <v>0</v>
      </c>
      <c r="C19" s="33">
        <f>SUM('Water Heaters Retired'!C$15:C$19)*'Marginal Market Share'!C17</f>
        <v>0</v>
      </c>
      <c r="D19" s="33">
        <f>SUM('Water Heaters Retired'!D$15:D$19)*'Marginal Market Share'!D17</f>
        <v>0</v>
      </c>
      <c r="E19" s="33">
        <f>SUM('Water Heaters Retired'!E$15:E$19)*'Marginal Market Share'!E17</f>
        <v>0</v>
      </c>
      <c r="F19" s="33">
        <f>SUM('Water Heaters Retired'!F$15:F$19)*'Marginal Market Share'!F17</f>
        <v>0</v>
      </c>
      <c r="G19" s="33">
        <f>SUM('Water Heaters Retired'!G$15:G$19)*'Marginal Market Share'!G17</f>
        <v>0</v>
      </c>
      <c r="H19" s="33">
        <f>SUM('Water Heaters Retired'!H$15:H$19)*'Marginal Market Share'!H17</f>
        <v>0</v>
      </c>
      <c r="I19" s="33">
        <f>SUM('Water Heaters Retired'!I$15:I$19)*'Marginal Market Share'!I17</f>
        <v>0</v>
      </c>
      <c r="J19" s="33">
        <f>SUM('Water Heaters Retired'!J$15:J$19)*'Marginal Market Share'!J17</f>
        <v>0</v>
      </c>
      <c r="K19" s="33">
        <f>SUM('Water Heaters Retired'!K$15:K$19)*'Marginal Market Share'!K17</f>
        <v>0</v>
      </c>
      <c r="L19" s="33">
        <f>SUM('Water Heaters Retired'!L$15:L$19)*'Marginal Market Share'!L17</f>
        <v>0</v>
      </c>
      <c r="M19" s="33">
        <f>SUM('Water Heaters Retired'!M$15:M$19)*'Marginal Market Share'!M17</f>
        <v>0</v>
      </c>
      <c r="N19" s="33">
        <f>SUM('Water Heaters Retired'!N$15:N$19)*'Marginal Market Share'!N17</f>
        <v>0</v>
      </c>
      <c r="O19" s="33">
        <f>SUM('Water Heaters Retired'!O$15:O$19)*'Marginal Market Share'!O17</f>
        <v>0</v>
      </c>
      <c r="P19" s="33">
        <f>SUM('Water Heaters Retired'!P$15:P$19)*'Marginal Market Share'!P17</f>
        <v>0</v>
      </c>
      <c r="Q19" s="33">
        <f>SUM('Water Heaters Retired'!Q$15:Q$19)*'Marginal Market Share'!Q17</f>
        <v>0</v>
      </c>
      <c r="R19" s="33">
        <f>SUM('Water Heaters Retired'!R$15:R$19)*'Marginal Market Share'!R17</f>
        <v>0</v>
      </c>
      <c r="S19" s="33">
        <f>SUM('Water Heaters Retired'!S$15:S$19)*'Marginal Market Share'!S17</f>
        <v>0</v>
      </c>
      <c r="T19" s="33">
        <f>SUM('Water Heaters Retired'!T$15:T$19)*'Marginal Market Share'!T17</f>
        <v>0</v>
      </c>
      <c r="U19" s="33">
        <f>SUM('Water Heaters Retired'!U$15:U$19)*'Marginal Market Share'!U17</f>
        <v>0</v>
      </c>
      <c r="V19" s="33">
        <f>SUM('Water Heaters Retired'!V$15:V$19)*'Marginal Market Share'!V17</f>
        <v>0</v>
      </c>
      <c r="W19" s="33">
        <f>SUM('Water Heaters Retired'!W$15:W$19)*'Marginal Market Share'!W17</f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6"/>
  <dimension ref="A1:W17"/>
  <sheetViews>
    <sheetView workbookViewId="0"/>
  </sheetViews>
  <sheetFormatPr defaultColWidth="9.140625" defaultRowHeight="15.75"/>
  <cols>
    <col min="1" max="1" width="20.7109375" style="9" customWidth="1"/>
    <col min="2" max="9" width="9.7109375" style="9" customWidth="1"/>
    <col min="10" max="29" width="8.42578125" style="9" customWidth="1"/>
    <col min="30" max="16384" width="9.140625" style="9"/>
  </cols>
  <sheetData>
    <row r="1" spans="1:23">
      <c r="A1" s="147" t="str">
        <f>CONCATENATE("Segment:  ",State,", Single Family, ", SpaceHeat, ", ", TankSize,", ", StartWH, " is starting water heater")</f>
        <v>Segment:  Idaho, Single Family, Gas FAF, &gt;55 Gallons, Electric Resistance is starting water heater</v>
      </c>
    </row>
    <row r="3" spans="1:23" ht="18" customHeight="1">
      <c r="A3" s="42" t="s">
        <v>108</v>
      </c>
    </row>
    <row r="4" spans="1:23" s="23" customFormat="1">
      <c r="A4" s="40" t="str">
        <f>+'Device Energy Use'!A4</f>
        <v>Water Heat Ending</v>
      </c>
      <c r="B4" s="39">
        <f>'Marginal Allocation Weight'!B4</f>
        <v>2014</v>
      </c>
      <c r="C4" s="39">
        <f>'Marginal Allocation Weight'!C4</f>
        <v>2015</v>
      </c>
      <c r="D4" s="39">
        <f>'Marginal Allocation Weight'!D4</f>
        <v>2016</v>
      </c>
      <c r="E4" s="39">
        <f>'Marginal Allocation Weight'!E4</f>
        <v>2017</v>
      </c>
      <c r="F4" s="39">
        <f>'Marginal Allocation Weight'!F4</f>
        <v>2018</v>
      </c>
      <c r="G4" s="39">
        <f>'Marginal Allocation Weight'!G4</f>
        <v>2019</v>
      </c>
      <c r="H4" s="39">
        <f>'Marginal Allocation Weight'!H4</f>
        <v>2020</v>
      </c>
      <c r="I4" s="39">
        <f>'Marginal Allocation Weight'!I4</f>
        <v>2021</v>
      </c>
      <c r="J4" s="39">
        <f>'Marginal Allocation Weight'!J4</f>
        <v>2022</v>
      </c>
      <c r="K4" s="39">
        <f>'Marginal Allocation Weight'!K4</f>
        <v>2023</v>
      </c>
      <c r="L4" s="39">
        <f>'Marginal Allocation Weight'!L4</f>
        <v>2024</v>
      </c>
      <c r="M4" s="39">
        <f>'Marginal Allocation Weight'!M4</f>
        <v>2025</v>
      </c>
      <c r="N4" s="39">
        <f>'Marginal Allocation Weight'!N4</f>
        <v>2026</v>
      </c>
      <c r="O4" s="39">
        <f>'Marginal Allocation Weight'!O4</f>
        <v>2027</v>
      </c>
      <c r="P4" s="39">
        <f>'Marginal Allocation Weight'!P4</f>
        <v>2028</v>
      </c>
      <c r="Q4" s="39">
        <f>'Marginal Allocation Weight'!Q4</f>
        <v>2029</v>
      </c>
      <c r="R4" s="39">
        <f>'Marginal Allocation Weight'!R4</f>
        <v>2030</v>
      </c>
      <c r="S4" s="39">
        <f>'Marginal Allocation Weight'!S4</f>
        <v>2031</v>
      </c>
      <c r="T4" s="39">
        <f>'Marginal Allocation Weight'!T4</f>
        <v>2032</v>
      </c>
      <c r="U4" s="39">
        <f>'Marginal Allocation Weight'!U4</f>
        <v>2033</v>
      </c>
      <c r="V4" s="39">
        <f>'Marginal Allocation Weight'!V4</f>
        <v>2034</v>
      </c>
      <c r="W4" s="39">
        <f>'Marginal Allocation Weight'!W4</f>
        <v>2035</v>
      </c>
    </row>
    <row r="5" spans="1:23">
      <c r="A5" s="9" t="str">
        <f>+'Device Energy Use'!A5</f>
        <v>Electric Resistance</v>
      </c>
      <c r="B5" s="32">
        <f>'Water Heater Stock'!B6/'Water Heater Stock'!B$5</f>
        <v>1</v>
      </c>
      <c r="C5" s="32">
        <f>'Water Heater Stock'!C6/'Water Heater Stock'!C$5</f>
        <v>0.92857272808737223</v>
      </c>
      <c r="D5" s="32">
        <f>'Water Heater Stock'!D6/'Water Heater Stock'!D$5</f>
        <v>0.86224738898320419</v>
      </c>
      <c r="E5" s="32">
        <f>'Water Heater Stock'!E6/'Water Heater Stock'!E$5</f>
        <v>0.80065955914442744</v>
      </c>
      <c r="F5" s="32">
        <f>'Water Heater Stock'!F6/'Water Heater Stock'!F$5</f>
        <v>0.74347084527812823</v>
      </c>
      <c r="G5" s="32">
        <f>'Water Heater Stock'!G6/'Water Heater Stock'!G$5</f>
        <v>0.69036702503798431</v>
      </c>
      <c r="H5" s="32">
        <f>'Water Heater Stock'!H6/'Water Heater Stock'!H$5</f>
        <v>0.64105632052809958</v>
      </c>
      <c r="I5" s="32">
        <f>'Water Heater Stock'!I6/'Water Heater Stock'!I$5</f>
        <v>0.59526779512799433</v>
      </c>
      <c r="J5" s="32">
        <f>'Water Heater Stock'!J6/'Water Heater Stock'!J$5</f>
        <v>0.55274986483009658</v>
      </c>
      <c r="K5" s="32">
        <f>'Water Heater Stock'!K6/'Water Heater Stock'!K$5</f>
        <v>0.51326891591026991</v>
      </c>
      <c r="L5" s="32">
        <f>'Water Heater Stock'!L6/'Water Heater Stock'!L$5</f>
        <v>0.47660802133616204</v>
      </c>
      <c r="M5" s="32">
        <f>'Water Heater Stock'!M6/'Water Heater Stock'!M$5</f>
        <v>0.44256574886067074</v>
      </c>
      <c r="N5" s="32">
        <f>'Water Heater Stock'!N6/'Water Heater Stock'!N$5</f>
        <v>0.41095505425159123</v>
      </c>
      <c r="O5" s="32">
        <f>'Water Heater Stock'!O6/'Water Heater Stock'!O$5</f>
        <v>0.38160225357629024</v>
      </c>
      <c r="P5" s="32">
        <f>'Water Heater Stock'!P6/'Water Heater Stock'!P$5</f>
        <v>0.35434606889461651</v>
      </c>
      <c r="Q5" s="32">
        <f>'Water Heater Stock'!Q6/'Water Heater Stock'!Q$5</f>
        <v>0.32903674211660489</v>
      </c>
      <c r="R5" s="32">
        <f>'Water Heater Stock'!R6/'Water Heater Stock'!R$5</f>
        <v>0.30553521215605828</v>
      </c>
      <c r="S5" s="32">
        <f>'Water Heater Stock'!S6/'Water Heater Stock'!S$5</f>
        <v>0.28371235085887425</v>
      </c>
      <c r="T5" s="32">
        <f>'Water Heater Stock'!T6/'Water Heater Stock'!T$5</f>
        <v>0.26344825350792006</v>
      </c>
      <c r="U5" s="32">
        <f>'Water Heater Stock'!U6/'Water Heater Stock'!U$5</f>
        <v>0.24463158000613108</v>
      </c>
      <c r="V5" s="32">
        <f>'Water Heater Stock'!V6/'Water Heater Stock'!V$5</f>
        <v>0.22715894311795959</v>
      </c>
      <c r="W5" s="32">
        <f>'Water Heater Stock'!W6/'Water Heater Stock'!W$5</f>
        <v>0.21093434040786296</v>
      </c>
    </row>
    <row r="6" spans="1:23">
      <c r="A6" s="9" t="str">
        <f>+'Device Energy Use'!A6</f>
        <v>HPWH</v>
      </c>
      <c r="B6" s="32">
        <f>'Water Heater Stock'!B7/'Water Heater Stock'!B$5</f>
        <v>0</v>
      </c>
      <c r="C6" s="32">
        <f>'Water Heater Stock'!C7/'Water Heater Stock'!C$5</f>
        <v>3.4706631969354355E-2</v>
      </c>
      <c r="D6" s="32">
        <f>'Water Heater Stock'!D7/'Water Heater Stock'!D$5</f>
        <v>6.6868926077776322E-2</v>
      </c>
      <c r="E6" s="32">
        <f>'Water Heater Stock'!E7/'Water Heater Stock'!E$5</f>
        <v>9.6668789639020189E-2</v>
      </c>
      <c r="F6" s="32">
        <f>'Water Heater Stock'!F7/'Water Heater Stock'!F$5</f>
        <v>0.12427514527994035</v>
      </c>
      <c r="G6" s="32">
        <f>'Water Heater Stock'!G7/'Water Heater Stock'!G$5</f>
        <v>0.14984485842173015</v>
      </c>
      <c r="H6" s="32">
        <f>'Water Heater Stock'!H7/'Water Heater Stock'!H$5</f>
        <v>0.17352359850963445</v>
      </c>
      <c r="I6" s="32">
        <f>'Water Heater Stock'!I7/'Water Heater Stock'!I$5</f>
        <v>0.19544663872339138</v>
      </c>
      <c r="J6" s="32">
        <f>'Water Heater Stock'!J7/'Water Heater Stock'!J$5</f>
        <v>0.21573959856264144</v>
      </c>
      <c r="K6" s="32">
        <f>'Water Heater Stock'!K7/'Water Heater Stock'!K$5</f>
        <v>0.23451913338767194</v>
      </c>
      <c r="L6" s="32">
        <f>'Water Heater Stock'!L7/'Water Heater Stock'!L$5</f>
        <v>0.25189357470441093</v>
      </c>
      <c r="M6" s="32">
        <f>'Water Heater Stock'!M7/'Water Heater Stock'!M$5</f>
        <v>0.26796352471195073</v>
      </c>
      <c r="N6" s="32">
        <f>'Water Heater Stock'!N7/'Water Heater Stock'!N$5</f>
        <v>0.28282240837957778</v>
      </c>
      <c r="O6" s="32">
        <f>'Water Heater Stock'!O7/'Water Heater Stock'!O$5</f>
        <v>0.29655698608693237</v>
      </c>
      <c r="P6" s="32">
        <f>'Water Heater Stock'!P7/'Water Heater Stock'!P$5</f>
        <v>0.30924782964423697</v>
      </c>
      <c r="Q6" s="32">
        <f>'Water Heater Stock'!Q7/'Water Heater Stock'!Q$5</f>
        <v>0.32096976430832158</v>
      </c>
      <c r="R6" s="32">
        <f>'Water Heater Stock'!R7/'Water Heater Stock'!R$5</f>
        <v>0.33179227922334403</v>
      </c>
      <c r="S6" s="32">
        <f>'Water Heater Stock'!S7/'Water Heater Stock'!S$5</f>
        <v>0.34177990854160606</v>
      </c>
      <c r="T6" s="32">
        <f>'Water Heater Stock'!T7/'Water Heater Stock'!T$5</f>
        <v>0.35099258531877375</v>
      </c>
      <c r="U6" s="32">
        <f>'Water Heater Stock'!U7/'Water Heater Stock'!U$5</f>
        <v>0.35948597012821509</v>
      </c>
      <c r="V6" s="32">
        <f>'Water Heater Stock'!V7/'Water Heater Stock'!V$5</f>
        <v>0.36731175620026413</v>
      </c>
      <c r="W6" s="32">
        <f>'Water Heater Stock'!W7/'Water Heater Stock'!W$5</f>
        <v>0.37451795276323424</v>
      </c>
    </row>
    <row r="7" spans="1:23">
      <c r="A7" s="9" t="str">
        <f>+'Device Energy Use'!A7</f>
        <v>Gas Tank</v>
      </c>
      <c r="B7" s="32">
        <f>'Water Heater Stock'!B8/'Water Heater Stock'!B$5</f>
        <v>0</v>
      </c>
      <c r="C7" s="32">
        <f>'Water Heater Stock'!C8/'Water Heater Stock'!C$5</f>
        <v>3.5593016846166253E-6</v>
      </c>
      <c r="D7" s="32">
        <f>'Water Heater Stock'!D8/'Water Heater Stock'!D$5</f>
        <v>6.8336701220678144E-6</v>
      </c>
      <c r="E7" s="32">
        <f>'Water Heater Stock'!E8/'Water Heater Stock'!E$5</f>
        <v>9.8436431764485056E-6</v>
      </c>
      <c r="F7" s="32">
        <f>'Water Heater Stock'!F8/'Water Heater Stock'!F$5</f>
        <v>1.2608294031947545E-5</v>
      </c>
      <c r="G7" s="32">
        <f>'Water Heater Stock'!G8/'Water Heater Stock'!G$5</f>
        <v>1.5145335730554912E-5</v>
      </c>
      <c r="H7" s="32">
        <f>'Water Heater Stock'!H8/'Water Heater Stock'!H$5</f>
        <v>1.7471218242662907E-5</v>
      </c>
      <c r="I7" s="32">
        <f>'Water Heater Stock'!I8/'Water Heater Stock'!I$5</f>
        <v>1.9601218603993483E-5</v>
      </c>
      <c r="J7" s="32">
        <f>'Water Heater Stock'!J8/'Water Heater Stock'!J$5</f>
        <v>2.1549524614180246E-5</v>
      </c>
      <c r="K7" s="32">
        <f>'Water Heater Stock'!K8/'Water Heater Stock'!K$5</f>
        <v>2.332931255695226E-5</v>
      </c>
      <c r="L7" s="32">
        <f>'Water Heater Stock'!L8/'Water Heater Stock'!L$5</f>
        <v>2.4952819369012009E-5</v>
      </c>
      <c r="M7" s="32">
        <f>'Water Heater Stock'!M8/'Water Heater Stock'!M$5</f>
        <v>2.6431409654192107E-5</v>
      </c>
      <c r="N7" s="32">
        <f>'Water Heater Stock'!N8/'Water Heater Stock'!N$5</f>
        <v>2.7775637911146541E-5</v>
      </c>
      <c r="O7" s="32">
        <f>'Water Heater Stock'!O8/'Water Heater Stock'!O$5</f>
        <v>2.8995306316526952E-5</v>
      </c>
      <c r="P7" s="32">
        <f>'Water Heater Stock'!P8/'Water Heater Stock'!P$5</f>
        <v>3.0099518381167789E-5</v>
      </c>
      <c r="Q7" s="32">
        <f>'Water Heater Stock'!Q8/'Water Heater Stock'!Q$5</f>
        <v>3.1096728774122519E-5</v>
      </c>
      <c r="R7" s="32">
        <f>'Water Heater Stock'!R8/'Water Heater Stock'!R$5</f>
        <v>3.1994789588331512E-5</v>
      </c>
      <c r="S7" s="32">
        <f>'Water Heater Stock'!S8/'Water Heater Stock'!S$5</f>
        <v>3.280099330214431E-5</v>
      </c>
      <c r="T7" s="32">
        <f>'Water Heater Stock'!T8/'Water Heater Stock'!T$5</f>
        <v>3.352211267275945E-5</v>
      </c>
      <c r="U7" s="32">
        <f>'Water Heater Stock'!U8/'Water Heater Stock'!U$5</f>
        <v>3.4164437780780804E-5</v>
      </c>
      <c r="V7" s="32">
        <f>'Water Heater Stock'!V8/'Water Heater Stock'!V$5</f>
        <v>3.4733810429431051E-5</v>
      </c>
      <c r="W7" s="32">
        <f>'Water Heater Stock'!W8/'Water Heater Stock'!W$5</f>
        <v>3.523565608742256E-5</v>
      </c>
    </row>
    <row r="8" spans="1:23">
      <c r="A8" s="9" t="str">
        <f>+'Device Energy Use'!A8</f>
        <v>Instant Gas</v>
      </c>
      <c r="B8" s="32">
        <f>'Water Heater Stock'!B9/'Water Heater Stock'!B$5</f>
        <v>0</v>
      </c>
      <c r="C8" s="32">
        <f>'Water Heater Stock'!C9/'Water Heater Stock'!C$5</f>
        <v>1.0443375556823457E-2</v>
      </c>
      <c r="D8" s="32">
        <f>'Water Heater Stock'!D9/'Water Heater Stock'!D$5</f>
        <v>2.0191532796624386E-2</v>
      </c>
      <c r="E8" s="32">
        <f>'Water Heater Stock'!E9/'Water Heater Stock'!E$5</f>
        <v>2.9294457983955288E-2</v>
      </c>
      <c r="F8" s="32">
        <f>'Water Heater Stock'!F9/'Water Heater Stock'!F$5</f>
        <v>3.7798564701450661E-2</v>
      </c>
      <c r="G8" s="32">
        <f>'Water Heater Stock'!G9/'Water Heater Stock'!G$5</f>
        <v>4.5746948920469065E-2</v>
      </c>
      <c r="H8" s="32">
        <f>'Water Heater Stock'!H9/'Water Heater Stock'!H$5</f>
        <v>5.3179625850975229E-2</v>
      </c>
      <c r="I8" s="32">
        <f>'Water Heater Stock'!I9/'Water Heater Stock'!I$5</f>
        <v>6.0133749872192763E-2</v>
      </c>
      <c r="J8" s="32">
        <f>'Water Heater Stock'!J9/'Water Heater Stock'!J$5</f>
        <v>6.6643818752593384E-2</v>
      </c>
      <c r="K8" s="32">
        <f>'Water Heater Stock'!K9/'Water Heater Stock'!K$5</f>
        <v>7.2741863281465841E-2</v>
      </c>
      <c r="L8" s="32">
        <f>'Water Heater Stock'!L9/'Water Heater Stock'!L$5</f>
        <v>7.8457623354149686E-2</v>
      </c>
      <c r="M8" s="32">
        <f>'Water Heater Stock'!M9/'Water Heater Stock'!M$5</f>
        <v>8.3818711478587354E-2</v>
      </c>
      <c r="N8" s="32">
        <f>'Water Heater Stock'!N9/'Water Heater Stock'!N$5</f>
        <v>8.8850764601732204E-2</v>
      </c>
      <c r="O8" s="32">
        <f>'Water Heater Stock'!O9/'Water Heater Stock'!O$5</f>
        <v>9.3577585090172472E-2</v>
      </c>
      <c r="P8" s="32">
        <f>'Water Heater Stock'!P9/'Water Heater Stock'!P$5</f>
        <v>9.8021271639735258E-2</v>
      </c>
      <c r="Q8" s="32">
        <f>'Water Heater Stock'!Q9/'Water Heater Stock'!Q$5</f>
        <v>0.10220234083349854</v>
      </c>
      <c r="R8" s="32">
        <f>'Water Heater Stock'!R9/'Water Heater Stock'!R$5</f>
        <v>0.10613984001625297</v>
      </c>
      <c r="S8" s="32">
        <f>'Water Heater Stock'!S9/'Water Heater Stock'!S$5</f>
        <v>0.10985145210574128</v>
      </c>
      <c r="T8" s="32">
        <f>'Water Heater Stock'!T9/'Water Heater Stock'!T$5</f>
        <v>0.11335359291669628</v>
      </c>
      <c r="U8" s="32">
        <f>'Water Heater Stock'!U9/'Water Heater Stock'!U$5</f>
        <v>0.11666150153255678</v>
      </c>
      <c r="V8" s="32">
        <f>'Water Heater Stock'!V9/'Water Heater Stock'!V$5</f>
        <v>0.11978932422153751</v>
      </c>
      <c r="W8" s="32">
        <f>'Water Heater Stock'!W9/'Water Heater Stock'!W$5</f>
        <v>0.12275019235825495</v>
      </c>
    </row>
    <row r="9" spans="1:23">
      <c r="A9" s="9" t="str">
        <f>+'Device Energy Use'!A9</f>
        <v>Condensing Gas</v>
      </c>
      <c r="B9" s="32">
        <f>'Water Heater Stock'!B10/'Water Heater Stock'!B$5</f>
        <v>0</v>
      </c>
      <c r="C9" s="32">
        <f>'Water Heater Stock'!C10/'Water Heater Stock'!C$5</f>
        <v>2.6273705084765314E-2</v>
      </c>
      <c r="D9" s="32">
        <f>'Water Heater Stock'!D10/'Water Heater Stock'!D$5</f>
        <v>5.0685318472273151E-2</v>
      </c>
      <c r="E9" s="32">
        <f>'Water Heater Stock'!E10/'Water Heater Stock'!E$5</f>
        <v>7.3367349589420761E-2</v>
      </c>
      <c r="F9" s="32">
        <f>'Water Heater Stock'!F10/'Water Heater Stock'!F$5</f>
        <v>9.4442836446448797E-2</v>
      </c>
      <c r="G9" s="32">
        <f>'Water Heater Stock'!G10/'Water Heater Stock'!G$5</f>
        <v>0.11402602228408586</v>
      </c>
      <c r="H9" s="32">
        <f>'Water Heater Stock'!H10/'Water Heater Stock'!H$5</f>
        <v>0.13222298389304799</v>
      </c>
      <c r="I9" s="32">
        <f>'Water Heater Stock'!I10/'Water Heater Stock'!I$5</f>
        <v>0.14913221505781751</v>
      </c>
      <c r="J9" s="32">
        <f>'Water Heater Stock'!J10/'Water Heater Stock'!J$5</f>
        <v>0.16484516833005455</v>
      </c>
      <c r="K9" s="32">
        <f>'Water Heater Stock'!K10/'Water Heater Stock'!K$5</f>
        <v>0.17944675810803537</v>
      </c>
      <c r="L9" s="32">
        <f>'Water Heater Stock'!L10/'Water Heater Stock'!L$5</f>
        <v>0.19301582778590823</v>
      </c>
      <c r="M9" s="32">
        <f>'Water Heater Stock'!M10/'Water Heater Stock'!M$5</f>
        <v>0.20562558353913701</v>
      </c>
      <c r="N9" s="32">
        <f>'Water Heater Stock'!N10/'Water Heater Stock'!N$5</f>
        <v>0.21734399712918767</v>
      </c>
      <c r="O9" s="32">
        <f>'Water Heater Stock'!O10/'Water Heater Stock'!O$5</f>
        <v>0.22823417994028841</v>
      </c>
      <c r="P9" s="32">
        <f>'Water Heater Stock'!P10/'Water Heater Stock'!P$5</f>
        <v>0.23835473030303014</v>
      </c>
      <c r="Q9" s="32">
        <f>'Water Heater Stock'!Q10/'Water Heater Stock'!Q$5</f>
        <v>0.24776005601280082</v>
      </c>
      <c r="R9" s="32">
        <f>'Water Heater Stock'!R10/'Water Heater Stock'!R$5</f>
        <v>0.25650067381475644</v>
      </c>
      <c r="S9" s="32">
        <f>'Water Heater Stock'!S10/'Water Heater Stock'!S$5</f>
        <v>0.26462348750047637</v>
      </c>
      <c r="T9" s="32">
        <f>'Water Heater Stock'!T10/'Water Heater Stock'!T$5</f>
        <v>0.27217204614393725</v>
      </c>
      <c r="U9" s="32">
        <f>'Water Heater Stock'!U10/'Water Heater Stock'!U$5</f>
        <v>0.27918678389531632</v>
      </c>
      <c r="V9" s="32">
        <f>'Water Heater Stock'!V10/'Water Heater Stock'!V$5</f>
        <v>0.2857052426498094</v>
      </c>
      <c r="W9" s="32">
        <f>'Water Heater Stock'!W10/'Water Heater Stock'!W$5</f>
        <v>0.29176227881456035</v>
      </c>
    </row>
    <row r="11" spans="1:23">
      <c r="A11" s="42" t="s">
        <v>109</v>
      </c>
    </row>
    <row r="12" spans="1:23" s="23" customFormat="1">
      <c r="A12" s="40" t="str">
        <f>+'Device Energy Use'!A4</f>
        <v>Water Heat Ending</v>
      </c>
      <c r="B12" s="39">
        <f>'Levelized Costs'!B4</f>
        <v>2014</v>
      </c>
      <c r="C12" s="39">
        <f>'Levelized Costs'!C4</f>
        <v>2015</v>
      </c>
      <c r="D12" s="39">
        <f>'Levelized Costs'!D4</f>
        <v>2016</v>
      </c>
      <c r="E12" s="39">
        <f>'Levelized Costs'!E4</f>
        <v>2017</v>
      </c>
      <c r="F12" s="39">
        <f>'Levelized Costs'!F4</f>
        <v>2018</v>
      </c>
      <c r="G12" s="39">
        <f>'Levelized Costs'!G4</f>
        <v>2019</v>
      </c>
      <c r="H12" s="39">
        <f>'Levelized Costs'!H4</f>
        <v>2020</v>
      </c>
      <c r="I12" s="39">
        <f>'Levelized Costs'!I4</f>
        <v>2021</v>
      </c>
      <c r="J12" s="39">
        <f>'Levelized Costs'!J4</f>
        <v>2022</v>
      </c>
      <c r="K12" s="39">
        <f>'Levelized Costs'!K4</f>
        <v>2023</v>
      </c>
      <c r="L12" s="39">
        <f>'Levelized Costs'!L4</f>
        <v>2024</v>
      </c>
      <c r="M12" s="39">
        <f>'Levelized Costs'!M4</f>
        <v>2025</v>
      </c>
      <c r="N12" s="39">
        <f>'Levelized Costs'!N4</f>
        <v>2026</v>
      </c>
      <c r="O12" s="39">
        <f>'Levelized Costs'!O4</f>
        <v>2027</v>
      </c>
      <c r="P12" s="39">
        <f>'Levelized Costs'!P4</f>
        <v>2028</v>
      </c>
      <c r="Q12" s="39">
        <f>'Levelized Costs'!Q4</f>
        <v>2029</v>
      </c>
      <c r="R12" s="39">
        <f>'Levelized Costs'!R4</f>
        <v>2030</v>
      </c>
      <c r="S12" s="39">
        <f>'Levelized Costs'!S4</f>
        <v>2031</v>
      </c>
      <c r="T12" s="39">
        <f>'Levelized Costs'!T4</f>
        <v>2032</v>
      </c>
      <c r="U12" s="39">
        <f>'Levelized Costs'!U4</f>
        <v>2033</v>
      </c>
      <c r="V12" s="39">
        <f>'Levelized Costs'!V4</f>
        <v>2034</v>
      </c>
      <c r="W12" s="39">
        <f>'Levelized Costs'!W4</f>
        <v>2035</v>
      </c>
    </row>
    <row r="13" spans="1:23">
      <c r="A13" s="9" t="str">
        <f>+'Device Energy Use'!A5</f>
        <v>Electric Resistance</v>
      </c>
      <c r="B13" s="32">
        <f>'Water Heater Stock'!B15/'Water Heater Stock'!B$14</f>
        <v>1</v>
      </c>
      <c r="C13" s="32">
        <f>'Water Heater Stock'!C15/'Water Heater Stock'!C$14</f>
        <v>0.9285714285714286</v>
      </c>
      <c r="D13" s="32">
        <f>'Water Heater Stock'!D15/'Water Heater Stock'!D$14</f>
        <v>0.86224489795918369</v>
      </c>
      <c r="E13" s="32">
        <f>'Water Heater Stock'!E15/'Water Heater Stock'!E$14</f>
        <v>0.80065597667638488</v>
      </c>
      <c r="F13" s="32">
        <f>'Water Heater Stock'!F15/'Water Heater Stock'!F$14</f>
        <v>0.74346626405664307</v>
      </c>
      <c r="G13" s="32">
        <f>'Water Heater Stock'!G15/'Water Heater Stock'!G$14</f>
        <v>0.69036153090973995</v>
      </c>
      <c r="H13" s="32">
        <f>'Water Heater Stock'!H15/'Water Heater Stock'!H$14</f>
        <v>0.64104999298761567</v>
      </c>
      <c r="I13" s="32">
        <f>'Water Heater Stock'!I15/'Water Heater Stock'!I$14</f>
        <v>0.59526070777421458</v>
      </c>
      <c r="J13" s="32">
        <f>'Water Heater Stock'!J15/'Water Heater Stock'!J$14</f>
        <v>0.55274208579034212</v>
      </c>
      <c r="K13" s="32">
        <f>'Water Heater Stock'!K15/'Water Heater Stock'!K$14</f>
        <v>0.51326050823388902</v>
      </c>
      <c r="L13" s="32">
        <f>'Water Heater Stock'!L15/'Water Heater Stock'!L$14</f>
        <v>0.47659904336003983</v>
      </c>
      <c r="M13" s="32">
        <f>'Water Heater Stock'!M15/'Water Heater Stock'!M$14</f>
        <v>0.44255625454860842</v>
      </c>
      <c r="N13" s="32">
        <f>'Water Heater Stock'!N15/'Water Heater Stock'!N$14</f>
        <v>0.4109450935094221</v>
      </c>
      <c r="O13" s="32">
        <f>'Water Heater Stock'!O15/'Water Heater Stock'!O$14</f>
        <v>0.38159187254446342</v>
      </c>
      <c r="P13" s="32">
        <f>'Water Heater Stock'!P15/'Water Heater Stock'!P$14</f>
        <v>0.35433531021985892</v>
      </c>
      <c r="Q13" s="32">
        <f>'Water Heater Stock'!Q15/'Water Heater Stock'!Q$14</f>
        <v>0.32902564520415473</v>
      </c>
      <c r="R13" s="32">
        <f>'Water Heater Stock'!R15/'Water Heater Stock'!R$14</f>
        <v>0.30552381340385798</v>
      </c>
      <c r="S13" s="32">
        <f>'Water Heater Stock'!S15/'Water Heater Stock'!S$14</f>
        <v>0.28370068387501102</v>
      </c>
      <c r="T13" s="32">
        <f>'Water Heater Stock'!T15/'Water Heater Stock'!T$14</f>
        <v>0.26343634931251025</v>
      </c>
      <c r="U13" s="32">
        <f>'Water Heater Stock'!U15/'Water Heater Stock'!U$14</f>
        <v>0.24461946721875952</v>
      </c>
      <c r="V13" s="32">
        <f>'Water Heater Stock'!V15/'Water Heater Stock'!V$14</f>
        <v>0.22714664813170526</v>
      </c>
      <c r="W13" s="32">
        <f>'Water Heater Stock'!W15/'Water Heater Stock'!W$14</f>
        <v>0.21092188755086916</v>
      </c>
    </row>
    <row r="14" spans="1:23">
      <c r="A14" s="9" t="str">
        <f>+'Device Energy Use'!A6</f>
        <v>HPWH</v>
      </c>
      <c r="B14" s="32">
        <f>'Water Heater Stock'!B16/'Water Heater Stock'!B$14</f>
        <v>0</v>
      </c>
      <c r="C14" s="32">
        <f>'Water Heater Stock'!C16/'Water Heater Stock'!C$14</f>
        <v>7.1428571428571438E-2</v>
      </c>
      <c r="D14" s="32">
        <f>'Water Heater Stock'!D16/'Water Heater Stock'!D$14</f>
        <v>0.13775510204081631</v>
      </c>
      <c r="E14" s="32">
        <f>'Water Heater Stock'!E16/'Water Heater Stock'!E$14</f>
        <v>0.19934402332361514</v>
      </c>
      <c r="F14" s="32">
        <f>'Water Heater Stock'!F16/'Water Heater Stock'!F$14</f>
        <v>0.25653373594335693</v>
      </c>
      <c r="G14" s="32">
        <f>'Water Heater Stock'!G16/'Water Heater Stock'!G$14</f>
        <v>0.30963846909025999</v>
      </c>
      <c r="H14" s="32">
        <f>'Water Heater Stock'!H16/'Water Heater Stock'!H$14</f>
        <v>0.35895000701238428</v>
      </c>
      <c r="I14" s="32">
        <f>'Water Heater Stock'!I16/'Water Heater Stock'!I$14</f>
        <v>0.40473929222578542</v>
      </c>
      <c r="J14" s="32">
        <f>'Water Heater Stock'!J16/'Water Heater Stock'!J$14</f>
        <v>0.44725791420965783</v>
      </c>
      <c r="K14" s="32">
        <f>'Water Heater Stock'!K16/'Water Heater Stock'!K$14</f>
        <v>0.48673949176611087</v>
      </c>
      <c r="L14" s="32">
        <f>'Water Heater Stock'!L16/'Water Heater Stock'!L$14</f>
        <v>0.52340095663996011</v>
      </c>
      <c r="M14" s="32">
        <f>'Water Heater Stock'!M16/'Water Heater Stock'!M$14</f>
        <v>0.55744374545139153</v>
      </c>
      <c r="N14" s="32">
        <f>'Water Heater Stock'!N16/'Water Heater Stock'!N$14</f>
        <v>0.58905490649057779</v>
      </c>
      <c r="O14" s="32">
        <f>'Water Heater Stock'!O16/'Water Heater Stock'!O$14</f>
        <v>0.61840812745553664</v>
      </c>
      <c r="P14" s="32">
        <f>'Water Heater Stock'!P16/'Water Heater Stock'!P$14</f>
        <v>0.64566468978014113</v>
      </c>
      <c r="Q14" s="32">
        <f>'Water Heater Stock'!Q16/'Water Heater Stock'!Q$14</f>
        <v>0.67097435479584522</v>
      </c>
      <c r="R14" s="32">
        <f>'Water Heater Stock'!R16/'Water Heater Stock'!R$14</f>
        <v>0.69447618659614196</v>
      </c>
      <c r="S14" s="32">
        <f>'Water Heater Stock'!S16/'Water Heater Stock'!S$14</f>
        <v>0.71629931612498898</v>
      </c>
      <c r="T14" s="32">
        <f>'Water Heater Stock'!T16/'Water Heater Stock'!T$14</f>
        <v>0.73656365068748975</v>
      </c>
      <c r="U14" s="32">
        <f>'Water Heater Stock'!U16/'Water Heater Stock'!U$14</f>
        <v>0.7553805327812404</v>
      </c>
      <c r="V14" s="32">
        <f>'Water Heater Stock'!V16/'Water Heater Stock'!V$14</f>
        <v>0.77285335186829474</v>
      </c>
      <c r="W14" s="32">
        <f>'Water Heater Stock'!W16/'Water Heater Stock'!W$14</f>
        <v>0.78907811244913084</v>
      </c>
    </row>
    <row r="15" spans="1:23">
      <c r="A15" s="9" t="str">
        <f>+'Device Energy Use'!A7</f>
        <v>Gas Tank</v>
      </c>
      <c r="B15" s="32">
        <f>'Water Heater Stock'!B17/'Water Heater Stock'!B$14</f>
        <v>0</v>
      </c>
      <c r="C15" s="32">
        <f>'Water Heater Stock'!C17/'Water Heater Stock'!C$14</f>
        <v>0</v>
      </c>
      <c r="D15" s="32">
        <f>'Water Heater Stock'!D17/'Water Heater Stock'!D$14</f>
        <v>0</v>
      </c>
      <c r="E15" s="32">
        <f>'Water Heater Stock'!E17/'Water Heater Stock'!E$14</f>
        <v>0</v>
      </c>
      <c r="F15" s="32">
        <f>'Water Heater Stock'!F17/'Water Heater Stock'!F$14</f>
        <v>0</v>
      </c>
      <c r="G15" s="32">
        <f>'Water Heater Stock'!G17/'Water Heater Stock'!G$14</f>
        <v>0</v>
      </c>
      <c r="H15" s="32">
        <f>'Water Heater Stock'!H17/'Water Heater Stock'!H$14</f>
        <v>0</v>
      </c>
      <c r="I15" s="32">
        <f>'Water Heater Stock'!I17/'Water Heater Stock'!I$14</f>
        <v>0</v>
      </c>
      <c r="J15" s="32">
        <f>'Water Heater Stock'!J17/'Water Heater Stock'!J$14</f>
        <v>0</v>
      </c>
      <c r="K15" s="32">
        <f>'Water Heater Stock'!K17/'Water Heater Stock'!K$14</f>
        <v>0</v>
      </c>
      <c r="L15" s="32">
        <f>'Water Heater Stock'!L17/'Water Heater Stock'!L$14</f>
        <v>0</v>
      </c>
      <c r="M15" s="32">
        <f>'Water Heater Stock'!M17/'Water Heater Stock'!M$14</f>
        <v>0</v>
      </c>
      <c r="N15" s="32">
        <f>'Water Heater Stock'!N17/'Water Heater Stock'!N$14</f>
        <v>0</v>
      </c>
      <c r="O15" s="32">
        <f>'Water Heater Stock'!O17/'Water Heater Stock'!O$14</f>
        <v>0</v>
      </c>
      <c r="P15" s="32">
        <f>'Water Heater Stock'!P17/'Water Heater Stock'!P$14</f>
        <v>0</v>
      </c>
      <c r="Q15" s="32">
        <f>'Water Heater Stock'!Q17/'Water Heater Stock'!Q$14</f>
        <v>0</v>
      </c>
      <c r="R15" s="32">
        <f>'Water Heater Stock'!R17/'Water Heater Stock'!R$14</f>
        <v>0</v>
      </c>
      <c r="S15" s="32">
        <f>'Water Heater Stock'!S17/'Water Heater Stock'!S$14</f>
        <v>0</v>
      </c>
      <c r="T15" s="32">
        <f>'Water Heater Stock'!T17/'Water Heater Stock'!T$14</f>
        <v>0</v>
      </c>
      <c r="U15" s="32">
        <f>'Water Heater Stock'!U17/'Water Heater Stock'!U$14</f>
        <v>0</v>
      </c>
      <c r="V15" s="32">
        <f>'Water Heater Stock'!V17/'Water Heater Stock'!V$14</f>
        <v>0</v>
      </c>
      <c r="W15" s="32">
        <f>'Water Heater Stock'!W17/'Water Heater Stock'!W$14</f>
        <v>0</v>
      </c>
    </row>
    <row r="16" spans="1:23">
      <c r="A16" s="9" t="str">
        <f>+'Device Energy Use'!A8</f>
        <v>Instant Gas</v>
      </c>
      <c r="B16" s="32">
        <f>'Water Heater Stock'!B18/'Water Heater Stock'!B$14</f>
        <v>0</v>
      </c>
      <c r="C16" s="32">
        <f>'Water Heater Stock'!C18/'Water Heater Stock'!C$14</f>
        <v>0</v>
      </c>
      <c r="D16" s="32">
        <f>'Water Heater Stock'!D18/'Water Heater Stock'!D$14</f>
        <v>0</v>
      </c>
      <c r="E16" s="32">
        <f>'Water Heater Stock'!E18/'Water Heater Stock'!E$14</f>
        <v>0</v>
      </c>
      <c r="F16" s="32">
        <f>'Water Heater Stock'!F18/'Water Heater Stock'!F$14</f>
        <v>0</v>
      </c>
      <c r="G16" s="32">
        <f>'Water Heater Stock'!G18/'Water Heater Stock'!G$14</f>
        <v>0</v>
      </c>
      <c r="H16" s="32">
        <f>'Water Heater Stock'!H18/'Water Heater Stock'!H$14</f>
        <v>0</v>
      </c>
      <c r="I16" s="32">
        <f>'Water Heater Stock'!I18/'Water Heater Stock'!I$14</f>
        <v>0</v>
      </c>
      <c r="J16" s="32">
        <f>'Water Heater Stock'!J18/'Water Heater Stock'!J$14</f>
        <v>0</v>
      </c>
      <c r="K16" s="32">
        <f>'Water Heater Stock'!K18/'Water Heater Stock'!K$14</f>
        <v>0</v>
      </c>
      <c r="L16" s="32">
        <f>'Water Heater Stock'!L18/'Water Heater Stock'!L$14</f>
        <v>0</v>
      </c>
      <c r="M16" s="32">
        <f>'Water Heater Stock'!M18/'Water Heater Stock'!M$14</f>
        <v>0</v>
      </c>
      <c r="N16" s="32">
        <f>'Water Heater Stock'!N18/'Water Heater Stock'!N$14</f>
        <v>0</v>
      </c>
      <c r="O16" s="32">
        <f>'Water Heater Stock'!O18/'Water Heater Stock'!O$14</f>
        <v>0</v>
      </c>
      <c r="P16" s="32">
        <f>'Water Heater Stock'!P18/'Water Heater Stock'!P$14</f>
        <v>0</v>
      </c>
      <c r="Q16" s="32">
        <f>'Water Heater Stock'!Q18/'Water Heater Stock'!Q$14</f>
        <v>0</v>
      </c>
      <c r="R16" s="32">
        <f>'Water Heater Stock'!R18/'Water Heater Stock'!R$14</f>
        <v>0</v>
      </c>
      <c r="S16" s="32">
        <f>'Water Heater Stock'!S18/'Water Heater Stock'!S$14</f>
        <v>0</v>
      </c>
      <c r="T16" s="32">
        <f>'Water Heater Stock'!T18/'Water Heater Stock'!T$14</f>
        <v>0</v>
      </c>
      <c r="U16" s="32">
        <f>'Water Heater Stock'!U18/'Water Heater Stock'!U$14</f>
        <v>0</v>
      </c>
      <c r="V16" s="32">
        <f>'Water Heater Stock'!V18/'Water Heater Stock'!V$14</f>
        <v>0</v>
      </c>
      <c r="W16" s="32">
        <f>'Water Heater Stock'!W18/'Water Heater Stock'!W$14</f>
        <v>0</v>
      </c>
    </row>
    <row r="17" spans="1:23">
      <c r="A17" s="9" t="str">
        <f>+'Device Energy Use'!A9</f>
        <v>Condensing Gas</v>
      </c>
      <c r="B17" s="32">
        <f>'Water Heater Stock'!B19/'Water Heater Stock'!B$14</f>
        <v>0</v>
      </c>
      <c r="C17" s="32">
        <f>'Water Heater Stock'!C19/'Water Heater Stock'!C$14</f>
        <v>0</v>
      </c>
      <c r="D17" s="32">
        <f>'Water Heater Stock'!D19/'Water Heater Stock'!D$14</f>
        <v>0</v>
      </c>
      <c r="E17" s="32">
        <f>'Water Heater Stock'!E19/'Water Heater Stock'!E$14</f>
        <v>0</v>
      </c>
      <c r="F17" s="32">
        <f>'Water Heater Stock'!F19/'Water Heater Stock'!F$14</f>
        <v>0</v>
      </c>
      <c r="G17" s="32">
        <f>'Water Heater Stock'!G19/'Water Heater Stock'!G$14</f>
        <v>0</v>
      </c>
      <c r="H17" s="32">
        <f>'Water Heater Stock'!H19/'Water Heater Stock'!H$14</f>
        <v>0</v>
      </c>
      <c r="I17" s="32">
        <f>'Water Heater Stock'!I19/'Water Heater Stock'!I$14</f>
        <v>0</v>
      </c>
      <c r="J17" s="32">
        <f>'Water Heater Stock'!J19/'Water Heater Stock'!J$14</f>
        <v>0</v>
      </c>
      <c r="K17" s="32">
        <f>'Water Heater Stock'!K19/'Water Heater Stock'!K$14</f>
        <v>0</v>
      </c>
      <c r="L17" s="32">
        <f>'Water Heater Stock'!L19/'Water Heater Stock'!L$14</f>
        <v>0</v>
      </c>
      <c r="M17" s="32">
        <f>'Water Heater Stock'!M19/'Water Heater Stock'!M$14</f>
        <v>0</v>
      </c>
      <c r="N17" s="32">
        <f>'Water Heater Stock'!N19/'Water Heater Stock'!N$14</f>
        <v>0</v>
      </c>
      <c r="O17" s="32">
        <f>'Water Heater Stock'!O19/'Water Heater Stock'!O$14</f>
        <v>0</v>
      </c>
      <c r="P17" s="32">
        <f>'Water Heater Stock'!P19/'Water Heater Stock'!P$14</f>
        <v>0</v>
      </c>
      <c r="Q17" s="32">
        <f>'Water Heater Stock'!Q19/'Water Heater Stock'!Q$14</f>
        <v>0</v>
      </c>
      <c r="R17" s="32">
        <f>'Water Heater Stock'!R19/'Water Heater Stock'!R$14</f>
        <v>0</v>
      </c>
      <c r="S17" s="32">
        <f>'Water Heater Stock'!S19/'Water Heater Stock'!S$14</f>
        <v>0</v>
      </c>
      <c r="T17" s="32">
        <f>'Water Heater Stock'!T19/'Water Heater Stock'!T$14</f>
        <v>0</v>
      </c>
      <c r="U17" s="32">
        <f>'Water Heater Stock'!U19/'Water Heater Stock'!U$14</f>
        <v>0</v>
      </c>
      <c r="V17" s="32">
        <f>'Water Heater Stock'!V19/'Water Heater Stock'!V$14</f>
        <v>0</v>
      </c>
      <c r="W17" s="32">
        <f>'Water Heater Stock'!W19/'Water Heater Stock'!W$14</f>
        <v>0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7"/>
  <dimension ref="A1:W17"/>
  <sheetViews>
    <sheetView workbookViewId="0">
      <selection activeCell="E15" sqref="E15"/>
    </sheetView>
  </sheetViews>
  <sheetFormatPr defaultColWidth="9.140625" defaultRowHeight="15.75"/>
  <cols>
    <col min="1" max="1" width="20.7109375" style="9" customWidth="1"/>
    <col min="2" max="7" width="9.7109375" style="9" customWidth="1"/>
    <col min="8" max="29" width="8.42578125" style="9" customWidth="1"/>
    <col min="30" max="16384" width="9.140625" style="9"/>
  </cols>
  <sheetData>
    <row r="1" spans="1:23">
      <c r="A1" s="147" t="str">
        <f>CONCATENATE("Segment:  ",State,", Single Family, ", SpaceHeat, ", ", TankSize,", ", StartWH, " is starting water heater")</f>
        <v>Segment:  Idaho, Single Family, Gas FAF, &gt;55 Gallons, Electric Resistance is starting water heater</v>
      </c>
    </row>
    <row r="3" spans="1:23" ht="18" customHeight="1">
      <c r="A3" s="42" t="s">
        <v>89</v>
      </c>
    </row>
    <row r="4" spans="1:23" s="23" customFormat="1">
      <c r="A4" s="40" t="str">
        <f>+'Device Energy Use'!A4</f>
        <v>Water Heat Ending</v>
      </c>
      <c r="B4" s="39">
        <f>'Marginal Allocation Weight'!B4</f>
        <v>2014</v>
      </c>
      <c r="C4" s="39">
        <f>'Marginal Allocation Weight'!C4</f>
        <v>2015</v>
      </c>
      <c r="D4" s="39">
        <f>'Marginal Allocation Weight'!D4</f>
        <v>2016</v>
      </c>
      <c r="E4" s="39">
        <f>'Marginal Allocation Weight'!E4</f>
        <v>2017</v>
      </c>
      <c r="F4" s="39">
        <f>'Marginal Allocation Weight'!F4</f>
        <v>2018</v>
      </c>
      <c r="G4" s="39">
        <f>'Marginal Allocation Weight'!G4</f>
        <v>2019</v>
      </c>
      <c r="H4" s="39">
        <f>'Marginal Allocation Weight'!H4</f>
        <v>2020</v>
      </c>
      <c r="I4" s="39">
        <f>'Marginal Allocation Weight'!I4</f>
        <v>2021</v>
      </c>
      <c r="J4" s="39">
        <f>'Marginal Allocation Weight'!J4</f>
        <v>2022</v>
      </c>
      <c r="K4" s="39">
        <f>'Marginal Allocation Weight'!K4</f>
        <v>2023</v>
      </c>
      <c r="L4" s="39">
        <f>'Marginal Allocation Weight'!L4</f>
        <v>2024</v>
      </c>
      <c r="M4" s="39">
        <f>'Marginal Allocation Weight'!M4</f>
        <v>2025</v>
      </c>
      <c r="N4" s="39">
        <f>'Marginal Allocation Weight'!N4</f>
        <v>2026</v>
      </c>
      <c r="O4" s="39">
        <f>'Marginal Allocation Weight'!O4</f>
        <v>2027</v>
      </c>
      <c r="P4" s="39">
        <f>'Marginal Allocation Weight'!P4</f>
        <v>2028</v>
      </c>
      <c r="Q4" s="39">
        <f>'Marginal Allocation Weight'!Q4</f>
        <v>2029</v>
      </c>
      <c r="R4" s="39">
        <f>'Marginal Allocation Weight'!R4</f>
        <v>2030</v>
      </c>
      <c r="S4" s="39">
        <f>'Marginal Allocation Weight'!S4</f>
        <v>2031</v>
      </c>
      <c r="T4" s="39">
        <f>'Marginal Allocation Weight'!T4</f>
        <v>2032</v>
      </c>
      <c r="U4" s="39">
        <f>'Marginal Allocation Weight'!U4</f>
        <v>2033</v>
      </c>
      <c r="V4" s="39">
        <f>'Marginal Allocation Weight'!V4</f>
        <v>2034</v>
      </c>
      <c r="W4" s="39">
        <f>'Marginal Allocation Weight'!W4</f>
        <v>2035</v>
      </c>
    </row>
    <row r="5" spans="1:23">
      <c r="A5" s="9" t="str">
        <f>+'Device Energy Use'!A5</f>
        <v>Electric Resistance</v>
      </c>
      <c r="B5" s="32">
        <f>'Marginal Allocation Weight'!B5/'Total Allocation Weight'!B5</f>
        <v>0.99988805053161078</v>
      </c>
      <c r="C5" s="32">
        <f>'Marginal Allocation Weight'!C5/'Total Allocation Weight'!C5</f>
        <v>1.8193223211556138E-5</v>
      </c>
      <c r="D5" s="32">
        <f>'Marginal Allocation Weight'!D5/'Total Allocation Weight'!D5</f>
        <v>1.7980629017672033E-5</v>
      </c>
      <c r="E5" s="32">
        <f>'Marginal Allocation Weight'!E5/'Total Allocation Weight'!E5</f>
        <v>1.7771240329668526E-5</v>
      </c>
      <c r="F5" s="32">
        <f>'Marginal Allocation Weight'!F5/'Total Allocation Weight'!F5</f>
        <v>1.7565016240050973E-5</v>
      </c>
      <c r="G5" s="32">
        <f>'Marginal Allocation Weight'!G5/'Total Allocation Weight'!G5</f>
        <v>1.7361916114269353E-5</v>
      </c>
      <c r="H5" s="32">
        <f>'Marginal Allocation Weight'!H5/'Total Allocation Weight'!H5</f>
        <v>1.7161899598270551E-5</v>
      </c>
      <c r="I5" s="32">
        <f>'Marginal Allocation Weight'!I5/'Total Allocation Weight'!I5</f>
        <v>1.6964926625680987E-5</v>
      </c>
      <c r="J5" s="32">
        <f>'Marginal Allocation Weight'!J5/'Total Allocation Weight'!J5</f>
        <v>1.6770957424626034E-5</v>
      </c>
      <c r="K5" s="32">
        <f>'Marginal Allocation Weight'!K5/'Total Allocation Weight'!K5</f>
        <v>1.6579952524192908E-5</v>
      </c>
      <c r="L5" s="32">
        <f>'Marginal Allocation Weight'!L5/'Total Allocation Weight'!L5</f>
        <v>1.6391872760543963E-5</v>
      </c>
      <c r="M5" s="32">
        <f>'Marginal Allocation Weight'!M5/'Total Allocation Weight'!M5</f>
        <v>1.6206679282687201E-5</v>
      </c>
      <c r="N5" s="32">
        <f>'Marginal Allocation Weight'!N5/'Total Allocation Weight'!N5</f>
        <v>1.6024333557911053E-5</v>
      </c>
      <c r="O5" s="32">
        <f>'Marginal Allocation Weight'!O5/'Total Allocation Weight'!O5</f>
        <v>1.5844797376890399E-5</v>
      </c>
      <c r="P5" s="32">
        <f>'Marginal Allocation Weight'!P5/'Total Allocation Weight'!P5</f>
        <v>1.5668032858471091E-5</v>
      </c>
      <c r="Q5" s="32">
        <f>'Marginal Allocation Weight'!Q5/'Total Allocation Weight'!Q5</f>
        <v>1.5494002454139879E-5</v>
      </c>
      <c r="R5" s="32">
        <f>'Marginal Allocation Weight'!R5/'Total Allocation Weight'!R5</f>
        <v>1.5322668952187172E-5</v>
      </c>
      <c r="S5" s="32">
        <f>'Marginal Allocation Weight'!S5/'Total Allocation Weight'!S5</f>
        <v>1.515399548156969E-5</v>
      </c>
      <c r="T5" s="32">
        <f>'Marginal Allocation Weight'!T5/'Total Allocation Weight'!T5</f>
        <v>1.4987945515480224E-5</v>
      </c>
      <c r="U5" s="32">
        <f>'Marginal Allocation Weight'!U5/'Total Allocation Weight'!U5</f>
        <v>1.4824482874631829E-5</v>
      </c>
      <c r="V5" s="32">
        <f>'Marginal Allocation Weight'!V5/'Total Allocation Weight'!V5</f>
        <v>1.466357173026351E-5</v>
      </c>
      <c r="W5" s="32">
        <f>'Marginal Allocation Weight'!W5/'Total Allocation Weight'!W5</f>
        <v>1.4505176606874794E-5</v>
      </c>
    </row>
    <row r="6" spans="1:23">
      <c r="A6" s="9" t="str">
        <f>+'Device Energy Use'!A6</f>
        <v>HPWH</v>
      </c>
      <c r="B6" s="32">
        <f>'Marginal Allocation Weight'!B6/'Total Allocation Weight'!B6</f>
        <v>5.4499033144598598E-5</v>
      </c>
      <c r="C6" s="32">
        <f>'Marginal Allocation Weight'!C6/'Total Allocation Weight'!C6</f>
        <v>0.48589284757096102</v>
      </c>
      <c r="D6" s="32">
        <f>'Marginal Allocation Weight'!D6/'Total Allocation Weight'!D6</f>
        <v>0.48497874948726183</v>
      </c>
      <c r="E6" s="32">
        <f>'Marginal Allocation Weight'!E6/'Total Allocation Weight'!E6</f>
        <v>0.48406701593519036</v>
      </c>
      <c r="F6" s="32">
        <f>'Marginal Allocation Weight'!F6/'Total Allocation Weight'!F6</f>
        <v>0.48315776861190268</v>
      </c>
      <c r="G6" s="32">
        <f>'Marginal Allocation Weight'!G6/'Total Allocation Weight'!G6</f>
        <v>0.48225112926499747</v>
      </c>
      <c r="H6" s="32">
        <f>'Marginal Allocation Weight'!H6/'Total Allocation Weight'!H6</f>
        <v>0.48134721965239063</v>
      </c>
      <c r="I6" s="32">
        <f>'Marginal Allocation Weight'!I6/'Total Allocation Weight'!I6</f>
        <v>0.48044616150223118</v>
      </c>
      <c r="J6" s="32">
        <f>'Marginal Allocation Weight'!J6/'Total Allocation Weight'!J6</f>
        <v>0.47954807647289194</v>
      </c>
      <c r="K6" s="32">
        <f>'Marginal Allocation Weight'!K6/'Total Allocation Weight'!K6</f>
        <v>0.47865308611306867</v>
      </c>
      <c r="L6" s="32">
        <f>'Marginal Allocation Weight'!L6/'Total Allocation Weight'!L6</f>
        <v>0.47776131182201836</v>
      </c>
      <c r="M6" s="32">
        <f>'Marginal Allocation Weight'!M6/'Total Allocation Weight'!M6</f>
        <v>0.47687287480996787</v>
      </c>
      <c r="N6" s="32">
        <f>'Marginal Allocation Weight'!N6/'Total Allocation Weight'!N6</f>
        <v>0.47598789605872877</v>
      </c>
      <c r="O6" s="32">
        <f>'Marginal Allocation Weight'!O6/'Total Allocation Weight'!O6</f>
        <v>0.47510649628254292</v>
      </c>
      <c r="P6" s="32">
        <f>'Marginal Allocation Weight'!P6/'Total Allocation Weight'!P6</f>
        <v>0.47422879588919586</v>
      </c>
      <c r="Q6" s="32">
        <f>'Marginal Allocation Weight'!Q6/'Total Allocation Weight'!Q6</f>
        <v>0.47335491494142201</v>
      </c>
      <c r="R6" s="32">
        <f>'Marginal Allocation Weight'!R6/'Total Allocation Weight'!R6</f>
        <v>0.47248497311863535</v>
      </c>
      <c r="S6" s="32">
        <f>'Marginal Allocation Weight'!S6/'Total Allocation Weight'!S6</f>
        <v>0.47161908967901245</v>
      </c>
      <c r="T6" s="32">
        <f>'Marginal Allocation Weight'!T6/'Total Allocation Weight'!T6</f>
        <v>0.47075738342195367</v>
      </c>
      <c r="U6" s="32">
        <f>'Marginal Allocation Weight'!U6/'Total Allocation Weight'!U6</f>
        <v>0.46989997265095329</v>
      </c>
      <c r="V6" s="32">
        <f>'Marginal Allocation Weight'!V6/'Total Allocation Weight'!V6</f>
        <v>0.46904697513690186</v>
      </c>
      <c r="W6" s="32">
        <f>'Marginal Allocation Weight'!W6/'Total Allocation Weight'!W6</f>
        <v>0.46819850808184627</v>
      </c>
    </row>
    <row r="7" spans="1:23">
      <c r="A7" s="9" t="str">
        <f>+'Device Energy Use'!A7</f>
        <v>Gas Tank</v>
      </c>
      <c r="B7" s="32">
        <f>'Marginal Allocation Weight'!B7/'Total Allocation Weight'!B7</f>
        <v>5.6269694197536478E-9</v>
      </c>
      <c r="C7" s="32">
        <f>'Marginal Allocation Weight'!C7/'Total Allocation Weight'!C7</f>
        <v>4.9830223584632764E-5</v>
      </c>
      <c r="D7" s="32">
        <f>'Marginal Allocation Weight'!D7/'Total Allocation Weight'!D7</f>
        <v>4.9400459808933267E-5</v>
      </c>
      <c r="E7" s="32">
        <f>'Marginal Allocation Weight'!E7/'Total Allocation Weight'!E7</f>
        <v>4.897329288339748E-5</v>
      </c>
      <c r="F7" s="32">
        <f>'Marginal Allocation Weight'!F7/'Total Allocation Weight'!F7</f>
        <v>4.8548755153435087E-5</v>
      </c>
      <c r="G7" s="32">
        <f>'Marginal Allocation Weight'!G7/'Total Allocation Weight'!G7</f>
        <v>4.8126877812450685E-5</v>
      </c>
      <c r="H7" s="32">
        <f>'Marginal Allocation Weight'!H7/'Total Allocation Weight'!H7</f>
        <v>4.7707690900066869E-5</v>
      </c>
      <c r="I7" s="32">
        <f>'Marginal Allocation Weight'!I7/'Total Allocation Weight'!I7</f>
        <v>4.7291223301290976E-5</v>
      </c>
      <c r="J7" s="32">
        <f>'Marginal Allocation Weight'!J7/'Total Allocation Weight'!J7</f>
        <v>4.6877502746608137E-5</v>
      </c>
      <c r="K7" s="32">
        <f>'Marginal Allocation Weight'!K7/'Total Allocation Weight'!K7</f>
        <v>4.6466555812988447E-5</v>
      </c>
      <c r="L7" s="32">
        <f>'Marginal Allocation Weight'!L7/'Total Allocation Weight'!L7</f>
        <v>4.6058407925788748E-5</v>
      </c>
      <c r="M7" s="32">
        <f>'Marginal Allocation Weight'!M7/'Total Allocation Weight'!M7</f>
        <v>4.5653083361533318E-5</v>
      </c>
      <c r="N7" s="32">
        <f>'Marginal Allocation Weight'!N7/'Total Allocation Weight'!N7</f>
        <v>4.5250605251554173E-5</v>
      </c>
      <c r="O7" s="32">
        <f>'Marginal Allocation Weight'!O7/'Total Allocation Weight'!O7</f>
        <v>4.4850995586472298E-5</v>
      </c>
      <c r="P7" s="32">
        <f>'Marginal Allocation Weight'!P7/'Total Allocation Weight'!P7</f>
        <v>4.4454275221498639E-5</v>
      </c>
      <c r="Q7" s="32">
        <f>'Marginal Allocation Weight'!Q7/'Total Allocation Weight'!Q7</f>
        <v>4.406046388253416E-5</v>
      </c>
      <c r="R7" s="32">
        <f>'Marginal Allocation Weight'!R7/'Total Allocation Weight'!R7</f>
        <v>4.3669580173048294E-5</v>
      </c>
      <c r="S7" s="32">
        <f>'Marginal Allocation Weight'!S7/'Total Allocation Weight'!S7</f>
        <v>4.3281641581710659E-5</v>
      </c>
      <c r="T7" s="32">
        <f>'Marginal Allocation Weight'!T7/'Total Allocation Weight'!T7</f>
        <v>4.2896664490756355E-5</v>
      </c>
      <c r="U7" s="32">
        <f>'Marginal Allocation Weight'!U7/'Total Allocation Weight'!U7</f>
        <v>4.2514664185058379E-5</v>
      </c>
      <c r="V7" s="32">
        <f>'Marginal Allocation Weight'!V7/'Total Allocation Weight'!V7</f>
        <v>4.2135654861884231E-5</v>
      </c>
      <c r="W7" s="32">
        <f>'Marginal Allocation Weight'!W7/'Total Allocation Weight'!W7</f>
        <v>4.1759649641312253E-5</v>
      </c>
    </row>
    <row r="8" spans="1:23">
      <c r="A8" s="9" t="str">
        <f>+'Device Energy Use'!A8</f>
        <v>Instant Gas</v>
      </c>
      <c r="B8" s="32">
        <f>'Marginal Allocation Weight'!B8/'Total Allocation Weight'!B8</f>
        <v>1.6289121898841318E-5</v>
      </c>
      <c r="C8" s="32">
        <f>'Marginal Allocation Weight'!C8/'Total Allocation Weight'!C8</f>
        <v>0.1462072577955284</v>
      </c>
      <c r="D8" s="32">
        <f>'Marginal Allocation Weight'!D8/'Total Allocation Weight'!D8</f>
        <v>0.14691757691403648</v>
      </c>
      <c r="E8" s="32">
        <f>'Marginal Allocation Weight'!E8/'Total Allocation Weight'!E8</f>
        <v>0.14763248541925697</v>
      </c>
      <c r="F8" s="32">
        <f>'Marginal Allocation Weight'!F8/'Total Allocation Weight'!F8</f>
        <v>0.14835195202889065</v>
      </c>
      <c r="G8" s="32">
        <f>'Marginal Allocation Weight'!G8/'Total Allocation Weight'!G8</f>
        <v>0.14907594376770833</v>
      </c>
      <c r="H8" s="32">
        <f>'Marginal Allocation Weight'!H8/'Total Allocation Weight'!H8</f>
        <v>0.14980442594755544</v>
      </c>
      <c r="I8" s="32">
        <f>'Marginal Allocation Weight'!I8/'Total Allocation Weight'!I8</f>
        <v>0.15053736214802069</v>
      </c>
      <c r="J8" s="32">
        <f>'Marginal Allocation Weight'!J8/'Total Allocation Weight'!J8</f>
        <v>0.15127471419780139</v>
      </c>
      <c r="K8" s="32">
        <f>'Marginal Allocation Weight'!K8/'Total Allocation Weight'!K8</f>
        <v>0.15201644215680779</v>
      </c>
      <c r="L8" s="32">
        <f>'Marginal Allocation Weight'!L8/'Total Allocation Weight'!L8</f>
        <v>0.1527625042990397</v>
      </c>
      <c r="M8" s="32">
        <f>'Marginal Allocation Weight'!M8/'Total Allocation Weight'!M8</f>
        <v>0.15351285709627677</v>
      </c>
      <c r="N8" s="32">
        <f>'Marginal Allocation Weight'!N8/'Total Allocation Weight'!N8</f>
        <v>0.15426745520261537</v>
      </c>
      <c r="O8" s="32">
        <f>'Marginal Allocation Weight'!O8/'Total Allocation Weight'!O8</f>
        <v>0.1550262514398959</v>
      </c>
      <c r="P8" s="32">
        <f>'Marginal Allocation Weight'!P8/'Total Allocation Weight'!P8</f>
        <v>0.15578919678405154</v>
      </c>
      <c r="Q8" s="32">
        <f>'Marginal Allocation Weight'!Q8/'Total Allocation Weight'!Q8</f>
        <v>0.15655624035242111</v>
      </c>
      <c r="R8" s="32">
        <f>'Marginal Allocation Weight'!R8/'Total Allocation Weight'!R8</f>
        <v>0.15732732939206037</v>
      </c>
      <c r="S8" s="32">
        <f>'Marginal Allocation Weight'!S8/'Total Allocation Weight'!S8</f>
        <v>0.15810240926908914</v>
      </c>
      <c r="T8" s="32">
        <f>'Marginal Allocation Weight'!T8/'Total Allocation Weight'!T8</f>
        <v>0.15888142345911116</v>
      </c>
      <c r="U8" s="32">
        <f>'Marginal Allocation Weight'!U8/'Total Allocation Weight'!U8</f>
        <v>0.15966431353874322</v>
      </c>
      <c r="V8" s="32">
        <f>'Marginal Allocation Weight'!V8/'Total Allocation Weight'!V8</f>
        <v>0.16045101917828711</v>
      </c>
      <c r="W8" s="32">
        <f>'Marginal Allocation Weight'!W8/'Total Allocation Weight'!W8</f>
        <v>0.16124147813558182</v>
      </c>
    </row>
    <row r="9" spans="1:23">
      <c r="A9" s="9" t="str">
        <f>+'Device Energy Use'!A9</f>
        <v>Condensing Gas</v>
      </c>
      <c r="B9" s="32">
        <f>'Marginal Allocation Weight'!B9/'Total Allocation Weight'!B9</f>
        <v>4.1155686376194218E-5</v>
      </c>
      <c r="C9" s="32">
        <f>'Marginal Allocation Weight'!C9/'Total Allocation Weight'!C9</f>
        <v>0.36783187118671445</v>
      </c>
      <c r="D9" s="32">
        <f>'Marginal Allocation Weight'!D9/'Total Allocation Weight'!D9</f>
        <v>0.36803629250987502</v>
      </c>
      <c r="E9" s="32">
        <f>'Marginal Allocation Weight'!E9/'Total Allocation Weight'!E9</f>
        <v>0.36823375411233961</v>
      </c>
      <c r="F9" s="32">
        <f>'Marginal Allocation Weight'!F9/'Total Allocation Weight'!F9</f>
        <v>0.36842416558781327</v>
      </c>
      <c r="G9" s="32">
        <f>'Marginal Allocation Weight'!G9/'Total Allocation Weight'!G9</f>
        <v>0.36860743817336755</v>
      </c>
      <c r="H9" s="32">
        <f>'Marginal Allocation Weight'!H9/'Total Allocation Weight'!H9</f>
        <v>0.36878348480955564</v>
      </c>
      <c r="I9" s="32">
        <f>'Marginal Allocation Weight'!I9/'Total Allocation Weight'!I9</f>
        <v>0.36895222019982121</v>
      </c>
      <c r="J9" s="32">
        <f>'Marginal Allocation Weight'!J9/'Total Allocation Weight'!J9</f>
        <v>0.36911356086913544</v>
      </c>
      <c r="K9" s="32">
        <f>'Marginal Allocation Weight'!K9/'Total Allocation Weight'!K9</f>
        <v>0.36926742522178635</v>
      </c>
      <c r="L9" s="32">
        <f>'Marginal Allocation Weight'!L9/'Total Allocation Weight'!L9</f>
        <v>0.36941373359825563</v>
      </c>
      <c r="M9" s="32">
        <f>'Marginal Allocation Weight'!M9/'Total Allocation Weight'!M9</f>
        <v>0.36955240833111108</v>
      </c>
      <c r="N9" s="32">
        <f>'Marginal Allocation Weight'!N9/'Total Allocation Weight'!N9</f>
        <v>0.36968337379984639</v>
      </c>
      <c r="O9" s="32">
        <f>'Marginal Allocation Weight'!O9/'Total Allocation Weight'!O9</f>
        <v>0.3698065564845977</v>
      </c>
      <c r="P9" s="32">
        <f>'Marginal Allocation Weight'!P9/'Total Allocation Weight'!P9</f>
        <v>0.36992188501867262</v>
      </c>
      <c r="Q9" s="32">
        <f>'Marginal Allocation Weight'!Q9/'Total Allocation Weight'!Q9</f>
        <v>0.37002929023982017</v>
      </c>
      <c r="R9" s="32">
        <f>'Marginal Allocation Weight'!R9/'Total Allocation Weight'!R9</f>
        <v>0.37012870524017899</v>
      </c>
      <c r="S9" s="32">
        <f>'Marginal Allocation Weight'!S9/'Total Allocation Weight'!S9</f>
        <v>0.3702200654148351</v>
      </c>
      <c r="T9" s="32">
        <f>'Marginal Allocation Weight'!T9/'Total Allocation Weight'!T9</f>
        <v>0.3703033085089289</v>
      </c>
      <c r="U9" s="32">
        <f>'Marginal Allocation Weight'!U9/'Total Allocation Weight'!U9</f>
        <v>0.37037837466324386</v>
      </c>
      <c r="V9" s="32">
        <f>'Marginal Allocation Weight'!V9/'Total Allocation Weight'!V9</f>
        <v>0.37044520645821893</v>
      </c>
      <c r="W9" s="32">
        <f>'Marginal Allocation Weight'!W9/'Total Allocation Weight'!W9</f>
        <v>0.37050374895632365</v>
      </c>
    </row>
    <row r="11" spans="1:23">
      <c r="A11" s="42" t="s">
        <v>136</v>
      </c>
    </row>
    <row r="12" spans="1:23" s="23" customFormat="1">
      <c r="A12" s="40" t="str">
        <f>+'Device Energy Use'!A4</f>
        <v>Water Heat Ending</v>
      </c>
      <c r="B12" s="39">
        <f>'Levelized Costs'!B4</f>
        <v>2014</v>
      </c>
      <c r="C12" s="39">
        <f>'Levelized Costs'!C4</f>
        <v>2015</v>
      </c>
      <c r="D12" s="39">
        <f>'Levelized Costs'!D4</f>
        <v>2016</v>
      </c>
      <c r="E12" s="39">
        <f>'Levelized Costs'!E4</f>
        <v>2017</v>
      </c>
      <c r="F12" s="39">
        <f>'Levelized Costs'!F4</f>
        <v>2018</v>
      </c>
      <c r="G12" s="39">
        <f>'Levelized Costs'!G4</f>
        <v>2019</v>
      </c>
      <c r="H12" s="39">
        <f>'Levelized Costs'!H4</f>
        <v>2020</v>
      </c>
      <c r="I12" s="39">
        <f>'Levelized Costs'!I4</f>
        <v>2021</v>
      </c>
      <c r="J12" s="39">
        <f>'Levelized Costs'!J4</f>
        <v>2022</v>
      </c>
      <c r="K12" s="39">
        <f>'Levelized Costs'!K4</f>
        <v>2023</v>
      </c>
      <c r="L12" s="39">
        <f>'Levelized Costs'!L4</f>
        <v>2024</v>
      </c>
      <c r="M12" s="39">
        <f>'Levelized Costs'!M4</f>
        <v>2025</v>
      </c>
      <c r="N12" s="39">
        <f>'Levelized Costs'!N4</f>
        <v>2026</v>
      </c>
      <c r="O12" s="39">
        <f>'Levelized Costs'!O4</f>
        <v>2027</v>
      </c>
      <c r="P12" s="39">
        <f>'Levelized Costs'!P4</f>
        <v>2028</v>
      </c>
      <c r="Q12" s="39">
        <f>'Levelized Costs'!Q4</f>
        <v>2029</v>
      </c>
      <c r="R12" s="39">
        <f>'Levelized Costs'!R4</f>
        <v>2030</v>
      </c>
      <c r="S12" s="39">
        <f>'Levelized Costs'!S4</f>
        <v>2031</v>
      </c>
      <c r="T12" s="39">
        <f>'Levelized Costs'!T4</f>
        <v>2032</v>
      </c>
      <c r="U12" s="39">
        <f>'Levelized Costs'!U4</f>
        <v>2033</v>
      </c>
      <c r="V12" s="39">
        <f>'Levelized Costs'!V4</f>
        <v>2034</v>
      </c>
      <c r="W12" s="39">
        <f>'Levelized Costs'!W4</f>
        <v>2035</v>
      </c>
    </row>
    <row r="13" spans="1:23">
      <c r="A13" s="9" t="str">
        <f>+'Device Energy Use'!A5</f>
        <v>Electric Resistance</v>
      </c>
      <c r="B13" s="32">
        <v>0</v>
      </c>
      <c r="C13" s="32">
        <f>IF('Levelized Costs'!C5='Levelized Costs'!C$13,1,0)</f>
        <v>0</v>
      </c>
      <c r="D13" s="32">
        <f>IF('Levelized Costs'!D5='Levelized Costs'!D$13,1,0)</f>
        <v>0</v>
      </c>
      <c r="E13" s="32">
        <f>IF('Levelized Costs'!E5='Levelized Costs'!E$13,1,0)</f>
        <v>0</v>
      </c>
      <c r="F13" s="32">
        <f>IF('Levelized Costs'!F5='Levelized Costs'!F$13,1,0)</f>
        <v>0</v>
      </c>
      <c r="G13" s="32">
        <f>IF('Levelized Costs'!G5='Levelized Costs'!G$13,1,0)</f>
        <v>0</v>
      </c>
      <c r="H13" s="32">
        <f>IF('Levelized Costs'!H5='Levelized Costs'!H$13,1,0)</f>
        <v>0</v>
      </c>
      <c r="I13" s="32">
        <f>IF('Levelized Costs'!I5='Levelized Costs'!I$13,1,0)</f>
        <v>0</v>
      </c>
      <c r="J13" s="32">
        <f>IF('Levelized Costs'!J5='Levelized Costs'!J$13,1,0)</f>
        <v>0</v>
      </c>
      <c r="K13" s="32">
        <f>IF('Levelized Costs'!K5='Levelized Costs'!K$13,1,0)</f>
        <v>0</v>
      </c>
      <c r="L13" s="32">
        <f>IF('Levelized Costs'!L5='Levelized Costs'!L$13,1,0)</f>
        <v>0</v>
      </c>
      <c r="M13" s="32">
        <f>IF('Levelized Costs'!M5='Levelized Costs'!M$13,1,0)</f>
        <v>0</v>
      </c>
      <c r="N13" s="32">
        <f>IF('Levelized Costs'!N5='Levelized Costs'!N$13,1,0)</f>
        <v>0</v>
      </c>
      <c r="O13" s="32">
        <f>IF('Levelized Costs'!O5='Levelized Costs'!O$13,1,0)</f>
        <v>0</v>
      </c>
      <c r="P13" s="32">
        <f>IF('Levelized Costs'!P5='Levelized Costs'!P$13,1,0)</f>
        <v>0</v>
      </c>
      <c r="Q13" s="32">
        <f>IF('Levelized Costs'!Q5='Levelized Costs'!Q$13,1,0)</f>
        <v>0</v>
      </c>
      <c r="R13" s="32">
        <f>IF('Levelized Costs'!R5='Levelized Costs'!R$13,1,0)</f>
        <v>0</v>
      </c>
      <c r="S13" s="32">
        <f>IF('Levelized Costs'!S5='Levelized Costs'!S$13,1,0)</f>
        <v>0</v>
      </c>
      <c r="T13" s="32">
        <f>IF('Levelized Costs'!T5='Levelized Costs'!T$13,1,0)</f>
        <v>0</v>
      </c>
      <c r="U13" s="32">
        <f>IF('Levelized Costs'!U5='Levelized Costs'!U$13,1,0)</f>
        <v>0</v>
      </c>
      <c r="V13" s="32">
        <f>IF('Levelized Costs'!V5='Levelized Costs'!V$13,1,0)</f>
        <v>0</v>
      </c>
      <c r="W13" s="32">
        <f>IF('Levelized Costs'!W5='Levelized Costs'!W$13,1,0)</f>
        <v>0</v>
      </c>
    </row>
    <row r="14" spans="1:23">
      <c r="A14" s="9" t="str">
        <f>+'Device Energy Use'!A6</f>
        <v>HPWH</v>
      </c>
      <c r="B14" s="32">
        <v>0</v>
      </c>
      <c r="C14" s="32">
        <f>IF('Levelized Costs'!C6='Levelized Costs'!C$13,1,0)</f>
        <v>1</v>
      </c>
      <c r="D14" s="32">
        <f>IF('Levelized Costs'!D6='Levelized Costs'!D$13,1,0)</f>
        <v>1</v>
      </c>
      <c r="E14" s="32">
        <f>IF('Levelized Costs'!E6='Levelized Costs'!E$13,1,0)</f>
        <v>1</v>
      </c>
      <c r="F14" s="32">
        <f>IF('Levelized Costs'!F6='Levelized Costs'!F$13,1,0)</f>
        <v>1</v>
      </c>
      <c r="G14" s="32">
        <f>IF('Levelized Costs'!G6='Levelized Costs'!G$13,1,0)</f>
        <v>1</v>
      </c>
      <c r="H14" s="32">
        <f>IF('Levelized Costs'!H6='Levelized Costs'!H$13,1,0)</f>
        <v>1</v>
      </c>
      <c r="I14" s="32">
        <f>IF('Levelized Costs'!I6='Levelized Costs'!I$13,1,0)</f>
        <v>1</v>
      </c>
      <c r="J14" s="32">
        <f>IF('Levelized Costs'!J6='Levelized Costs'!J$13,1,0)</f>
        <v>1</v>
      </c>
      <c r="K14" s="32">
        <f>IF('Levelized Costs'!K6='Levelized Costs'!K$13,1,0)</f>
        <v>1</v>
      </c>
      <c r="L14" s="32">
        <f>IF('Levelized Costs'!L6='Levelized Costs'!L$13,1,0)</f>
        <v>1</v>
      </c>
      <c r="M14" s="32">
        <f>IF('Levelized Costs'!M6='Levelized Costs'!M$13,1,0)</f>
        <v>1</v>
      </c>
      <c r="N14" s="32">
        <f>IF('Levelized Costs'!N6='Levelized Costs'!N$13,1,0)</f>
        <v>1</v>
      </c>
      <c r="O14" s="32">
        <f>IF('Levelized Costs'!O6='Levelized Costs'!O$13,1,0)</f>
        <v>1</v>
      </c>
      <c r="P14" s="32">
        <f>IF('Levelized Costs'!P6='Levelized Costs'!P$13,1,0)</f>
        <v>1</v>
      </c>
      <c r="Q14" s="32">
        <f>IF('Levelized Costs'!Q6='Levelized Costs'!Q$13,1,0)</f>
        <v>1</v>
      </c>
      <c r="R14" s="32">
        <f>IF('Levelized Costs'!R6='Levelized Costs'!R$13,1,0)</f>
        <v>1</v>
      </c>
      <c r="S14" s="32">
        <f>IF('Levelized Costs'!S6='Levelized Costs'!S$13,1,0)</f>
        <v>1</v>
      </c>
      <c r="T14" s="32">
        <f>IF('Levelized Costs'!T6='Levelized Costs'!T$13,1,0)</f>
        <v>1</v>
      </c>
      <c r="U14" s="32">
        <f>IF('Levelized Costs'!U6='Levelized Costs'!U$13,1,0)</f>
        <v>1</v>
      </c>
      <c r="V14" s="32">
        <f>IF('Levelized Costs'!V6='Levelized Costs'!V$13,1,0)</f>
        <v>1</v>
      </c>
      <c r="W14" s="32">
        <f>IF('Levelized Costs'!W6='Levelized Costs'!W$13,1,0)</f>
        <v>1</v>
      </c>
    </row>
    <row r="15" spans="1:23">
      <c r="A15" s="9" t="str">
        <f>+'Device Energy Use'!A7</f>
        <v>Gas Tank</v>
      </c>
      <c r="B15" s="32">
        <v>0</v>
      </c>
      <c r="C15" s="32">
        <f>IF('Levelized Costs'!C7='Levelized Costs'!C$13,1,0)</f>
        <v>0</v>
      </c>
      <c r="D15" s="32">
        <f>IF('Levelized Costs'!D7='Levelized Costs'!D$13,1,0)</f>
        <v>0</v>
      </c>
      <c r="E15" s="32">
        <f>IF('Levelized Costs'!E7='Levelized Costs'!E$13,1,0)</f>
        <v>0</v>
      </c>
      <c r="F15" s="32">
        <f>IF('Levelized Costs'!F7='Levelized Costs'!F$13,1,0)</f>
        <v>0</v>
      </c>
      <c r="G15" s="32">
        <f>IF('Levelized Costs'!G7='Levelized Costs'!G$13,1,0)</f>
        <v>0</v>
      </c>
      <c r="H15" s="32">
        <f>IF('Levelized Costs'!H7='Levelized Costs'!H$13,1,0)</f>
        <v>0</v>
      </c>
      <c r="I15" s="32">
        <f>IF('Levelized Costs'!I7='Levelized Costs'!I$13,1,0)</f>
        <v>0</v>
      </c>
      <c r="J15" s="32">
        <f>IF('Levelized Costs'!J7='Levelized Costs'!J$13,1,0)</f>
        <v>0</v>
      </c>
      <c r="K15" s="32">
        <f>IF('Levelized Costs'!K7='Levelized Costs'!K$13,1,0)</f>
        <v>0</v>
      </c>
      <c r="L15" s="32">
        <f>IF('Levelized Costs'!L7='Levelized Costs'!L$13,1,0)</f>
        <v>0</v>
      </c>
      <c r="M15" s="32">
        <f>IF('Levelized Costs'!M7='Levelized Costs'!M$13,1,0)</f>
        <v>0</v>
      </c>
      <c r="N15" s="32">
        <f>IF('Levelized Costs'!N7='Levelized Costs'!N$13,1,0)</f>
        <v>0</v>
      </c>
      <c r="O15" s="32">
        <f>IF('Levelized Costs'!O7='Levelized Costs'!O$13,1,0)</f>
        <v>0</v>
      </c>
      <c r="P15" s="32">
        <f>IF('Levelized Costs'!P7='Levelized Costs'!P$13,1,0)</f>
        <v>0</v>
      </c>
      <c r="Q15" s="32">
        <f>IF('Levelized Costs'!Q7='Levelized Costs'!Q$13,1,0)</f>
        <v>0</v>
      </c>
      <c r="R15" s="32">
        <f>IF('Levelized Costs'!R7='Levelized Costs'!R$13,1,0)</f>
        <v>0</v>
      </c>
      <c r="S15" s="32">
        <f>IF('Levelized Costs'!S7='Levelized Costs'!S$13,1,0)</f>
        <v>0</v>
      </c>
      <c r="T15" s="32">
        <f>IF('Levelized Costs'!T7='Levelized Costs'!T$13,1,0)</f>
        <v>0</v>
      </c>
      <c r="U15" s="32">
        <f>IF('Levelized Costs'!U7='Levelized Costs'!U$13,1,0)</f>
        <v>0</v>
      </c>
      <c r="V15" s="32">
        <f>IF('Levelized Costs'!V7='Levelized Costs'!V$13,1,0)</f>
        <v>0</v>
      </c>
      <c r="W15" s="32">
        <f>IF('Levelized Costs'!W7='Levelized Costs'!W$13,1,0)</f>
        <v>0</v>
      </c>
    </row>
    <row r="16" spans="1:23">
      <c r="A16" s="9" t="str">
        <f>+'Device Energy Use'!A8</f>
        <v>Instant Gas</v>
      </c>
      <c r="B16" s="32">
        <v>0</v>
      </c>
      <c r="C16" s="32">
        <f>IF('Levelized Costs'!C8='Levelized Costs'!C$13,1,0)</f>
        <v>0</v>
      </c>
      <c r="D16" s="32">
        <f>IF('Levelized Costs'!D8='Levelized Costs'!D$13,1,0)</f>
        <v>0</v>
      </c>
      <c r="E16" s="32">
        <f>IF('Levelized Costs'!E8='Levelized Costs'!E$13,1,0)</f>
        <v>0</v>
      </c>
      <c r="F16" s="32">
        <f>IF('Levelized Costs'!F8='Levelized Costs'!F$13,1,0)</f>
        <v>0</v>
      </c>
      <c r="G16" s="32">
        <f>IF('Levelized Costs'!G8='Levelized Costs'!G$13,1,0)</f>
        <v>0</v>
      </c>
      <c r="H16" s="32">
        <f>IF('Levelized Costs'!H8='Levelized Costs'!H$13,1,0)</f>
        <v>0</v>
      </c>
      <c r="I16" s="32">
        <f>IF('Levelized Costs'!I8='Levelized Costs'!I$13,1,0)</f>
        <v>0</v>
      </c>
      <c r="J16" s="32">
        <f>IF('Levelized Costs'!J8='Levelized Costs'!J$13,1,0)</f>
        <v>0</v>
      </c>
      <c r="K16" s="32">
        <f>IF('Levelized Costs'!K8='Levelized Costs'!K$13,1,0)</f>
        <v>0</v>
      </c>
      <c r="L16" s="32">
        <f>IF('Levelized Costs'!L8='Levelized Costs'!L$13,1,0)</f>
        <v>0</v>
      </c>
      <c r="M16" s="32">
        <f>IF('Levelized Costs'!M8='Levelized Costs'!M$13,1,0)</f>
        <v>0</v>
      </c>
      <c r="N16" s="32">
        <f>IF('Levelized Costs'!N8='Levelized Costs'!N$13,1,0)</f>
        <v>0</v>
      </c>
      <c r="O16" s="32">
        <f>IF('Levelized Costs'!O8='Levelized Costs'!O$13,1,0)</f>
        <v>0</v>
      </c>
      <c r="P16" s="32">
        <f>IF('Levelized Costs'!P8='Levelized Costs'!P$13,1,0)</f>
        <v>0</v>
      </c>
      <c r="Q16" s="32">
        <f>IF('Levelized Costs'!Q8='Levelized Costs'!Q$13,1,0)</f>
        <v>0</v>
      </c>
      <c r="R16" s="32">
        <f>IF('Levelized Costs'!R8='Levelized Costs'!R$13,1,0)</f>
        <v>0</v>
      </c>
      <c r="S16" s="32">
        <f>IF('Levelized Costs'!S8='Levelized Costs'!S$13,1,0)</f>
        <v>0</v>
      </c>
      <c r="T16" s="32">
        <f>IF('Levelized Costs'!T8='Levelized Costs'!T$13,1,0)</f>
        <v>0</v>
      </c>
      <c r="U16" s="32">
        <f>IF('Levelized Costs'!U8='Levelized Costs'!U$13,1,0)</f>
        <v>0</v>
      </c>
      <c r="V16" s="32">
        <f>IF('Levelized Costs'!V8='Levelized Costs'!V$13,1,0)</f>
        <v>0</v>
      </c>
      <c r="W16" s="32">
        <f>IF('Levelized Costs'!W8='Levelized Costs'!W$13,1,0)</f>
        <v>0</v>
      </c>
    </row>
    <row r="17" spans="1:23">
      <c r="A17" s="9" t="str">
        <f>+'Device Energy Use'!A9</f>
        <v>Condensing Gas</v>
      </c>
      <c r="B17" s="32">
        <v>0</v>
      </c>
      <c r="C17" s="32">
        <f>IF('Levelized Costs'!C9='Levelized Costs'!C$13,1,0)</f>
        <v>0</v>
      </c>
      <c r="D17" s="32">
        <f>IF('Levelized Costs'!D9='Levelized Costs'!D$13,1,0)</f>
        <v>0</v>
      </c>
      <c r="E17" s="32">
        <f>IF('Levelized Costs'!E9='Levelized Costs'!E$13,1,0)</f>
        <v>0</v>
      </c>
      <c r="F17" s="32">
        <f>IF('Levelized Costs'!F9='Levelized Costs'!F$13,1,0)</f>
        <v>0</v>
      </c>
      <c r="G17" s="32">
        <f>IF('Levelized Costs'!G9='Levelized Costs'!G$13,1,0)</f>
        <v>0</v>
      </c>
      <c r="H17" s="32">
        <f>IF('Levelized Costs'!H9='Levelized Costs'!H$13,1,0)</f>
        <v>0</v>
      </c>
      <c r="I17" s="32">
        <f>IF('Levelized Costs'!I9='Levelized Costs'!I$13,1,0)</f>
        <v>0</v>
      </c>
      <c r="J17" s="32">
        <f>IF('Levelized Costs'!J9='Levelized Costs'!J$13,1,0)</f>
        <v>0</v>
      </c>
      <c r="K17" s="32">
        <f>IF('Levelized Costs'!K9='Levelized Costs'!K$13,1,0)</f>
        <v>0</v>
      </c>
      <c r="L17" s="32">
        <f>IF('Levelized Costs'!L9='Levelized Costs'!L$13,1,0)</f>
        <v>0</v>
      </c>
      <c r="M17" s="32">
        <f>IF('Levelized Costs'!M9='Levelized Costs'!M$13,1,0)</f>
        <v>0</v>
      </c>
      <c r="N17" s="32">
        <f>IF('Levelized Costs'!N9='Levelized Costs'!N$13,1,0)</f>
        <v>0</v>
      </c>
      <c r="O17" s="32">
        <f>IF('Levelized Costs'!O9='Levelized Costs'!O$13,1,0)</f>
        <v>0</v>
      </c>
      <c r="P17" s="32">
        <f>IF('Levelized Costs'!P9='Levelized Costs'!P$13,1,0)</f>
        <v>0</v>
      </c>
      <c r="Q17" s="32">
        <f>IF('Levelized Costs'!Q9='Levelized Costs'!Q$13,1,0)</f>
        <v>0</v>
      </c>
      <c r="R17" s="32">
        <f>IF('Levelized Costs'!R9='Levelized Costs'!R$13,1,0)</f>
        <v>0</v>
      </c>
      <c r="S17" s="32">
        <f>IF('Levelized Costs'!S9='Levelized Costs'!S$13,1,0)</f>
        <v>0</v>
      </c>
      <c r="T17" s="32">
        <f>IF('Levelized Costs'!T9='Levelized Costs'!T$13,1,0)</f>
        <v>0</v>
      </c>
      <c r="U17" s="32">
        <f>IF('Levelized Costs'!U9='Levelized Costs'!U$13,1,0)</f>
        <v>0</v>
      </c>
      <c r="V17" s="32">
        <f>IF('Levelized Costs'!V9='Levelized Costs'!V$13,1,0)</f>
        <v>0</v>
      </c>
      <c r="W17" s="32">
        <f>IF('Levelized Costs'!W9='Levelized Costs'!W$13,1,0)</f>
        <v>0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8"/>
  <dimension ref="A1:W10"/>
  <sheetViews>
    <sheetView workbookViewId="0">
      <selection activeCell="E7" sqref="E7"/>
    </sheetView>
  </sheetViews>
  <sheetFormatPr defaultRowHeight="15"/>
  <cols>
    <col min="1" max="1" width="20.7109375" customWidth="1"/>
    <col min="2" max="8" width="9.7109375" customWidth="1"/>
    <col min="9" max="24" width="10.28515625" customWidth="1"/>
  </cols>
  <sheetData>
    <row r="1" spans="1:23" ht="15.75">
      <c r="A1" s="147" t="str">
        <f>CONCATENATE("Segment:  ",State,", Single Family, ", SpaceHeat, ", ", TankSize,", ", StartWH, " is starting water heater")</f>
        <v>Segment:  Idaho, Single Family, Gas FAF, &gt;55 Gallons, Electric Resistance is starting water heater</v>
      </c>
    </row>
    <row r="3" spans="1:23" s="9" customFormat="1" ht="15.75">
      <c r="A3" s="12" t="s">
        <v>42</v>
      </c>
    </row>
    <row r="4" spans="1:23" s="9" customFormat="1" ht="15.75">
      <c r="A4" s="40" t="str">
        <f>'Device Energy Use'!A4</f>
        <v>Water Heat Ending</v>
      </c>
      <c r="B4" s="39">
        <f>+'Marginal Market Share'!B4</f>
        <v>2014</v>
      </c>
      <c r="C4" s="39">
        <f>+'Marginal Market Share'!C4</f>
        <v>2015</v>
      </c>
      <c r="D4" s="39">
        <f>+'Marginal Market Share'!D4</f>
        <v>2016</v>
      </c>
      <c r="E4" s="39">
        <f>+'Marginal Market Share'!E4</f>
        <v>2017</v>
      </c>
      <c r="F4" s="39">
        <f>+'Marginal Market Share'!F4</f>
        <v>2018</v>
      </c>
      <c r="G4" s="39">
        <f>+'Marginal Market Share'!G4</f>
        <v>2019</v>
      </c>
      <c r="H4" s="39">
        <f>+'Marginal Market Share'!H4</f>
        <v>2020</v>
      </c>
      <c r="I4" s="39">
        <f>+'Marginal Market Share'!I4</f>
        <v>2021</v>
      </c>
      <c r="J4" s="39">
        <f>+'Marginal Market Share'!J4</f>
        <v>2022</v>
      </c>
      <c r="K4" s="39">
        <f>+'Marginal Market Share'!K4</f>
        <v>2023</v>
      </c>
      <c r="L4" s="39">
        <f>+'Marginal Market Share'!L4</f>
        <v>2024</v>
      </c>
      <c r="M4" s="39">
        <f>+'Marginal Market Share'!M4</f>
        <v>2025</v>
      </c>
      <c r="N4" s="39">
        <f>+'Marginal Market Share'!N4</f>
        <v>2026</v>
      </c>
      <c r="O4" s="39">
        <f>+'Marginal Market Share'!O4</f>
        <v>2027</v>
      </c>
      <c r="P4" s="39">
        <f>+'Marginal Market Share'!P4</f>
        <v>2028</v>
      </c>
      <c r="Q4" s="39">
        <f>+'Marginal Market Share'!Q4</f>
        <v>2029</v>
      </c>
      <c r="R4" s="39">
        <f>+'Marginal Market Share'!R4</f>
        <v>2030</v>
      </c>
      <c r="S4" s="39">
        <f>+'Marginal Market Share'!S4</f>
        <v>2031</v>
      </c>
      <c r="T4" s="39">
        <f>+'Marginal Market Share'!T4</f>
        <v>2032</v>
      </c>
      <c r="U4" s="39">
        <f>+'Marginal Market Share'!U4</f>
        <v>2033</v>
      </c>
      <c r="V4" s="39">
        <f>+'Marginal Market Share'!V4</f>
        <v>2034</v>
      </c>
      <c r="W4" s="39">
        <f>+'Marginal Market Share'!W4</f>
        <v>2035</v>
      </c>
    </row>
    <row r="5" spans="1:23" s="9" customFormat="1" ht="15.75">
      <c r="A5" s="9" t="str">
        <f>+'Marginal Market Share'!A5</f>
        <v>Electric Resistance</v>
      </c>
      <c r="B5" s="130">
        <f>SUM('Marginal Allocation Weight'!B$5:B$9)</f>
        <v>22028.931922024571</v>
      </c>
      <c r="C5" s="130">
        <f>SUM('Marginal Allocation Weight'!C$5:C$9)</f>
        <v>2.4954308114928923</v>
      </c>
      <c r="D5" s="130">
        <f>SUM('Marginal Allocation Weight'!D$5:D$9)</f>
        <v>2.5249355691541218</v>
      </c>
      <c r="E5" s="130">
        <f>SUM('Marginal Allocation Weight'!E$5:E$9)</f>
        <v>2.5546854873540314</v>
      </c>
      <c r="F5" s="130">
        <f>SUM('Marginal Allocation Weight'!F$5:F$9)</f>
        <v>2.5846790655943686</v>
      </c>
      <c r="G5" s="130">
        <f>SUM('Marginal Allocation Weight'!G$5:G$9)</f>
        <v>2.6149147054783723</v>
      </c>
      <c r="H5" s="130">
        <f>SUM('Marginal Allocation Weight'!H$5:H$9)</f>
        <v>2.6453907099573013</v>
      </c>
      <c r="I5" s="130">
        <f>SUM('Marginal Allocation Weight'!I$5:I$9)</f>
        <v>2.6761052826341043</v>
      </c>
      <c r="J5" s="130">
        <f>SUM('Marginal Allocation Weight'!J$5:J$9)</f>
        <v>2.7070565271259222</v>
      </c>
      <c r="K5" s="130">
        <f>SUM('Marginal Allocation Weight'!K$5:K$9)</f>
        <v>2.7382424464870332</v>
      </c>
      <c r="L5" s="130">
        <f>SUM('Marginal Allocation Weight'!L$5:L$9)</f>
        <v>2.7696609426937902</v>
      </c>
      <c r="M5" s="130">
        <f>SUM('Marginal Allocation Weight'!M$5:M$9)</f>
        <v>2.8013098161930907</v>
      </c>
      <c r="N5" s="130">
        <f>SUM('Marginal Allocation Weight'!N$5:N$9)</f>
        <v>2.8331867655158343</v>
      </c>
      <c r="O5" s="130">
        <f>SUM('Marginal Allocation Weight'!O$5:O$9)</f>
        <v>2.8652893869567904</v>
      </c>
      <c r="P5" s="130">
        <f>SUM('Marginal Allocation Weight'!P$5:P$9)</f>
        <v>2.8976151743222118</v>
      </c>
      <c r="Q5" s="130">
        <f>SUM('Marginal Allocation Weight'!Q$5:Q$9)</f>
        <v>2.9301615187465222</v>
      </c>
      <c r="R5" s="130">
        <f>SUM('Marginal Allocation Weight'!R$5:R$9)</f>
        <v>2.9629257085792764</v>
      </c>
      <c r="S5" s="130">
        <f>SUM('Marginal Allocation Weight'!S$5:S$9)</f>
        <v>2.9959049293435722</v>
      </c>
      <c r="T5" s="130">
        <f>SUM('Marginal Allocation Weight'!T$5:T$9)</f>
        <v>3.0290962637670229</v>
      </c>
      <c r="U5" s="130">
        <f>SUM('Marginal Allocation Weight'!U$5:U$9)</f>
        <v>3.0624966918862846</v>
      </c>
      <c r="V5" s="130">
        <f>SUM('Marginal Allocation Weight'!V$5:V$9)</f>
        <v>3.0961030912261238</v>
      </c>
      <c r="W5" s="130">
        <f>SUM('Marginal Allocation Weight'!W$5:W$9)</f>
        <v>3.1299122370538632</v>
      </c>
    </row>
    <row r="6" spans="1:23" s="9" customFormat="1" ht="15.75">
      <c r="A6" s="9" t="str">
        <f>+'Marginal Market Share'!A6</f>
        <v>HPWH</v>
      </c>
      <c r="B6" s="130">
        <f>SUM('Marginal Allocation Weight'!B$5:B$9)</f>
        <v>22028.931922024571</v>
      </c>
      <c r="C6" s="130">
        <f>SUM('Marginal Allocation Weight'!C$5:C$9)</f>
        <v>2.4954308114928923</v>
      </c>
      <c r="D6" s="130">
        <f>SUM('Marginal Allocation Weight'!D$5:D$9)</f>
        <v>2.5249355691541218</v>
      </c>
      <c r="E6" s="130">
        <f>SUM('Marginal Allocation Weight'!E$5:E$9)</f>
        <v>2.5546854873540314</v>
      </c>
      <c r="F6" s="130">
        <f>SUM('Marginal Allocation Weight'!F$5:F$9)</f>
        <v>2.5846790655943686</v>
      </c>
      <c r="G6" s="130">
        <f>SUM('Marginal Allocation Weight'!G$5:G$9)</f>
        <v>2.6149147054783723</v>
      </c>
      <c r="H6" s="130">
        <f>SUM('Marginal Allocation Weight'!H$5:H$9)</f>
        <v>2.6453907099573013</v>
      </c>
      <c r="I6" s="130">
        <f>SUM('Marginal Allocation Weight'!I$5:I$9)</f>
        <v>2.6761052826341043</v>
      </c>
      <c r="J6" s="130">
        <f>SUM('Marginal Allocation Weight'!J$5:J$9)</f>
        <v>2.7070565271259222</v>
      </c>
      <c r="K6" s="130">
        <f>SUM('Marginal Allocation Weight'!K$5:K$9)</f>
        <v>2.7382424464870332</v>
      </c>
      <c r="L6" s="130">
        <f>SUM('Marginal Allocation Weight'!L$5:L$9)</f>
        <v>2.7696609426937902</v>
      </c>
      <c r="M6" s="130">
        <f>SUM('Marginal Allocation Weight'!M$5:M$9)</f>
        <v>2.8013098161930907</v>
      </c>
      <c r="N6" s="130">
        <f>SUM('Marginal Allocation Weight'!N$5:N$9)</f>
        <v>2.8331867655158343</v>
      </c>
      <c r="O6" s="130">
        <f>SUM('Marginal Allocation Weight'!O$5:O$9)</f>
        <v>2.8652893869567904</v>
      </c>
      <c r="P6" s="130">
        <f>SUM('Marginal Allocation Weight'!P$5:P$9)</f>
        <v>2.8976151743222118</v>
      </c>
      <c r="Q6" s="130">
        <f>SUM('Marginal Allocation Weight'!Q$5:Q$9)</f>
        <v>2.9301615187465222</v>
      </c>
      <c r="R6" s="130">
        <f>SUM('Marginal Allocation Weight'!R$5:R$9)</f>
        <v>2.9629257085792764</v>
      </c>
      <c r="S6" s="130">
        <f>SUM('Marginal Allocation Weight'!S$5:S$9)</f>
        <v>2.9959049293435722</v>
      </c>
      <c r="T6" s="130">
        <f>SUM('Marginal Allocation Weight'!T$5:T$9)</f>
        <v>3.0290962637670229</v>
      </c>
      <c r="U6" s="130">
        <f>SUM('Marginal Allocation Weight'!U$5:U$9)</f>
        <v>3.0624966918862846</v>
      </c>
      <c r="V6" s="130">
        <f>SUM('Marginal Allocation Weight'!V$5:V$9)</f>
        <v>3.0961030912261238</v>
      </c>
      <c r="W6" s="130">
        <f>SUM('Marginal Allocation Weight'!W$5:W$9)</f>
        <v>3.1299122370538632</v>
      </c>
    </row>
    <row r="7" spans="1:23" s="9" customFormat="1" ht="15.75">
      <c r="A7" s="9" t="str">
        <f>+'Marginal Market Share'!A7</f>
        <v>Gas Tank</v>
      </c>
      <c r="B7" s="130">
        <f>SUM('Marginal Allocation Weight'!B$5:B$9)</f>
        <v>22028.931922024571</v>
      </c>
      <c r="C7" s="130">
        <f>SUM('Marginal Allocation Weight'!C$5:C$9)</f>
        <v>2.4954308114928923</v>
      </c>
      <c r="D7" s="130">
        <f>SUM('Marginal Allocation Weight'!D$5:D$9)</f>
        <v>2.5249355691541218</v>
      </c>
      <c r="E7" s="130">
        <f>SUM('Marginal Allocation Weight'!E$5:E$9)</f>
        <v>2.5546854873540314</v>
      </c>
      <c r="F7" s="130">
        <f>SUM('Marginal Allocation Weight'!F$5:F$9)</f>
        <v>2.5846790655943686</v>
      </c>
      <c r="G7" s="130">
        <f>SUM('Marginal Allocation Weight'!G$5:G$9)</f>
        <v>2.6149147054783723</v>
      </c>
      <c r="H7" s="130">
        <f>SUM('Marginal Allocation Weight'!H$5:H$9)</f>
        <v>2.6453907099573013</v>
      </c>
      <c r="I7" s="130">
        <f>SUM('Marginal Allocation Weight'!I$5:I$9)</f>
        <v>2.6761052826341043</v>
      </c>
      <c r="J7" s="130">
        <f>SUM('Marginal Allocation Weight'!J$5:J$9)</f>
        <v>2.7070565271259222</v>
      </c>
      <c r="K7" s="130">
        <f>SUM('Marginal Allocation Weight'!K$5:K$9)</f>
        <v>2.7382424464870332</v>
      </c>
      <c r="L7" s="130">
        <f>SUM('Marginal Allocation Weight'!L$5:L$9)</f>
        <v>2.7696609426937902</v>
      </c>
      <c r="M7" s="130">
        <f>SUM('Marginal Allocation Weight'!M$5:M$9)</f>
        <v>2.8013098161930907</v>
      </c>
      <c r="N7" s="130">
        <f>SUM('Marginal Allocation Weight'!N$5:N$9)</f>
        <v>2.8331867655158343</v>
      </c>
      <c r="O7" s="130">
        <f>SUM('Marginal Allocation Weight'!O$5:O$9)</f>
        <v>2.8652893869567904</v>
      </c>
      <c r="P7" s="130">
        <f>SUM('Marginal Allocation Weight'!P$5:P$9)</f>
        <v>2.8976151743222118</v>
      </c>
      <c r="Q7" s="130">
        <f>SUM('Marginal Allocation Weight'!Q$5:Q$9)</f>
        <v>2.9301615187465222</v>
      </c>
      <c r="R7" s="130">
        <f>SUM('Marginal Allocation Weight'!R$5:R$9)</f>
        <v>2.9629257085792764</v>
      </c>
      <c r="S7" s="130">
        <f>SUM('Marginal Allocation Weight'!S$5:S$9)</f>
        <v>2.9959049293435722</v>
      </c>
      <c r="T7" s="130">
        <f>SUM('Marginal Allocation Weight'!T$5:T$9)</f>
        <v>3.0290962637670229</v>
      </c>
      <c r="U7" s="130">
        <f>SUM('Marginal Allocation Weight'!U$5:U$9)</f>
        <v>3.0624966918862846</v>
      </c>
      <c r="V7" s="130">
        <f>SUM('Marginal Allocation Weight'!V$5:V$9)</f>
        <v>3.0961030912261238</v>
      </c>
      <c r="W7" s="130">
        <f>SUM('Marginal Allocation Weight'!W$5:W$9)</f>
        <v>3.1299122370538632</v>
      </c>
    </row>
    <row r="8" spans="1:23" s="9" customFormat="1" ht="15.75">
      <c r="A8" s="9" t="str">
        <f>+'Marginal Market Share'!A8</f>
        <v>Instant Gas</v>
      </c>
      <c r="B8" s="130">
        <f>SUM('Marginal Allocation Weight'!B$5:B$9)</f>
        <v>22028.931922024571</v>
      </c>
      <c r="C8" s="130">
        <f>SUM('Marginal Allocation Weight'!C$5:C$9)</f>
        <v>2.4954308114928923</v>
      </c>
      <c r="D8" s="130">
        <f>SUM('Marginal Allocation Weight'!D$5:D$9)</f>
        <v>2.5249355691541218</v>
      </c>
      <c r="E8" s="130">
        <f>SUM('Marginal Allocation Weight'!E$5:E$9)</f>
        <v>2.5546854873540314</v>
      </c>
      <c r="F8" s="130">
        <f>SUM('Marginal Allocation Weight'!F$5:F$9)</f>
        <v>2.5846790655943686</v>
      </c>
      <c r="G8" s="130">
        <f>SUM('Marginal Allocation Weight'!G$5:G$9)</f>
        <v>2.6149147054783723</v>
      </c>
      <c r="H8" s="130">
        <f>SUM('Marginal Allocation Weight'!H$5:H$9)</f>
        <v>2.6453907099573013</v>
      </c>
      <c r="I8" s="130">
        <f>SUM('Marginal Allocation Weight'!I$5:I$9)</f>
        <v>2.6761052826341043</v>
      </c>
      <c r="J8" s="130">
        <f>SUM('Marginal Allocation Weight'!J$5:J$9)</f>
        <v>2.7070565271259222</v>
      </c>
      <c r="K8" s="130">
        <f>SUM('Marginal Allocation Weight'!K$5:K$9)</f>
        <v>2.7382424464870332</v>
      </c>
      <c r="L8" s="130">
        <f>SUM('Marginal Allocation Weight'!L$5:L$9)</f>
        <v>2.7696609426937902</v>
      </c>
      <c r="M8" s="130">
        <f>SUM('Marginal Allocation Weight'!M$5:M$9)</f>
        <v>2.8013098161930907</v>
      </c>
      <c r="N8" s="130">
        <f>SUM('Marginal Allocation Weight'!N$5:N$9)</f>
        <v>2.8331867655158343</v>
      </c>
      <c r="O8" s="130">
        <f>SUM('Marginal Allocation Weight'!O$5:O$9)</f>
        <v>2.8652893869567904</v>
      </c>
      <c r="P8" s="130">
        <f>SUM('Marginal Allocation Weight'!P$5:P$9)</f>
        <v>2.8976151743222118</v>
      </c>
      <c r="Q8" s="130">
        <f>SUM('Marginal Allocation Weight'!Q$5:Q$9)</f>
        <v>2.9301615187465222</v>
      </c>
      <c r="R8" s="130">
        <f>SUM('Marginal Allocation Weight'!R$5:R$9)</f>
        <v>2.9629257085792764</v>
      </c>
      <c r="S8" s="130">
        <f>SUM('Marginal Allocation Weight'!S$5:S$9)</f>
        <v>2.9959049293435722</v>
      </c>
      <c r="T8" s="130">
        <f>SUM('Marginal Allocation Weight'!T$5:T$9)</f>
        <v>3.0290962637670229</v>
      </c>
      <c r="U8" s="130">
        <f>SUM('Marginal Allocation Weight'!U$5:U$9)</f>
        <v>3.0624966918862846</v>
      </c>
      <c r="V8" s="130">
        <f>SUM('Marginal Allocation Weight'!V$5:V$9)</f>
        <v>3.0961030912261238</v>
      </c>
      <c r="W8" s="130">
        <f>SUM('Marginal Allocation Weight'!W$5:W$9)</f>
        <v>3.1299122370538632</v>
      </c>
    </row>
    <row r="9" spans="1:23" s="9" customFormat="1" ht="15.75">
      <c r="A9" s="9" t="str">
        <f>+'Marginal Market Share'!A9</f>
        <v>Condensing Gas</v>
      </c>
      <c r="B9" s="130">
        <f>SUM('Marginal Allocation Weight'!B$5:B$9)</f>
        <v>22028.931922024571</v>
      </c>
      <c r="C9" s="130">
        <f>SUM('Marginal Allocation Weight'!C$5:C$9)</f>
        <v>2.4954308114928923</v>
      </c>
      <c r="D9" s="130">
        <f>SUM('Marginal Allocation Weight'!D$5:D$9)</f>
        <v>2.5249355691541218</v>
      </c>
      <c r="E9" s="130">
        <f>SUM('Marginal Allocation Weight'!E$5:E$9)</f>
        <v>2.5546854873540314</v>
      </c>
      <c r="F9" s="130">
        <f>SUM('Marginal Allocation Weight'!F$5:F$9)</f>
        <v>2.5846790655943686</v>
      </c>
      <c r="G9" s="130">
        <f>SUM('Marginal Allocation Weight'!G$5:G$9)</f>
        <v>2.6149147054783723</v>
      </c>
      <c r="H9" s="130">
        <f>SUM('Marginal Allocation Weight'!H$5:H$9)</f>
        <v>2.6453907099573013</v>
      </c>
      <c r="I9" s="130">
        <f>SUM('Marginal Allocation Weight'!I$5:I$9)</f>
        <v>2.6761052826341043</v>
      </c>
      <c r="J9" s="130">
        <f>SUM('Marginal Allocation Weight'!J$5:J$9)</f>
        <v>2.7070565271259222</v>
      </c>
      <c r="K9" s="130">
        <f>SUM('Marginal Allocation Weight'!K$5:K$9)</f>
        <v>2.7382424464870332</v>
      </c>
      <c r="L9" s="130">
        <f>SUM('Marginal Allocation Weight'!L$5:L$9)</f>
        <v>2.7696609426937902</v>
      </c>
      <c r="M9" s="130">
        <f>SUM('Marginal Allocation Weight'!M$5:M$9)</f>
        <v>2.8013098161930907</v>
      </c>
      <c r="N9" s="130">
        <f>SUM('Marginal Allocation Weight'!N$5:N$9)</f>
        <v>2.8331867655158343</v>
      </c>
      <c r="O9" s="130">
        <f>SUM('Marginal Allocation Weight'!O$5:O$9)</f>
        <v>2.8652893869567904</v>
      </c>
      <c r="P9" s="130">
        <f>SUM('Marginal Allocation Weight'!P$5:P$9)</f>
        <v>2.8976151743222118</v>
      </c>
      <c r="Q9" s="130">
        <f>SUM('Marginal Allocation Weight'!Q$5:Q$9)</f>
        <v>2.9301615187465222</v>
      </c>
      <c r="R9" s="130">
        <f>SUM('Marginal Allocation Weight'!R$5:R$9)</f>
        <v>2.9629257085792764</v>
      </c>
      <c r="S9" s="130">
        <f>SUM('Marginal Allocation Weight'!S$5:S$9)</f>
        <v>2.9959049293435722</v>
      </c>
      <c r="T9" s="130">
        <f>SUM('Marginal Allocation Weight'!T$5:T$9)</f>
        <v>3.0290962637670229</v>
      </c>
      <c r="U9" s="130">
        <f>SUM('Marginal Allocation Weight'!U$5:U$9)</f>
        <v>3.0624966918862846</v>
      </c>
      <c r="V9" s="130">
        <f>SUM('Marginal Allocation Weight'!V$5:V$9)</f>
        <v>3.0961030912261238</v>
      </c>
      <c r="W9" s="130">
        <f>SUM('Marginal Allocation Weight'!W$5:W$9)</f>
        <v>3.1299122370538632</v>
      </c>
    </row>
    <row r="10" spans="1:23" s="9" customFormat="1" ht="15.75">
      <c r="A10"/>
      <c r="B10"/>
      <c r="C10"/>
      <c r="D10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9"/>
  <dimension ref="A1:AC10"/>
  <sheetViews>
    <sheetView workbookViewId="0">
      <selection activeCell="B5" sqref="B5"/>
    </sheetView>
  </sheetViews>
  <sheetFormatPr defaultColWidth="9.140625" defaultRowHeight="15.75"/>
  <cols>
    <col min="1" max="1" width="20.7109375" style="9" customWidth="1"/>
    <col min="2" max="9" width="11.7109375" style="9" customWidth="1"/>
    <col min="10" max="10" width="12.42578125" style="9" bestFit="1" customWidth="1"/>
    <col min="11" max="14" width="13.7109375" style="9" bestFit="1" customWidth="1"/>
    <col min="15" max="15" width="12.42578125" style="9" bestFit="1" customWidth="1"/>
    <col min="16" max="28" width="13.7109375" style="9" bestFit="1" customWidth="1"/>
    <col min="29" max="29" width="12.42578125" style="9" bestFit="1" customWidth="1"/>
    <col min="30" max="16384" width="9.140625" style="9"/>
  </cols>
  <sheetData>
    <row r="1" spans="1:29">
      <c r="A1" s="147" t="str">
        <f>CONCATENATE("Segment:  ",State,", Single Family, ", SpaceHeat, ", ", TankSize,", ", StartWH, " is starting water heater")</f>
        <v>Segment:  Idaho, Single Family, Gas FAF, &gt;55 Gallons, Electric Resistance is starting water heater</v>
      </c>
    </row>
    <row r="3" spans="1:29">
      <c r="A3" s="12" t="s">
        <v>41</v>
      </c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</row>
    <row r="4" spans="1:29">
      <c r="A4" s="38" t="str">
        <f>'Device Energy Use'!A4</f>
        <v>Water Heat Ending</v>
      </c>
      <c r="B4" s="39">
        <f>'Levelized Costs'!B4</f>
        <v>2014</v>
      </c>
      <c r="C4" s="39">
        <f>'Levelized Costs'!C4</f>
        <v>2015</v>
      </c>
      <c r="D4" s="39">
        <f>'Levelized Costs'!D4</f>
        <v>2016</v>
      </c>
      <c r="E4" s="39">
        <f>'Levelized Costs'!E4</f>
        <v>2017</v>
      </c>
      <c r="F4" s="39">
        <f>'Levelized Costs'!F4</f>
        <v>2018</v>
      </c>
      <c r="G4" s="39">
        <f>'Levelized Costs'!G4</f>
        <v>2019</v>
      </c>
      <c r="H4" s="39">
        <f>'Levelized Costs'!H4</f>
        <v>2020</v>
      </c>
      <c r="I4" s="39">
        <f>'Levelized Costs'!I4</f>
        <v>2021</v>
      </c>
      <c r="J4" s="39">
        <f>'Levelized Costs'!J4</f>
        <v>2022</v>
      </c>
      <c r="K4" s="39">
        <f>'Levelized Costs'!K4</f>
        <v>2023</v>
      </c>
      <c r="L4" s="39">
        <f>'Levelized Costs'!L4</f>
        <v>2024</v>
      </c>
      <c r="M4" s="39">
        <f>'Levelized Costs'!M4</f>
        <v>2025</v>
      </c>
      <c r="N4" s="39">
        <f>'Levelized Costs'!N4</f>
        <v>2026</v>
      </c>
      <c r="O4" s="39">
        <f>'Levelized Costs'!O4</f>
        <v>2027</v>
      </c>
      <c r="P4" s="39">
        <f>'Levelized Costs'!P4</f>
        <v>2028</v>
      </c>
      <c r="Q4" s="39">
        <f>'Levelized Costs'!Q4</f>
        <v>2029</v>
      </c>
      <c r="R4" s="39">
        <f>'Levelized Costs'!R4</f>
        <v>2030</v>
      </c>
      <c r="S4" s="39">
        <f>'Levelized Costs'!S4</f>
        <v>2031</v>
      </c>
      <c r="T4" s="39">
        <f>'Levelized Costs'!T4</f>
        <v>2032</v>
      </c>
      <c r="U4" s="39">
        <f>'Levelized Costs'!U4</f>
        <v>2033</v>
      </c>
      <c r="V4" s="39">
        <f>'Levelized Costs'!V4</f>
        <v>2034</v>
      </c>
      <c r="W4" s="39">
        <f>'Levelized Costs'!W4</f>
        <v>2035</v>
      </c>
    </row>
    <row r="5" spans="1:29">
      <c r="A5" s="9" t="str">
        <f>+'Total Allocation Weight'!A5</f>
        <v>Electric Resistance</v>
      </c>
      <c r="B5" s="130">
        <f>EXP('Non-Price Factors'!B10+VarianceFactor*LN('Levelized Costs'!B5/'Levelized Costs'!B$5))</f>
        <v>22026.465794806718</v>
      </c>
      <c r="C5" s="130">
        <f>EXP('Non-Price Factors'!C10+VarianceFactor*LN('Levelized Costs'!C5/'Levelized Costs'!C$5))</f>
        <v>4.5399929762484854E-5</v>
      </c>
      <c r="D5" s="130">
        <f>EXP('Non-Price Factors'!D10+VarianceFactor*LN('Levelized Costs'!D5/'Levelized Costs'!D$5))</f>
        <v>4.5399929762484854E-5</v>
      </c>
      <c r="E5" s="130">
        <f>EXP('Non-Price Factors'!E10+VarianceFactor*LN('Levelized Costs'!E5/'Levelized Costs'!E$5))</f>
        <v>4.5399929762484854E-5</v>
      </c>
      <c r="F5" s="130">
        <f>EXP('Non-Price Factors'!F10+VarianceFactor*LN('Levelized Costs'!F5/'Levelized Costs'!F$5))</f>
        <v>4.5399929762484854E-5</v>
      </c>
      <c r="G5" s="130">
        <f>EXP('Non-Price Factors'!G10+VarianceFactor*LN('Levelized Costs'!G5/'Levelized Costs'!G$5))</f>
        <v>4.5399929762484854E-5</v>
      </c>
      <c r="H5" s="130">
        <f>EXP('Non-Price Factors'!H10+VarianceFactor*LN('Levelized Costs'!H5/'Levelized Costs'!H$5))</f>
        <v>4.5399929762484854E-5</v>
      </c>
      <c r="I5" s="130">
        <f>EXP('Non-Price Factors'!I10+VarianceFactor*LN('Levelized Costs'!I5/'Levelized Costs'!I$5))</f>
        <v>4.5399929762484854E-5</v>
      </c>
      <c r="J5" s="130">
        <f>EXP('Non-Price Factors'!J10+VarianceFactor*LN('Levelized Costs'!J5/'Levelized Costs'!J$5))</f>
        <v>4.5399929762484854E-5</v>
      </c>
      <c r="K5" s="130">
        <f>EXP('Non-Price Factors'!K10+VarianceFactor*LN('Levelized Costs'!K5/'Levelized Costs'!K$5))</f>
        <v>4.5399929762484854E-5</v>
      </c>
      <c r="L5" s="130">
        <f>EXP('Non-Price Factors'!L10+VarianceFactor*LN('Levelized Costs'!L5/'Levelized Costs'!L$5))</f>
        <v>4.5399929762484854E-5</v>
      </c>
      <c r="M5" s="130">
        <f>EXP('Non-Price Factors'!M10+VarianceFactor*LN('Levelized Costs'!M5/'Levelized Costs'!M$5))</f>
        <v>4.5399929762484854E-5</v>
      </c>
      <c r="N5" s="130">
        <f>EXP('Non-Price Factors'!N10+VarianceFactor*LN('Levelized Costs'!N5/'Levelized Costs'!N$5))</f>
        <v>4.5399929762484854E-5</v>
      </c>
      <c r="O5" s="130">
        <f>EXP('Non-Price Factors'!O10+VarianceFactor*LN('Levelized Costs'!O5/'Levelized Costs'!O$5))</f>
        <v>4.5399929762484854E-5</v>
      </c>
      <c r="P5" s="130">
        <f>EXP('Non-Price Factors'!P10+VarianceFactor*LN('Levelized Costs'!P5/'Levelized Costs'!P$5))</f>
        <v>4.5399929762484854E-5</v>
      </c>
      <c r="Q5" s="130">
        <f>EXP('Non-Price Factors'!Q10+VarianceFactor*LN('Levelized Costs'!Q5/'Levelized Costs'!Q$5))</f>
        <v>4.5399929762484854E-5</v>
      </c>
      <c r="R5" s="130">
        <f>EXP('Non-Price Factors'!R10+VarianceFactor*LN('Levelized Costs'!R5/'Levelized Costs'!R$5))</f>
        <v>4.5399929762484854E-5</v>
      </c>
      <c r="S5" s="130">
        <f>EXP('Non-Price Factors'!S10+VarianceFactor*LN('Levelized Costs'!S5/'Levelized Costs'!S$5))</f>
        <v>4.5399929762484854E-5</v>
      </c>
      <c r="T5" s="130">
        <f>EXP('Non-Price Factors'!T10+VarianceFactor*LN('Levelized Costs'!T5/'Levelized Costs'!T$5))</f>
        <v>4.5399929762484854E-5</v>
      </c>
      <c r="U5" s="130">
        <f>EXP('Non-Price Factors'!U10+VarianceFactor*LN('Levelized Costs'!U5/'Levelized Costs'!U$5))</f>
        <v>4.5399929762484854E-5</v>
      </c>
      <c r="V5" s="130">
        <f>EXP('Non-Price Factors'!V10+VarianceFactor*LN('Levelized Costs'!V5/'Levelized Costs'!V$5))</f>
        <v>4.5399929762484854E-5</v>
      </c>
      <c r="W5" s="130">
        <f>EXP('Non-Price Factors'!W10+VarianceFactor*LN('Levelized Costs'!W5/'Levelized Costs'!W$5))</f>
        <v>4.5399929762484854E-5</v>
      </c>
    </row>
    <row r="6" spans="1:29">
      <c r="A6" s="9" t="str">
        <f>+'Total Allocation Weight'!A6</f>
        <v>HPWH</v>
      </c>
      <c r="B6" s="130">
        <f>EXP('Non-Price Factors'!B11+VarianceFactor*LN('Levelized Costs'!B6/'Levelized Costs'!B$5))</f>
        <v>1.2005554909585232</v>
      </c>
      <c r="C6" s="130">
        <f>EXP('Non-Price Factors'!C11+VarianceFactor*LN('Levelized Costs'!C6/'Levelized Costs'!C$5))</f>
        <v>1.2125119829125954</v>
      </c>
      <c r="D6" s="130">
        <f>EXP('Non-Price Factors'!D11+VarianceFactor*LN('Levelized Costs'!D6/'Levelized Costs'!D$5))</f>
        <v>1.2245400948642737</v>
      </c>
      <c r="E6" s="130">
        <f>EXP('Non-Price Factors'!E11+VarianceFactor*LN('Levelized Costs'!E6/'Levelized Costs'!E$5))</f>
        <v>1.2366389805164035</v>
      </c>
      <c r="F6" s="130">
        <f>EXP('Non-Price Factors'!F11+VarianceFactor*LN('Levelized Costs'!F6/'Levelized Costs'!F$5))</f>
        <v>1.2488077699104727</v>
      </c>
      <c r="G6" s="130">
        <f>EXP('Non-Price Factors'!G11+VarianceFactor*LN('Levelized Costs'!G6/'Levelized Costs'!G$5))</f>
        <v>1.2610455696485934</v>
      </c>
      <c r="H6" s="130">
        <f>EXP('Non-Price Factors'!H11+VarianceFactor*LN('Levelized Costs'!H6/'Levelized Costs'!H$5))</f>
        <v>1.2733514631322107</v>
      </c>
      <c r="I6" s="130">
        <f>EXP('Non-Price Factors'!I11+VarianceFactor*LN('Levelized Costs'!I6/'Levelized Costs'!I$5))</f>
        <v>1.2857245108173989</v>
      </c>
      <c r="J6" s="130">
        <f>EXP('Non-Price Factors'!J11+VarianceFactor*LN('Levelized Costs'!J6/'Levelized Costs'!J$5))</f>
        <v>1.298163750486623</v>
      </c>
      <c r="K6" s="130">
        <f>EXP('Non-Price Factors'!K11+VarianceFactor*LN('Levelized Costs'!K6/'Levelized Costs'!K$5))</f>
        <v>1.3106681975368177</v>
      </c>
      <c r="L6" s="130">
        <f>EXP('Non-Price Factors'!L11+VarianceFactor*LN('Levelized Costs'!L6/'Levelized Costs'!L$5))</f>
        <v>1.3232368452835932</v>
      </c>
      <c r="M6" s="130">
        <f>EXP('Non-Price Factors'!M11+VarianceFactor*LN('Levelized Costs'!M6/'Levelized Costs'!M$5))</f>
        <v>1.3358686652813818</v>
      </c>
      <c r="N6" s="130">
        <f>EXP('Non-Price Factors'!N11+VarianceFactor*LN('Levelized Costs'!N6/'Levelized Costs'!N$5))</f>
        <v>1.3485626076593169</v>
      </c>
      <c r="O6" s="130">
        <f>EXP('Non-Price Factors'!O11+VarianceFactor*LN('Levelized Costs'!O6/'Levelized Costs'!O$5))</f>
        <v>1.3613176014725961</v>
      </c>
      <c r="P6" s="130">
        <f>EXP('Non-Price Factors'!P11+VarianceFactor*LN('Levelized Costs'!P6/'Levelized Costs'!P$5))</f>
        <v>1.3741325550690848</v>
      </c>
      <c r="Q6" s="130">
        <f>EXP('Non-Price Factors'!Q11+VarianceFactor*LN('Levelized Costs'!Q6/'Levelized Costs'!Q$5))</f>
        <v>1.3870063564708879</v>
      </c>
      <c r="R6" s="130">
        <f>EXP('Non-Price Factors'!R11+VarianceFactor*LN('Levelized Costs'!R6/'Levelized Costs'!R$5))</f>
        <v>1.399937873770593</v>
      </c>
      <c r="S6" s="130">
        <f>EXP('Non-Price Factors'!S11+VarianceFactor*LN('Levelized Costs'!S6/'Levelized Costs'!S$5))</f>
        <v>1.4129259555418816</v>
      </c>
      <c r="T6" s="130">
        <f>EXP('Non-Price Factors'!T11+VarianceFactor*LN('Levelized Costs'!T6/'Levelized Costs'!T$5))</f>
        <v>1.4259694312641797</v>
      </c>
      <c r="U6" s="130">
        <f>EXP('Non-Price Factors'!U11+VarianceFactor*LN('Levelized Costs'!U6/'Levelized Costs'!U$5))</f>
        <v>1.4390671117610001</v>
      </c>
      <c r="V6" s="130">
        <f>EXP('Non-Price Factors'!V11+VarianceFactor*LN('Levelized Costs'!V6/'Levelized Costs'!V$5))</f>
        <v>1.4522177896516246</v>
      </c>
      <c r="W6" s="130">
        <f>EXP('Non-Price Factors'!W11+VarianceFactor*LN('Levelized Costs'!W6/'Levelized Costs'!W$5))</f>
        <v>1.4654202398157328</v>
      </c>
    </row>
    <row r="7" spans="1:29">
      <c r="A7" s="9" t="str">
        <f>+'Total Allocation Weight'!A7</f>
        <v>Gas Tank</v>
      </c>
      <c r="B7" s="130">
        <f>EXP('Non-Price Factors'!B12+VarianceFactor*LN('Levelized Costs'!B7/'Levelized Costs'!B$5))</f>
        <v>1.2395612627506722E-4</v>
      </c>
      <c r="C7" s="130">
        <f>EXP('Non-Price Factors'!C12+VarianceFactor*LN('Levelized Costs'!C7/'Levelized Costs'!C$5))</f>
        <v>1.243478752766724E-4</v>
      </c>
      <c r="D7" s="130">
        <f>EXP('Non-Price Factors'!D12+VarianceFactor*LN('Levelized Costs'!D7/'Levelized Costs'!D$5))</f>
        <v>1.2473297810414424E-4</v>
      </c>
      <c r="E7" s="130">
        <f>EXP('Non-Price Factors'!E12+VarianceFactor*LN('Levelized Costs'!E7/'Levelized Costs'!E$5))</f>
        <v>1.2511136059715401E-4</v>
      </c>
      <c r="F7" s="130">
        <f>EXP('Non-Price Factors'!F12+VarianceFactor*LN('Levelized Costs'!F7/'Levelized Costs'!F$5))</f>
        <v>1.2548295110575039E-4</v>
      </c>
      <c r="G7" s="130">
        <f>EXP('Non-Price Factors'!G12+VarianceFactor*LN('Levelized Costs'!G7/'Levelized Costs'!G$5))</f>
        <v>1.2584768052053809E-4</v>
      </c>
      <c r="H7" s="130">
        <f>EXP('Non-Price Factors'!H12+VarianceFactor*LN('Levelized Costs'!H7/'Levelized Costs'!H$5))</f>
        <v>1.2620548230055139E-4</v>
      </c>
      <c r="I7" s="130">
        <f>EXP('Non-Price Factors'!I12+VarianceFactor*LN('Levelized Costs'!I7/'Levelized Costs'!I$5))</f>
        <v>1.2655629249881382E-4</v>
      </c>
      <c r="J7" s="130">
        <f>EXP('Non-Price Factors'!J12+VarianceFactor*LN('Levelized Costs'!J7/'Levelized Costs'!J$5))</f>
        <v>1.2690004978556889E-4</v>
      </c>
      <c r="K7" s="130">
        <f>EXP('Non-Price Factors'!K12+VarianceFactor*LN('Levelized Costs'!K7/'Levelized Costs'!K$5))</f>
        <v>1.2723669546918376E-4</v>
      </c>
      <c r="L7" s="130">
        <f>EXP('Non-Price Factors'!L12+VarianceFactor*LN('Levelized Costs'!L7/'Levelized Costs'!L$5))</f>
        <v>1.275661735147152E-4</v>
      </c>
      <c r="M7" s="130">
        <f>EXP('Non-Price Factors'!M12+VarianceFactor*LN('Levelized Costs'!M7/'Levelized Costs'!M$5))</f>
        <v>1.2788843056014474E-4</v>
      </c>
      <c r="N7" s="130">
        <f>EXP('Non-Price Factors'!N12+VarianceFactor*LN('Levelized Costs'!N7/'Levelized Costs'!N$5))</f>
        <v>1.2820341593028459E-4</v>
      </c>
      <c r="O7" s="130">
        <f>EXP('Non-Price Factors'!O12+VarianceFactor*LN('Levelized Costs'!O7/'Levelized Costs'!O$5))</f>
        <v>1.2851108164836493E-4</v>
      </c>
      <c r="P7" s="130">
        <f>EXP('Non-Price Factors'!P12+VarianceFactor*LN('Levelized Costs'!P7/'Levelized Costs'!P$5))</f>
        <v>1.2881138244531036E-4</v>
      </c>
      <c r="Q7" s="130">
        <f>EXP('Non-Price Factors'!Q12+VarianceFactor*LN('Levelized Costs'!Q7/'Levelized Costs'!Q$5))</f>
        <v>1.2910427576672258E-4</v>
      </c>
      <c r="R7" s="130">
        <f>EXP('Non-Price Factors'!R12+VarianceFactor*LN('Levelized Costs'!R7/'Levelized Costs'!R$5))</f>
        <v>1.2938972177758864E-4</v>
      </c>
      <c r="S7" s="130">
        <f>EXP('Non-Price Factors'!S12+VarianceFactor*LN('Levelized Costs'!S7/'Levelized Costs'!S$5))</f>
        <v>1.2966768336472869E-4</v>
      </c>
      <c r="T7" s="130">
        <f>EXP('Non-Price Factors'!T12+VarianceFactor*LN('Levelized Costs'!T7/'Levelized Costs'!T$5))</f>
        <v>1.2993812613701759E-4</v>
      </c>
      <c r="U7" s="130">
        <f>EXP('Non-Price Factors'!U12+VarianceFactor*LN('Levelized Costs'!U7/'Levelized Costs'!U$5))</f>
        <v>1.3020101842339758E-4</v>
      </c>
      <c r="V7" s="130">
        <f>EXP('Non-Price Factors'!V12+VarianceFactor*LN('Levelized Costs'!V7/'Levelized Costs'!V$5))</f>
        <v>1.3045633126871682E-4</v>
      </c>
      <c r="W7" s="130">
        <f>EXP('Non-Price Factors'!W12+VarianceFactor*LN('Levelized Costs'!W7/'Levelized Costs'!W$5))</f>
        <v>1.3070403842742518E-4</v>
      </c>
    </row>
    <row r="8" spans="1:29">
      <c r="A8" s="9" t="str">
        <f>+'Total Allocation Weight'!A8</f>
        <v>Instant Gas</v>
      </c>
      <c r="B8" s="130">
        <f>EXP('Non-Price Factors'!B13+VarianceFactor*LN('Levelized Costs'!B8/'Levelized Costs'!B$5))</f>
        <v>0.35883195737913504</v>
      </c>
      <c r="C8" s="130">
        <f>EXP('Non-Price Factors'!C13+VarianceFactor*LN('Levelized Costs'!C8/'Levelized Costs'!C$5))</f>
        <v>0.36485009596684592</v>
      </c>
      <c r="D8" s="130">
        <f>EXP('Non-Price Factors'!D13+VarianceFactor*LN('Levelized Costs'!D8/'Levelized Costs'!D$5))</f>
        <v>0.37095741568418716</v>
      </c>
      <c r="E8" s="130">
        <f>EXP('Non-Price Factors'!E13+VarianceFactor*LN('Levelized Costs'!E8/'Levelized Costs'!E$5))</f>
        <v>0.37715456796258146</v>
      </c>
      <c r="F8" s="130">
        <f>EXP('Non-Price Factors'!F13+VarianceFactor*LN('Levelized Costs'!F8/'Levelized Costs'!F$5))</f>
        <v>0.38344218474913366</v>
      </c>
      <c r="G8" s="130">
        <f>EXP('Non-Price Factors'!G13+VarianceFactor*LN('Levelized Costs'!G8/'Levelized Costs'!G$5))</f>
        <v>0.38982087759124739</v>
      </c>
      <c r="H8" s="130">
        <f>EXP('Non-Price Factors'!H13+VarianceFactor*LN('Levelized Costs'!H8/'Levelized Costs'!H$5))</f>
        <v>0.39629123671214966</v>
      </c>
      <c r="I8" s="130">
        <f>EXP('Non-Price Factors'!I13+VarianceFactor*LN('Levelized Costs'!I8/'Levelized Costs'!I$5))</f>
        <v>0.40285383007812142</v>
      </c>
      <c r="J8" s="130">
        <f>EXP('Non-Price Factors'!J13+VarianceFactor*LN('Levelized Costs'!J8/'Levelized Costs'!J$5))</f>
        <v>0.40950920245826666</v>
      </c>
      <c r="K8" s="130">
        <f>EXP('Non-Price Factors'!K13+VarianceFactor*LN('Levelized Costs'!K8/'Levelized Costs'!K$5))</f>
        <v>0.41625787447771195</v>
      </c>
      <c r="L8" s="130">
        <f>EXP('Non-Price Factors'!L13+VarianceFactor*LN('Levelized Costs'!L8/'Levelized Costs'!L$5))</f>
        <v>0.42310034166514249</v>
      </c>
      <c r="M8" s="130">
        <f>EXP('Non-Price Factors'!M13+VarianceFactor*LN('Levelized Costs'!M8/'Levelized Costs'!M$5))</f>
        <v>0.43003707349564729</v>
      </c>
      <c r="N8" s="130">
        <f>EXP('Non-Price Factors'!N13+VarianceFactor*LN('Levelized Costs'!N8/'Levelized Costs'!N$5))</f>
        <v>0.43706851242985673</v>
      </c>
      <c r="O8" s="130">
        <f>EXP('Non-Price Factors'!O13+VarianceFactor*LN('Levelized Costs'!O8/'Levelized Costs'!O$5))</f>
        <v>0.44419507295042859</v>
      </c>
      <c r="P8" s="130">
        <f>EXP('Non-Price Factors'!P13+VarianceFactor*LN('Levelized Costs'!P8/'Levelized Costs'!P$5))</f>
        <v>0.45141714059693688</v>
      </c>
      <c r="Q8" s="130">
        <f>EXP('Non-Price Factors'!Q13+VarianceFactor*LN('Levelized Costs'!Q8/'Levelized Costs'!Q$5))</f>
        <v>0.45873507100029576</v>
      </c>
      <c r="R8" s="130">
        <f>EXP('Non-Price Factors'!R13+VarianceFactor*LN('Levelized Costs'!R8/'Levelized Costs'!R$5))</f>
        <v>0.46614918891785567</v>
      </c>
      <c r="S8" s="130">
        <f>EXP('Non-Price Factors'!S13+VarianceFactor*LN('Levelized Costs'!S8/'Levelized Costs'!S$5))</f>
        <v>0.47365978727035901</v>
      </c>
      <c r="T8" s="130">
        <f>EXP('Non-Price Factors'!T13+VarianceFactor*LN('Levelized Costs'!T8/'Levelized Costs'!T$5))</f>
        <v>0.48126712618197987</v>
      </c>
      <c r="U8" s="130">
        <f>EXP('Non-Price Factors'!U13+VarianceFactor*LN('Levelized Costs'!U8/'Levelized Costs'!U$5))</f>
        <v>0.48897143202469562</v>
      </c>
      <c r="V8" s="130">
        <f>EXP('Non-Price Factors'!V13+VarianceFactor*LN('Levelized Costs'!V8/'Levelized Costs'!V$5))</f>
        <v>0.49677289646827683</v>
      </c>
      <c r="W8" s="130">
        <f>EXP('Non-Price Factors'!W13+VarianceFactor*LN('Levelized Costs'!W8/'Levelized Costs'!W$5))</f>
        <v>0.50467167553721048</v>
      </c>
    </row>
    <row r="9" spans="1:29">
      <c r="A9" s="9" t="str">
        <f>+'Total Allocation Weight'!A9</f>
        <v>Condensing Gas</v>
      </c>
      <c r="B9" s="130">
        <f>EXP('Non-Price Factors'!B14+VarianceFactor*LN('Levelized Costs'!B9/'Levelized Costs'!B$5))</f>
        <v>0.90661581338537656</v>
      </c>
      <c r="C9" s="130">
        <f>EXP('Non-Price Factors'!C14+VarianceFactor*LN('Levelized Costs'!C9/'Levelized Costs'!C$5))</f>
        <v>0.91789898480841192</v>
      </c>
      <c r="D9" s="130">
        <f>EXP('Non-Price Factors'!D14+VarianceFactor*LN('Levelized Costs'!D9/'Levelized Costs'!D$5))</f>
        <v>0.92926792569779415</v>
      </c>
      <c r="E9" s="130">
        <f>EXP('Non-Price Factors'!E14+VarianceFactor*LN('Levelized Costs'!E9/'Levelized Costs'!E$5))</f>
        <v>0.94072142758468691</v>
      </c>
      <c r="F9" s="130">
        <f>EXP('Non-Price Factors'!F14+VarianceFactor*LN('Levelized Costs'!F9/'Levelized Costs'!F$5))</f>
        <v>0.95225822805389415</v>
      </c>
      <c r="G9" s="130">
        <f>EXP('Non-Price Factors'!G14+VarianceFactor*LN('Levelized Costs'!G9/'Levelized Costs'!G$5))</f>
        <v>0.96387701062824882</v>
      </c>
      <c r="H9" s="130">
        <f>EXP('Non-Price Factors'!H14+VarianceFactor*LN('Levelized Costs'!H9/'Levelized Costs'!H$5))</f>
        <v>0.97557640470087803</v>
      </c>
      <c r="I9" s="130">
        <f>EXP('Non-Price Factors'!I14+VarianceFactor*LN('Levelized Costs'!I9/'Levelized Costs'!I$5))</f>
        <v>0.98735498551632284</v>
      </c>
      <c r="J9" s="130">
        <f>EXP('Non-Price Factors'!J14+VarianceFactor*LN('Levelized Costs'!J9/'Levelized Costs'!J$5))</f>
        <v>0.99921127420148448</v>
      </c>
      <c r="K9" s="130">
        <f>EXP('Non-Price Factors'!K14+VarianceFactor*LN('Levelized Costs'!K9/'Levelized Costs'!K$5))</f>
        <v>1.0111437378472719</v>
      </c>
      <c r="L9" s="130">
        <f>EXP('Non-Price Factors'!L14+VarianceFactor*LN('Levelized Costs'!L9/'Levelized Costs'!L$5))</f>
        <v>1.0231507896417773</v>
      </c>
      <c r="M9" s="130">
        <f>EXP('Non-Price Factors'!M14+VarianceFactor*LN('Levelized Costs'!M9/'Levelized Costs'!M$5))</f>
        <v>1.0352307890557388</v>
      </c>
      <c r="N9" s="130">
        <f>EXP('Non-Price Factors'!N14+VarianceFactor*LN('Levelized Costs'!N9/'Levelized Costs'!N$5))</f>
        <v>1.0473820420809679</v>
      </c>
      <c r="O9" s="130">
        <f>EXP('Non-Price Factors'!O14+VarianceFactor*LN('Levelized Costs'!O9/'Levelized Costs'!O$5))</f>
        <v>1.0596028015223546</v>
      </c>
      <c r="P9" s="130">
        <f>EXP('Non-Price Factors'!P14+VarianceFactor*LN('Levelized Costs'!P9/'Levelized Costs'!P$5))</f>
        <v>1.0718912673439822</v>
      </c>
      <c r="Q9" s="130">
        <f>EXP('Non-Price Factors'!Q14+VarianceFactor*LN('Levelized Costs'!Q9/'Levelized Costs'!Q$5))</f>
        <v>1.0842455870698091</v>
      </c>
      <c r="R9" s="130">
        <f>EXP('Non-Price Factors'!R14+VarianceFactor*LN('Levelized Costs'!R9/'Levelized Costs'!R$5))</f>
        <v>1.0966638562392874</v>
      </c>
      <c r="S9" s="130">
        <f>EXP('Non-Price Factors'!S14+VarianceFactor*LN('Levelized Costs'!S9/'Levelized Costs'!S$5))</f>
        <v>1.1091441189182043</v>
      </c>
      <c r="T9" s="130">
        <f>EXP('Non-Price Factors'!T14+VarianceFactor*LN('Levelized Costs'!T9/'Levelized Costs'!T$5))</f>
        <v>1.1216843682649638</v>
      </c>
      <c r="U9" s="130">
        <f>EXP('Non-Price Factors'!U14+VarianceFactor*LN('Levelized Costs'!U9/'Levelized Costs'!U$5))</f>
        <v>1.1342825471524032</v>
      </c>
      <c r="V9" s="130">
        <f>EXP('Non-Price Factors'!V14+VarianceFactor*LN('Levelized Costs'!V9/'Levelized Costs'!V$5))</f>
        <v>1.1469365488451913</v>
      </c>
      <c r="W9" s="130">
        <f>EXP('Non-Price Factors'!W14+VarianceFactor*LN('Levelized Costs'!W9/'Levelized Costs'!W$5))</f>
        <v>1.15964421773273</v>
      </c>
    </row>
    <row r="10" spans="1:29">
      <c r="A10" s="3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45"/>
  <sheetViews>
    <sheetView tabSelected="1" workbookViewId="0">
      <selection activeCell="C5" sqref="C5"/>
    </sheetView>
  </sheetViews>
  <sheetFormatPr defaultColWidth="9.140625" defaultRowHeight="15.75"/>
  <cols>
    <col min="1" max="1" width="4.140625" style="9" customWidth="1"/>
    <col min="2" max="2" width="46" style="9" customWidth="1"/>
    <col min="3" max="3" width="15.5703125" style="9" customWidth="1"/>
    <col min="4" max="7" width="12.7109375" style="9" customWidth="1"/>
    <col min="8" max="25" width="14.7109375" style="9" bestFit="1" customWidth="1"/>
    <col min="26" max="27" width="10.5703125" style="9" bestFit="1" customWidth="1"/>
    <col min="28" max="16384" width="9.140625" style="9"/>
  </cols>
  <sheetData>
    <row r="1" spans="1:6">
      <c r="A1" s="147" t="str">
        <f>CONCATENATE("Segment:  ",State,", Single Family, ", SpaceHeat, ", ", TankSize,", ", StartWH, " is starting water heater")</f>
        <v>Segment:  Idaho, Single Family, Gas FAF, &gt;55 Gallons, Electric Resistance is starting water heater</v>
      </c>
    </row>
    <row r="3" spans="1:6" ht="31.5" customHeight="1">
      <c r="B3" s="184" t="str">
        <f>CONCATENATE("Marginal Market Shares (%) - ",State,", Single Family, ", SpaceHeat, ", ", TankSize,", ", StartWH, " is starting water heater")</f>
        <v>Marginal Market Shares (%) - Idaho, Single Family, Gas FAF, &gt;55 Gallons, Electric Resistance is starting water heater</v>
      </c>
      <c r="C3" s="185"/>
      <c r="D3" s="185"/>
      <c r="E3" s="185"/>
      <c r="F3" s="185"/>
    </row>
    <row r="4" spans="1:6" ht="47.25">
      <c r="B4" s="80" t="s">
        <v>79</v>
      </c>
      <c r="C4" s="88" t="s">
        <v>110</v>
      </c>
      <c r="D4" s="88" t="s">
        <v>80</v>
      </c>
      <c r="E4" s="88" t="s">
        <v>101</v>
      </c>
      <c r="F4" s="93" t="s">
        <v>77</v>
      </c>
    </row>
    <row r="5" spans="1:6">
      <c r="B5" s="82" t="str">
        <f>'Marginal Market Share'!A5</f>
        <v>Electric Resistance</v>
      </c>
      <c r="C5" s="83">
        <f>'Marginal Market Share'!B5</f>
        <v>0.99988805053161078</v>
      </c>
      <c r="D5" s="83">
        <f>'Marginal Market Share'!W5</f>
        <v>1.4505176606874794E-5</v>
      </c>
      <c r="E5" s="83">
        <f>'Marginal Market Share'!W13</f>
        <v>0</v>
      </c>
      <c r="F5" s="84">
        <f>E5-D5</f>
        <v>-1.4505176606874794E-5</v>
      </c>
    </row>
    <row r="6" spans="1:6">
      <c r="B6" s="82" t="str">
        <f>'Marginal Market Share'!A6</f>
        <v>HPWH</v>
      </c>
      <c r="C6" s="83">
        <f>'Marginal Market Share'!B6</f>
        <v>5.4499033144598598E-5</v>
      </c>
      <c r="D6" s="83">
        <f>'Marginal Market Share'!W6</f>
        <v>0.46819850808184627</v>
      </c>
      <c r="E6" s="83">
        <f>'Marginal Market Share'!W14</f>
        <v>1</v>
      </c>
      <c r="F6" s="84">
        <f>E6-D6</f>
        <v>0.53180149191815373</v>
      </c>
    </row>
    <row r="7" spans="1:6">
      <c r="B7" s="82" t="str">
        <f>'Marginal Market Share'!A7</f>
        <v>Gas Tank</v>
      </c>
      <c r="C7" s="83">
        <f>'Marginal Market Share'!B7</f>
        <v>5.6269694197536478E-9</v>
      </c>
      <c r="D7" s="83">
        <f>'Marginal Market Share'!W7</f>
        <v>4.1759649641312253E-5</v>
      </c>
      <c r="E7" s="83">
        <f>'Marginal Market Share'!W15</f>
        <v>0</v>
      </c>
      <c r="F7" s="84">
        <f>E7-D7</f>
        <v>-4.1759649641312253E-5</v>
      </c>
    </row>
    <row r="8" spans="1:6">
      <c r="B8" s="82" t="str">
        <f>'Marginal Market Share'!A8</f>
        <v>Instant Gas</v>
      </c>
      <c r="C8" s="83">
        <f>'Marginal Market Share'!B8</f>
        <v>1.6289121898841318E-5</v>
      </c>
      <c r="D8" s="83">
        <f>'Marginal Market Share'!W8</f>
        <v>0.16124147813558182</v>
      </c>
      <c r="E8" s="83">
        <f>'Marginal Market Share'!W16</f>
        <v>0</v>
      </c>
      <c r="F8" s="84">
        <f>E8-D8</f>
        <v>-0.16124147813558182</v>
      </c>
    </row>
    <row r="9" spans="1:6">
      <c r="B9" s="85" t="str">
        <f>'Marginal Market Share'!A9</f>
        <v>Condensing Gas</v>
      </c>
      <c r="C9" s="86">
        <f>'Marginal Market Share'!B9</f>
        <v>4.1155686376194218E-5</v>
      </c>
      <c r="D9" s="86">
        <f>'Marginal Market Share'!W9</f>
        <v>0.37050374895632365</v>
      </c>
      <c r="E9" s="86">
        <f>'Marginal Market Share'!W17</f>
        <v>0</v>
      </c>
      <c r="F9" s="87">
        <f>E9-D9</f>
        <v>-0.37050374895632365</v>
      </c>
    </row>
    <row r="10" spans="1:6">
      <c r="B10" s="96"/>
      <c r="C10" s="83"/>
      <c r="D10" s="83"/>
      <c r="E10" s="83"/>
    </row>
    <row r="11" spans="1:6" ht="30.75" customHeight="1">
      <c r="B11" s="184" t="str">
        <f>CONCATENATE("Average Market Shares by Scenario (%) - ",State,", Single Family, ", SpaceHeat, ", ", TankSize,", ", StartWH, " is starting water heater")</f>
        <v>Average Market Shares by Scenario (%) - Idaho, Single Family, Gas FAF, &gt;55 Gallons, Electric Resistance is starting water heater</v>
      </c>
      <c r="C11" s="185"/>
      <c r="D11" s="185"/>
      <c r="E11" s="185"/>
      <c r="F11" s="185"/>
    </row>
    <row r="12" spans="1:6" ht="47.25">
      <c r="B12" s="80" t="s">
        <v>79</v>
      </c>
      <c r="C12" s="88" t="s">
        <v>110</v>
      </c>
      <c r="D12" s="88" t="s">
        <v>80</v>
      </c>
      <c r="E12" s="88" t="s">
        <v>101</v>
      </c>
      <c r="F12" s="93" t="s">
        <v>77</v>
      </c>
    </row>
    <row r="13" spans="1:6">
      <c r="B13" s="82" t="str">
        <f>'Marginal Market Share'!A13</f>
        <v>Electric Resistance</v>
      </c>
      <c r="C13" s="83">
        <f>'Average Market Share'!B5</f>
        <v>1</v>
      </c>
      <c r="D13" s="83">
        <f>'Average Market Share'!W5</f>
        <v>0.21093434040786296</v>
      </c>
      <c r="E13" s="83">
        <f>'Average Market Share'!W13</f>
        <v>0.21092188755086916</v>
      </c>
      <c r="F13" s="84">
        <f>E13-D13</f>
        <v>-1.2452856993805383E-5</v>
      </c>
    </row>
    <row r="14" spans="1:6">
      <c r="B14" s="82" t="str">
        <f>'Marginal Market Share'!A14</f>
        <v>HPWH</v>
      </c>
      <c r="C14" s="83">
        <f>'Average Market Share'!B6</f>
        <v>0</v>
      </c>
      <c r="D14" s="83">
        <f>'Average Market Share'!W6</f>
        <v>0.37451795276323424</v>
      </c>
      <c r="E14" s="83">
        <f>'Average Market Share'!W14</f>
        <v>0.78907811244913084</v>
      </c>
      <c r="F14" s="84">
        <f>E14-D14</f>
        <v>0.4145601596858966</v>
      </c>
    </row>
    <row r="15" spans="1:6">
      <c r="B15" s="82" t="str">
        <f>'Marginal Market Share'!A15</f>
        <v>Gas Tank</v>
      </c>
      <c r="C15" s="83">
        <f>'Average Market Share'!B7</f>
        <v>0</v>
      </c>
      <c r="D15" s="83">
        <f>'Average Market Share'!W7</f>
        <v>3.523565608742256E-5</v>
      </c>
      <c r="E15" s="83">
        <f>'Average Market Share'!W15</f>
        <v>0</v>
      </c>
      <c r="F15" s="84">
        <f>E15-D15</f>
        <v>-3.523565608742256E-5</v>
      </c>
    </row>
    <row r="16" spans="1:6">
      <c r="B16" s="82" t="str">
        <f>'Marginal Market Share'!A16</f>
        <v>Instant Gas</v>
      </c>
      <c r="C16" s="83">
        <f>'Average Market Share'!B8</f>
        <v>0</v>
      </c>
      <c r="D16" s="83">
        <f>'Average Market Share'!W8</f>
        <v>0.12275019235825495</v>
      </c>
      <c r="E16" s="83">
        <f>'Average Market Share'!W16</f>
        <v>0</v>
      </c>
      <c r="F16" s="84">
        <f>E16-D16</f>
        <v>-0.12275019235825495</v>
      </c>
    </row>
    <row r="17" spans="2:7">
      <c r="B17" s="85" t="str">
        <f>'Marginal Market Share'!A17</f>
        <v>Condensing Gas</v>
      </c>
      <c r="C17" s="86">
        <f>'Average Market Share'!B9</f>
        <v>0</v>
      </c>
      <c r="D17" s="86">
        <f>'Average Market Share'!W9</f>
        <v>0.29176227881456035</v>
      </c>
      <c r="E17" s="86">
        <f>'Average Market Share'!W17</f>
        <v>0</v>
      </c>
      <c r="F17" s="87">
        <f>E17-D17</f>
        <v>-0.29176227881456035</v>
      </c>
    </row>
    <row r="18" spans="2:7">
      <c r="B18" s="96"/>
      <c r="C18" s="83"/>
      <c r="D18" s="83"/>
      <c r="E18" s="83"/>
      <c r="F18" s="83"/>
    </row>
    <row r="19" spans="2:7" ht="31.5" customHeight="1">
      <c r="B19" s="184" t="str">
        <f>CONCATENATE("BAU Case Average Market Shares (%) - ",State,", Single Family, ", SpaceHeat, ", ", TankSize,", ", StartWH, " is starting water heater")</f>
        <v>BAU Case Average Market Shares (%) - Idaho, Single Family, Gas FAF, &gt;55 Gallons, Electric Resistance is starting water heater</v>
      </c>
      <c r="C19" s="185"/>
      <c r="D19" s="185"/>
      <c r="E19" s="185"/>
      <c r="F19" s="185"/>
      <c r="G19" s="185"/>
    </row>
    <row r="20" spans="2:7">
      <c r="B20" s="80" t="s">
        <v>79</v>
      </c>
      <c r="C20" s="88">
        <v>2015</v>
      </c>
      <c r="D20" s="88">
        <v>2020</v>
      </c>
      <c r="E20" s="88">
        <v>2025</v>
      </c>
      <c r="F20" s="88">
        <v>2030</v>
      </c>
      <c r="G20" s="93">
        <v>2035</v>
      </c>
    </row>
    <row r="21" spans="2:7">
      <c r="B21" s="82" t="str">
        <f>'Average Market Share'!A5</f>
        <v>Electric Resistance</v>
      </c>
      <c r="C21" s="83">
        <f>'Average Market Share'!C5</f>
        <v>0.92857272808737223</v>
      </c>
      <c r="D21" s="83">
        <f>'Average Market Share'!H5</f>
        <v>0.64105632052809958</v>
      </c>
      <c r="E21" s="83">
        <f>'Average Market Share'!M5</f>
        <v>0.44256574886067074</v>
      </c>
      <c r="F21" s="83">
        <f>'Average Market Share'!R5</f>
        <v>0.30553521215605828</v>
      </c>
      <c r="G21" s="84">
        <f>'Average Market Share'!W5</f>
        <v>0.21093434040786296</v>
      </c>
    </row>
    <row r="22" spans="2:7">
      <c r="B22" s="82" t="str">
        <f>'Average Market Share'!A6</f>
        <v>HPWH</v>
      </c>
      <c r="C22" s="83">
        <f>'Average Market Share'!C6</f>
        <v>3.4706631969354355E-2</v>
      </c>
      <c r="D22" s="83">
        <f>'Average Market Share'!H6</f>
        <v>0.17352359850963445</v>
      </c>
      <c r="E22" s="83">
        <f>'Average Market Share'!M6</f>
        <v>0.26796352471195073</v>
      </c>
      <c r="F22" s="83">
        <f>'Average Market Share'!R6</f>
        <v>0.33179227922334403</v>
      </c>
      <c r="G22" s="84">
        <f>'Average Market Share'!W6</f>
        <v>0.37451795276323424</v>
      </c>
    </row>
    <row r="23" spans="2:7">
      <c r="B23" s="82" t="str">
        <f>'Average Market Share'!A7</f>
        <v>Gas Tank</v>
      </c>
      <c r="C23" s="83">
        <f>'Average Market Share'!C7</f>
        <v>3.5593016846166253E-6</v>
      </c>
      <c r="D23" s="83">
        <f>'Average Market Share'!H7</f>
        <v>1.7471218242662907E-5</v>
      </c>
      <c r="E23" s="83">
        <f>'Average Market Share'!M7</f>
        <v>2.6431409654192107E-5</v>
      </c>
      <c r="F23" s="83">
        <f>'Average Market Share'!R7</f>
        <v>3.1994789588331512E-5</v>
      </c>
      <c r="G23" s="84">
        <f>'Average Market Share'!W7</f>
        <v>3.523565608742256E-5</v>
      </c>
    </row>
    <row r="24" spans="2:7">
      <c r="B24" s="82" t="str">
        <f>'Average Market Share'!A8</f>
        <v>Instant Gas</v>
      </c>
      <c r="C24" s="83">
        <f>'Average Market Share'!C8</f>
        <v>1.0443375556823457E-2</v>
      </c>
      <c r="D24" s="83">
        <f>'Average Market Share'!H8</f>
        <v>5.3179625850975229E-2</v>
      </c>
      <c r="E24" s="83">
        <f>'Average Market Share'!M8</f>
        <v>8.3818711478587354E-2</v>
      </c>
      <c r="F24" s="83">
        <f>'Average Market Share'!R8</f>
        <v>0.10613984001625297</v>
      </c>
      <c r="G24" s="84">
        <f>'Average Market Share'!W8</f>
        <v>0.12275019235825495</v>
      </c>
    </row>
    <row r="25" spans="2:7">
      <c r="B25" s="85" t="str">
        <f>'Average Market Share'!A9</f>
        <v>Condensing Gas</v>
      </c>
      <c r="C25" s="86">
        <f>'Average Market Share'!C9</f>
        <v>2.6273705084765314E-2</v>
      </c>
      <c r="D25" s="86">
        <f>'Average Market Share'!H9</f>
        <v>0.13222298389304799</v>
      </c>
      <c r="E25" s="86">
        <f>'Average Market Share'!M9</f>
        <v>0.20562558353913701</v>
      </c>
      <c r="F25" s="86">
        <f>'Average Market Share'!R9</f>
        <v>0.25650067381475644</v>
      </c>
      <c r="G25" s="87">
        <f>'Average Market Share'!W9</f>
        <v>0.29176227881456035</v>
      </c>
    </row>
    <row r="26" spans="2:7">
      <c r="B26" s="96"/>
      <c r="C26" s="83"/>
      <c r="D26" s="83"/>
      <c r="E26" s="83"/>
      <c r="F26" s="83"/>
      <c r="G26" s="83"/>
    </row>
    <row r="27" spans="2:7" ht="33.75" customHeight="1">
      <c r="B27" s="184" t="str">
        <f>CONCATENATE("Least Cost Case Average Market Shares (%) - ",State,", Single Family, ", SpaceHeat, ", ", TankSize,", ", StartWH, " is starting water heater")</f>
        <v>Least Cost Case Average Market Shares (%) - Idaho, Single Family, Gas FAF, &gt;55 Gallons, Electric Resistance is starting water heater</v>
      </c>
      <c r="C27" s="185"/>
      <c r="D27" s="185"/>
      <c r="E27" s="185"/>
      <c r="F27" s="185"/>
      <c r="G27" s="185"/>
    </row>
    <row r="28" spans="2:7">
      <c r="B28" s="80" t="s">
        <v>79</v>
      </c>
      <c r="C28" s="88">
        <v>2015</v>
      </c>
      <c r="D28" s="88">
        <v>2020</v>
      </c>
      <c r="E28" s="88">
        <v>2025</v>
      </c>
      <c r="F28" s="88">
        <v>2030</v>
      </c>
      <c r="G28" s="93">
        <v>2035</v>
      </c>
    </row>
    <row r="29" spans="2:7">
      <c r="B29" s="82" t="str">
        <f>'Average Market Share'!A13</f>
        <v>Electric Resistance</v>
      </c>
      <c r="C29" s="83">
        <f>'Average Market Share'!C13</f>
        <v>0.9285714285714286</v>
      </c>
      <c r="D29" s="83">
        <f>'Average Market Share'!H13</f>
        <v>0.64104999298761567</v>
      </c>
      <c r="E29" s="83">
        <f>'Average Market Share'!M13</f>
        <v>0.44255625454860842</v>
      </c>
      <c r="F29" s="83">
        <f>'Average Market Share'!R13</f>
        <v>0.30552381340385798</v>
      </c>
      <c r="G29" s="84">
        <f>'Average Market Share'!W13</f>
        <v>0.21092188755086916</v>
      </c>
    </row>
    <row r="30" spans="2:7">
      <c r="B30" s="82" t="str">
        <f>'Average Market Share'!A14</f>
        <v>HPWH</v>
      </c>
      <c r="C30" s="83">
        <f>'Average Market Share'!C14</f>
        <v>7.1428571428571438E-2</v>
      </c>
      <c r="D30" s="83">
        <f>'Average Market Share'!H14</f>
        <v>0.35895000701238428</v>
      </c>
      <c r="E30" s="83">
        <f>'Average Market Share'!M14</f>
        <v>0.55744374545139153</v>
      </c>
      <c r="F30" s="83">
        <f>'Average Market Share'!R14</f>
        <v>0.69447618659614196</v>
      </c>
      <c r="G30" s="84">
        <f>'Average Market Share'!W14</f>
        <v>0.78907811244913084</v>
      </c>
    </row>
    <row r="31" spans="2:7">
      <c r="B31" s="82" t="str">
        <f>'Average Market Share'!A15</f>
        <v>Gas Tank</v>
      </c>
      <c r="C31" s="83">
        <f>'Average Market Share'!C15</f>
        <v>0</v>
      </c>
      <c r="D31" s="83">
        <f>'Average Market Share'!H15</f>
        <v>0</v>
      </c>
      <c r="E31" s="83">
        <f>'Average Market Share'!M15</f>
        <v>0</v>
      </c>
      <c r="F31" s="83">
        <f>'Average Market Share'!R15</f>
        <v>0</v>
      </c>
      <c r="G31" s="84">
        <f>'Average Market Share'!W15</f>
        <v>0</v>
      </c>
    </row>
    <row r="32" spans="2:7">
      <c r="B32" s="82" t="str">
        <f>'Average Market Share'!A16</f>
        <v>Instant Gas</v>
      </c>
      <c r="C32" s="83">
        <f>'Average Market Share'!C16</f>
        <v>0</v>
      </c>
      <c r="D32" s="83">
        <f>'Average Market Share'!H16</f>
        <v>0</v>
      </c>
      <c r="E32" s="83">
        <f>'Average Market Share'!M16</f>
        <v>0</v>
      </c>
      <c r="F32" s="83">
        <f>'Average Market Share'!R16</f>
        <v>0</v>
      </c>
      <c r="G32" s="84">
        <f>'Average Market Share'!W16</f>
        <v>0</v>
      </c>
    </row>
    <row r="33" spans="2:7">
      <c r="B33" s="85" t="str">
        <f>'Average Market Share'!A17</f>
        <v>Condensing Gas</v>
      </c>
      <c r="C33" s="86">
        <f>'Average Market Share'!C17</f>
        <v>0</v>
      </c>
      <c r="D33" s="86">
        <f>'Average Market Share'!H17</f>
        <v>0</v>
      </c>
      <c r="E33" s="86">
        <f>'Average Market Share'!M17</f>
        <v>0</v>
      </c>
      <c r="F33" s="86">
        <f>'Average Market Share'!R17</f>
        <v>0</v>
      </c>
      <c r="G33" s="87">
        <f>'Average Market Share'!W17</f>
        <v>0</v>
      </c>
    </row>
    <row r="34" spans="2:7">
      <c r="B34" s="44"/>
      <c r="C34" s="79"/>
      <c r="D34" s="95"/>
    </row>
    <row r="35" spans="2:7" ht="34.5" customHeight="1">
      <c r="B35" s="184" t="str">
        <f>CONCATENATE("Change in Natural Gas Usage Least Cost vs BAU Case (tBtu) - ",State,", Single Family, ", SpaceHeat, ", ", TankSize,", ", StartWH, " is starting water heater")</f>
        <v>Change in Natural Gas Usage Least Cost vs BAU Case (tBtu) - Idaho, Single Family, Gas FAF, &gt;55 Gallons, Electric Resistance is starting water heater</v>
      </c>
      <c r="C35" s="185"/>
      <c r="D35" s="185"/>
      <c r="E35" s="185"/>
      <c r="F35" s="185"/>
      <c r="G35" s="185"/>
    </row>
    <row r="36" spans="2:7">
      <c r="B36" s="80"/>
      <c r="C36" s="88">
        <v>2015</v>
      </c>
      <c r="D36" s="88">
        <v>2020</v>
      </c>
      <c r="E36" s="88">
        <v>2025</v>
      </c>
      <c r="F36" s="88">
        <v>2030</v>
      </c>
      <c r="G36" s="93">
        <v>2035</v>
      </c>
    </row>
    <row r="37" spans="2:7">
      <c r="B37" s="82" t="s">
        <v>160</v>
      </c>
      <c r="C37" s="132">
        <f>'Net Reduction in Gas'!C5</f>
        <v>-4.0384102141470162E-3</v>
      </c>
      <c r="D37" s="132">
        <f>'Net Reduction in Gas'!H5</f>
        <v>-2.0389856183014279E-2</v>
      </c>
      <c r="E37" s="132">
        <f>'Net Reduction in Gas'!M5</f>
        <v>-3.1828273792426913E-2</v>
      </c>
      <c r="F37" s="132">
        <f>'Net Reduction in Gas'!R5</f>
        <v>-3.9871988394481077E-2</v>
      </c>
      <c r="G37" s="133">
        <f>'Net Reduction in Gas'!W5</f>
        <v>-4.5568682889587271E-2</v>
      </c>
    </row>
    <row r="38" spans="2:7">
      <c r="B38" s="82" t="s">
        <v>159</v>
      </c>
      <c r="C38" s="132">
        <f>-'Net Reduction in Gas'!C6</f>
        <v>3.0686592643098132E-3</v>
      </c>
      <c r="D38" s="132">
        <f>-'Net Reduction in Gas'!H6</f>
        <v>1.5495145223755193E-2</v>
      </c>
      <c r="E38" s="132">
        <f>-'Net Reduction in Gas'!M6</f>
        <v>2.4190453808484176E-2</v>
      </c>
      <c r="F38" s="132">
        <f>-'Net Reduction in Gas'!R6</f>
        <v>3.0307805859279332E-2</v>
      </c>
      <c r="G38" s="133">
        <f>-'Net Reduction in Gas'!W6</f>
        <v>3.4642951088940367E-2</v>
      </c>
    </row>
    <row r="39" spans="2:7">
      <c r="B39" s="85" t="s">
        <v>148</v>
      </c>
      <c r="C39" s="131">
        <f>'Net Reduction in Gas'!C7</f>
        <v>-9.6975094983720294E-4</v>
      </c>
      <c r="D39" s="131">
        <f>'Net Reduction in Gas'!H7</f>
        <v>-4.8947109592590854E-3</v>
      </c>
      <c r="E39" s="131">
        <f>'Net Reduction in Gas'!M7</f>
        <v>-7.6378199839427369E-3</v>
      </c>
      <c r="F39" s="131">
        <f>'Net Reduction in Gas'!R7</f>
        <v>-9.564182535201745E-3</v>
      </c>
      <c r="G39" s="134">
        <f>'Net Reduction in Gas'!W7</f>
        <v>-1.0925731800646904E-2</v>
      </c>
    </row>
    <row r="40" spans="2:7">
      <c r="B40" s="96"/>
      <c r="C40" s="83"/>
      <c r="D40" s="83"/>
      <c r="E40" s="83"/>
      <c r="F40" s="83"/>
      <c r="G40" s="83"/>
    </row>
    <row r="41" spans="2:7" ht="36" customHeight="1">
      <c r="B41" s="186" t="str">
        <f>CONCATENATE("Change in Total Resource Cost due to Direct Use of Natural Gas in Least Cost vs BAU Case (2012 M$) - ",State,", Single Family, ", SpaceHeat, ", ", TankSize,", ", StartWH, " is starting water heater")</f>
        <v>Change in Total Resource Cost due to Direct Use of Natural Gas in Least Cost vs BAU Case (2012 M$) - Idaho, Single Family, Gas FAF, &gt;55 Gallons, Electric Resistance is starting water heater</v>
      </c>
      <c r="C41" s="187"/>
      <c r="D41" s="187"/>
      <c r="E41" s="187"/>
      <c r="F41" s="187"/>
      <c r="G41" s="187"/>
    </row>
    <row r="42" spans="2:7">
      <c r="B42" s="65" t="s">
        <v>73</v>
      </c>
      <c r="C42" s="136" t="str">
        <f>'Total Resource Cost'!B4</f>
        <v>NPV (2012 M$)</v>
      </c>
      <c r="D42" s="17"/>
      <c r="E42" s="17"/>
      <c r="F42" s="17"/>
    </row>
    <row r="43" spans="2:7">
      <c r="B43" s="166" t="str">
        <f>'Total Resource Cost'!A5</f>
        <v>Consumer Cost Reduction</v>
      </c>
      <c r="C43" s="167">
        <f>'Consumer Cost'!B7</f>
        <v>3.5867095700333138</v>
      </c>
      <c r="D43" s="165"/>
      <c r="E43" s="165"/>
      <c r="F43" s="2"/>
    </row>
    <row r="44" spans="2:7">
      <c r="B44" s="166" t="str">
        <f>'Total Resource Cost'!A6</f>
        <v>Utility Cost Reduction</v>
      </c>
      <c r="C44" s="133">
        <f>'Utility Cost'!B4</f>
        <v>-1.4929006794611712</v>
      </c>
      <c r="D44" s="130"/>
    </row>
    <row r="45" spans="2:7">
      <c r="B45" s="168" t="str">
        <f>'Total Resource Cost'!A7</f>
        <v>Total Resource Cost Reduction</v>
      </c>
      <c r="C45" s="134">
        <f>'Total Resource Cost'!B7</f>
        <v>2.0938088905721384</v>
      </c>
    </row>
  </sheetData>
  <mergeCells count="6">
    <mergeCell ref="B3:F3"/>
    <mergeCell ref="B35:G35"/>
    <mergeCell ref="B27:G27"/>
    <mergeCell ref="B41:G41"/>
    <mergeCell ref="B19:G19"/>
    <mergeCell ref="B11:F11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20"/>
  <dimension ref="A1:W13"/>
  <sheetViews>
    <sheetView workbookViewId="0"/>
  </sheetViews>
  <sheetFormatPr defaultColWidth="9.140625" defaultRowHeight="15.75"/>
  <cols>
    <col min="1" max="1" width="20.7109375" style="9" customWidth="1"/>
    <col min="2" max="7" width="9.7109375" style="9" customWidth="1"/>
    <col min="8" max="16384" width="9.140625" style="9"/>
  </cols>
  <sheetData>
    <row r="1" spans="1:23">
      <c r="A1" s="147" t="str">
        <f>CONCATENATE("Segment:  ",State,", Single Family, ", SpaceHeat, ", ", TankSize,", ", StartWH, " is starting water heater")</f>
        <v>Segment:  Idaho, Single Family, Gas FAF, &gt;55 Gallons, Electric Resistance is starting water heater</v>
      </c>
    </row>
    <row r="3" spans="1:23" ht="24" customHeight="1">
      <c r="A3" s="25" t="s">
        <v>31</v>
      </c>
    </row>
    <row r="4" spans="1:23" s="23" customFormat="1">
      <c r="A4" s="24" t="str">
        <f>+'Device Energy Use'!A4</f>
        <v>Water Heat Ending</v>
      </c>
      <c r="B4" s="21">
        <f>+'Fuel Cost'!B4</f>
        <v>2014</v>
      </c>
      <c r="C4" s="21">
        <f>+'Fuel Cost'!C4</f>
        <v>2015</v>
      </c>
      <c r="D4" s="21">
        <f>+'Fuel Cost'!D4</f>
        <v>2016</v>
      </c>
      <c r="E4" s="21">
        <f>+'Fuel Cost'!E4</f>
        <v>2017</v>
      </c>
      <c r="F4" s="21">
        <f>+'Fuel Cost'!F4</f>
        <v>2018</v>
      </c>
      <c r="G4" s="21">
        <f>+'Fuel Cost'!G4</f>
        <v>2019</v>
      </c>
      <c r="H4" s="21">
        <f>+'Fuel Cost'!H4</f>
        <v>2020</v>
      </c>
      <c r="I4" s="21">
        <f>+'Fuel Cost'!I4</f>
        <v>2021</v>
      </c>
      <c r="J4" s="21">
        <f>+'Fuel Cost'!J4</f>
        <v>2022</v>
      </c>
      <c r="K4" s="21">
        <f>+'Fuel Cost'!K4</f>
        <v>2023</v>
      </c>
      <c r="L4" s="21">
        <f>+'Fuel Cost'!L4</f>
        <v>2024</v>
      </c>
      <c r="M4" s="21">
        <f>+'Fuel Cost'!M4</f>
        <v>2025</v>
      </c>
      <c r="N4" s="21">
        <f>+'Fuel Cost'!N4</f>
        <v>2026</v>
      </c>
      <c r="O4" s="21">
        <f>+'Fuel Cost'!O4</f>
        <v>2027</v>
      </c>
      <c r="P4" s="21">
        <f>+'Fuel Cost'!P4</f>
        <v>2028</v>
      </c>
      <c r="Q4" s="21">
        <f>+'Fuel Cost'!Q4</f>
        <v>2029</v>
      </c>
      <c r="R4" s="21">
        <f>+'Fuel Cost'!R4</f>
        <v>2030</v>
      </c>
      <c r="S4" s="21">
        <f>+'Fuel Cost'!S4</f>
        <v>2031</v>
      </c>
      <c r="T4" s="21">
        <f>+'Fuel Cost'!T4</f>
        <v>2032</v>
      </c>
      <c r="U4" s="21">
        <f>+'Fuel Cost'!U4</f>
        <v>2033</v>
      </c>
      <c r="V4" s="21">
        <f>+'Fuel Cost'!V4</f>
        <v>2034</v>
      </c>
      <c r="W4" s="21">
        <f>+'Fuel Cost'!W4</f>
        <v>2035</v>
      </c>
    </row>
    <row r="5" spans="1:23">
      <c r="A5" s="9" t="str">
        <f>+'Device Energy Use'!A5</f>
        <v>Electric Resistance</v>
      </c>
      <c r="B5" s="27">
        <f>'Capital Cost'!$E5*CapitalChargeRate+'Fuel Cost'!B5 + 'O&amp;M Cost'!$D5</f>
        <v>365.5977724670272</v>
      </c>
      <c r="C5" s="27">
        <f>'Capital Cost'!$E5*CapitalChargeRate+'Fuel Cost'!C5 + 'O&amp;M Cost'!$D5</f>
        <v>369.47707571137812</v>
      </c>
      <c r="D5" s="27">
        <f>'Capital Cost'!$E5*CapitalChargeRate+'Fuel Cost'!D5 + 'O&amp;M Cost'!$D5</f>
        <v>373.40680989790565</v>
      </c>
      <c r="E5" s="27">
        <f>'Capital Cost'!$E5*CapitalChargeRate+'Fuel Cost'!E5 + 'O&amp;M Cost'!$D5</f>
        <v>377.38763062885789</v>
      </c>
      <c r="F5" s="27">
        <f>'Capital Cost'!$E5*CapitalChargeRate+'Fuel Cost'!F5 + 'O&amp;M Cost'!$D5</f>
        <v>381.42020202931269</v>
      </c>
      <c r="G5" s="27">
        <f>'Capital Cost'!$E5*CapitalChargeRate+'Fuel Cost'!G5 + 'O&amp;M Cost'!$D5</f>
        <v>385.50519685797326</v>
      </c>
      <c r="H5" s="27">
        <f>'Capital Cost'!$E5*CapitalChargeRate+'Fuel Cost'!H5 + 'O&amp;M Cost'!$D5</f>
        <v>389.64329661940644</v>
      </c>
      <c r="I5" s="27">
        <f>'Capital Cost'!$E5*CapitalChargeRate+'Fuel Cost'!I5 + 'O&amp;M Cost'!$D5</f>
        <v>393.83519167773829</v>
      </c>
      <c r="J5" s="27">
        <f>'Capital Cost'!$E5*CapitalChargeRate+'Fuel Cost'!J5 + 'O&amp;M Cost'!$D5</f>
        <v>398.08158137182841</v>
      </c>
      <c r="K5" s="27">
        <f>'Capital Cost'!$E5*CapitalChargeRate+'Fuel Cost'!K5 + 'O&amp;M Cost'!$D5</f>
        <v>402.3831741319417</v>
      </c>
      <c r="L5" s="27">
        <f>'Capital Cost'!$E5*CapitalChargeRate+'Fuel Cost'!L5 + 'O&amp;M Cost'!$D5</f>
        <v>406.74068759793647</v>
      </c>
      <c r="M5" s="27">
        <f>'Capital Cost'!$E5*CapitalChargeRate+'Fuel Cost'!M5 + 'O&amp;M Cost'!$D5</f>
        <v>411.15484873898924</v>
      </c>
      <c r="N5" s="27">
        <f>'Capital Cost'!$E5*CapitalChargeRate+'Fuel Cost'!N5 + 'O&amp;M Cost'!$D5</f>
        <v>415.62639397487567</v>
      </c>
      <c r="O5" s="27">
        <f>'Capital Cost'!$E5*CapitalChargeRate+'Fuel Cost'!O5 + 'O&amp;M Cost'!$D5</f>
        <v>420.15606929882858</v>
      </c>
      <c r="P5" s="27">
        <f>'Capital Cost'!$E5*CapitalChargeRate+'Fuel Cost'!P5 + 'O&amp;M Cost'!$D5</f>
        <v>424.74463040199294</v>
      </c>
      <c r="Q5" s="27">
        <f>'Capital Cost'!$E5*CapitalChargeRate+'Fuel Cost'!Q5 + 'O&amp;M Cost'!$D5</f>
        <v>429.39284279949834</v>
      </c>
      <c r="R5" s="27">
        <f>'Capital Cost'!$E5*CapitalChargeRate+'Fuel Cost'!R5 + 'O&amp;M Cost'!$D5</f>
        <v>434.10148195817135</v>
      </c>
      <c r="S5" s="27">
        <f>'Capital Cost'!$E5*CapitalChargeRate+'Fuel Cost'!S5 + 'O&amp;M Cost'!$D5</f>
        <v>438.8713334259071</v>
      </c>
      <c r="T5" s="27">
        <f>'Capital Cost'!$E5*CapitalChargeRate+'Fuel Cost'!T5 + 'O&amp;M Cost'!$D5</f>
        <v>443.70319296272339</v>
      </c>
      <c r="U5" s="27">
        <f>'Capital Cost'!$E5*CapitalChargeRate+'Fuel Cost'!U5 + 'O&amp;M Cost'!$D5</f>
        <v>448.5978666735183</v>
      </c>
      <c r="V5" s="27">
        <f>'Capital Cost'!$E5*CapitalChargeRate+'Fuel Cost'!V5 + 'O&amp;M Cost'!$D5</f>
        <v>453.55617114255358</v>
      </c>
      <c r="W5" s="27">
        <f>'Capital Cost'!$E5*CapitalChargeRate+'Fuel Cost'!W5 + 'O&amp;M Cost'!$D5</f>
        <v>458.57893356968634</v>
      </c>
    </row>
    <row r="6" spans="1:23">
      <c r="A6" s="9" t="str">
        <f>+'Device Energy Use'!A6</f>
        <v>HPWH</v>
      </c>
      <c r="B6" s="27">
        <f>'Capital Cost'!$E6*CapitalChargeRate+'Fuel Cost'!B6 + 'O&amp;M Cost'!$D6</f>
        <v>337.66770357887623</v>
      </c>
      <c r="C6" s="27">
        <f>'Capital Cost'!$E6*CapitalChargeRate+'Fuel Cost'!C6 + 'O&amp;M Cost'!$D6</f>
        <v>339.78348249567244</v>
      </c>
      <c r="D6" s="27">
        <f>'Capital Cost'!$E6*CapitalChargeRate+'Fuel Cost'!D6 + 'O&amp;M Cost'!$D6</f>
        <v>341.92676653838703</v>
      </c>
      <c r="E6" s="27">
        <f>'Capital Cost'!$E6*CapitalChargeRate+'Fuel Cost'!E6 + 'O&amp;M Cost'!$D6</f>
        <v>344.09791327365684</v>
      </c>
      <c r="F6" s="27">
        <f>'Capital Cost'!$E6*CapitalChargeRate+'Fuel Cost'!F6 + 'O&amp;M Cost'!$D6</f>
        <v>346.29728491648518</v>
      </c>
      <c r="G6" s="27">
        <f>'Capital Cost'!$E6*CapitalChargeRate+'Fuel Cost'!G6 + 'O&amp;M Cost'!$D6</f>
        <v>348.5252483906703</v>
      </c>
      <c r="H6" s="27">
        <f>'Capital Cost'!$E6*CapitalChargeRate+'Fuel Cost'!H6 + 'O&amp;M Cost'!$D6</f>
        <v>350.78217539001986</v>
      </c>
      <c r="I6" s="27">
        <f>'Capital Cost'!$E6*CapitalChargeRate+'Fuel Cost'!I6 + 'O&amp;M Cost'!$D6</f>
        <v>353.06844244036091</v>
      </c>
      <c r="J6" s="27">
        <f>'Capital Cost'!$E6*CapitalChargeRate+'Fuel Cost'!J6 + 'O&amp;M Cost'!$D6</f>
        <v>355.38443096235642</v>
      </c>
      <c r="K6" s="27">
        <f>'Capital Cost'!$E6*CapitalChargeRate+'Fuel Cost'!K6 + 'O&amp;M Cost'!$D6</f>
        <v>357.73052733513788</v>
      </c>
      <c r="L6" s="27">
        <f>'Capital Cost'!$E6*CapitalChargeRate+'Fuel Cost'!L6 + 'O&amp;M Cost'!$D6</f>
        <v>360.10712296076542</v>
      </c>
      <c r="M6" s="27">
        <f>'Capital Cost'!$E6*CapitalChargeRate+'Fuel Cost'!M6 + 'O&amp;M Cost'!$D6</f>
        <v>362.51461432952624</v>
      </c>
      <c r="N6" s="27">
        <f>'Capital Cost'!$E6*CapitalChargeRate+'Fuel Cost'!N6 + 'O&amp;M Cost'!$D6</f>
        <v>364.95340308608093</v>
      </c>
      <c r="O6" s="27">
        <f>'Capital Cost'!$E6*CapitalChargeRate+'Fuel Cost'!O6 + 'O&amp;M Cost'!$D6</f>
        <v>367.42389609647074</v>
      </c>
      <c r="P6" s="27">
        <f>'Capital Cost'!$E6*CapitalChargeRate+'Fuel Cost'!P6 + 'O&amp;M Cost'!$D6</f>
        <v>369.9265055159957</v>
      </c>
      <c r="Q6" s="27">
        <f>'Capital Cost'!$E6*CapitalChargeRate+'Fuel Cost'!Q6 + 'O&amp;M Cost'!$D6</f>
        <v>372.46164885797441</v>
      </c>
      <c r="R6" s="27">
        <f>'Capital Cost'!$E6*CapitalChargeRate+'Fuel Cost'!R6 + 'O&amp;M Cost'!$D6</f>
        <v>375.02974906339887</v>
      </c>
      <c r="S6" s="27">
        <f>'Capital Cost'!$E6*CapitalChargeRate+'Fuel Cost'!S6 + 'O&amp;M Cost'!$D6</f>
        <v>377.63123457149391</v>
      </c>
      <c r="T6" s="27">
        <f>'Capital Cost'!$E6*CapitalChargeRate+'Fuel Cost'!T6 + 'O&amp;M Cost'!$D6</f>
        <v>380.2665393911941</v>
      </c>
      <c r="U6" s="27">
        <f>'Capital Cost'!$E6*CapitalChargeRate+'Fuel Cost'!U6 + 'O&amp;M Cost'!$D6</f>
        <v>382.93610317355046</v>
      </c>
      <c r="V6" s="27">
        <f>'Capital Cost'!$E6*CapitalChargeRate+'Fuel Cost'!V6 + 'O&amp;M Cost'!$D6</f>
        <v>385.64037128507738</v>
      </c>
      <c r="W6" s="27">
        <f>'Capital Cost'!$E6*CapitalChargeRate+'Fuel Cost'!W6 + 'O&amp;M Cost'!$D6</f>
        <v>388.37979488205423</v>
      </c>
    </row>
    <row r="7" spans="1:23">
      <c r="A7" s="9" t="str">
        <f>+'Device Energy Use'!A7</f>
        <v>Gas Tank</v>
      </c>
      <c r="B7" s="27">
        <f>'Capital Cost'!$E7*CapitalChargeRate+'Fuel Cost'!B7 + 'O&amp;M Cost'!$D7</f>
        <v>236.23584495978116</v>
      </c>
      <c r="C7" s="27">
        <f>'Capital Cost'!$E7*CapitalChargeRate+'Fuel Cost'!C7 + 'O&amp;M Cost'!$D7</f>
        <v>238.41519867710136</v>
      </c>
      <c r="D7" s="27">
        <f>'Capital Cost'!$E7*CapitalChargeRate+'Fuel Cost'!D7 + 'O&amp;M Cost'!$D7</f>
        <v>240.62724270018137</v>
      </c>
      <c r="E7" s="27">
        <f>'Capital Cost'!$E7*CapitalChargeRate+'Fuel Cost'!E7 + 'O&amp;M Cost'!$D7</f>
        <v>242.87246738360759</v>
      </c>
      <c r="F7" s="27">
        <f>'Capital Cost'!$E7*CapitalChargeRate+'Fuel Cost'!F7 + 'O&amp;M Cost'!$D7</f>
        <v>245.15137043728521</v>
      </c>
      <c r="G7" s="27">
        <f>'Capital Cost'!$E7*CapitalChargeRate+'Fuel Cost'!G7 + 'O&amp;M Cost'!$D7</f>
        <v>247.46445703676798</v>
      </c>
      <c r="H7" s="27">
        <f>'Capital Cost'!$E7*CapitalChargeRate+'Fuel Cost'!H7 + 'O&amp;M Cost'!$D7</f>
        <v>249.81223993524301</v>
      </c>
      <c r="I7" s="27">
        <f>'Capital Cost'!$E7*CapitalChargeRate+'Fuel Cost'!I7 + 'O&amp;M Cost'!$D7</f>
        <v>252.19523957719514</v>
      </c>
      <c r="J7" s="27">
        <f>'Capital Cost'!$E7*CapitalChargeRate+'Fuel Cost'!J7 + 'O&amp;M Cost'!$D7</f>
        <v>254.61398421377655</v>
      </c>
      <c r="K7" s="27">
        <f>'Capital Cost'!$E7*CapitalChargeRate+'Fuel Cost'!K7 + 'O&amp;M Cost'!$D7</f>
        <v>257.06901001990667</v>
      </c>
      <c r="L7" s="27">
        <f>'Capital Cost'!$E7*CapitalChargeRate+'Fuel Cost'!L7 + 'O&amp;M Cost'!$D7</f>
        <v>259.56086121312876</v>
      </c>
      <c r="M7" s="27">
        <f>'Capital Cost'!$E7*CapitalChargeRate+'Fuel Cost'!M7 + 'O&amp;M Cost'!$D7</f>
        <v>262.09009017424916</v>
      </c>
      <c r="N7" s="27">
        <f>'Capital Cost'!$E7*CapitalChargeRate+'Fuel Cost'!N7 + 'O&amp;M Cost'!$D7</f>
        <v>264.6572575697864</v>
      </c>
      <c r="O7" s="27">
        <f>'Capital Cost'!$E7*CapitalChargeRate+'Fuel Cost'!O7 + 'O&amp;M Cost'!$D7</f>
        <v>267.26293247625665</v>
      </c>
      <c r="P7" s="27">
        <f>'Capital Cost'!$E7*CapitalChargeRate+'Fuel Cost'!P7 + 'O&amp;M Cost'!$D7</f>
        <v>269.907692506324</v>
      </c>
      <c r="Q7" s="27">
        <f>'Capital Cost'!$E7*CapitalChargeRate+'Fuel Cost'!Q7 + 'O&amp;M Cost'!$D7</f>
        <v>272.59212393684243</v>
      </c>
      <c r="R7" s="27">
        <f>'Capital Cost'!$E7*CapitalChargeRate+'Fuel Cost'!R7 + 'O&amp;M Cost'!$D7</f>
        <v>275.3168218388185</v>
      </c>
      <c r="S7" s="27">
        <f>'Capital Cost'!$E7*CapitalChargeRate+'Fuel Cost'!S7 + 'O&amp;M Cost'!$D7</f>
        <v>278.08239020932427</v>
      </c>
      <c r="T7" s="27">
        <f>'Capital Cost'!$E7*CapitalChargeRate+'Fuel Cost'!T7 + 'O&amp;M Cost'!$D7</f>
        <v>280.88944210538762</v>
      </c>
      <c r="U7" s="27">
        <f>'Capital Cost'!$E7*CapitalChargeRate+'Fuel Cost'!U7 + 'O&amp;M Cost'!$D7</f>
        <v>283.73859977989196</v>
      </c>
      <c r="V7" s="27">
        <f>'Capital Cost'!$E7*CapitalChargeRate+'Fuel Cost'!V7 + 'O&amp;M Cost'!$D7</f>
        <v>286.63049481951384</v>
      </c>
      <c r="W7" s="27">
        <f>'Capital Cost'!$E7*CapitalChargeRate+'Fuel Cost'!W7 + 'O&amp;M Cost'!$D7</f>
        <v>289.56576828472998</v>
      </c>
    </row>
    <row r="8" spans="1:23">
      <c r="A8" s="9" t="str">
        <f>+'Device Energy Use'!A8</f>
        <v>Instant Gas</v>
      </c>
      <c r="B8" s="27">
        <f>'Capital Cost'!$E8*CapitalChargeRate+'Fuel Cost'!B8 + 'O&amp;M Cost'!$D8</f>
        <v>570.8593826698384</v>
      </c>
      <c r="C8" s="27">
        <f>'Capital Cost'!$E8*CapitalChargeRate+'Fuel Cost'!C8 + 'O&amp;M Cost'!$D8</f>
        <v>572.75977916035981</v>
      </c>
      <c r="D8" s="27">
        <f>'Capital Cost'!$E8*CapitalChargeRate+'Fuel Cost'!D8 + 'O&amp;M Cost'!$D8</f>
        <v>574.6886815982391</v>
      </c>
      <c r="E8" s="27">
        <f>'Capital Cost'!$E8*CapitalChargeRate+'Fuel Cost'!E8 + 'O&amp;M Cost'!$D8</f>
        <v>576.64651757268655</v>
      </c>
      <c r="F8" s="27">
        <f>'Capital Cost'!$E8*CapitalChargeRate+'Fuel Cost'!F8 + 'O&amp;M Cost'!$D8</f>
        <v>578.63372108675071</v>
      </c>
      <c r="G8" s="27">
        <f>'Capital Cost'!$E8*CapitalChargeRate+'Fuel Cost'!G8 + 'O&amp;M Cost'!$D8</f>
        <v>580.65073265352567</v>
      </c>
      <c r="H8" s="27">
        <f>'Capital Cost'!$E8*CapitalChargeRate+'Fuel Cost'!H8 + 'O&amp;M Cost'!$D8</f>
        <v>582.69799939380255</v>
      </c>
      <c r="I8" s="27">
        <f>'Capital Cost'!$E8*CapitalChargeRate+'Fuel Cost'!I8 + 'O&amp;M Cost'!$D8</f>
        <v>584.77597513518333</v>
      </c>
      <c r="J8" s="27">
        <f>'Capital Cost'!$E8*CapitalChargeRate+'Fuel Cost'!J8 + 'O&amp;M Cost'!$D8</f>
        <v>586.88512051268503</v>
      </c>
      <c r="K8" s="27">
        <f>'Capital Cost'!$E8*CapitalChargeRate+'Fuel Cost'!K8 + 'O&amp;M Cost'!$D8</f>
        <v>589.02590307084893</v>
      </c>
      <c r="L8" s="27">
        <f>'Capital Cost'!$E8*CapitalChargeRate+'Fuel Cost'!L8 + 'O&amp;M Cost'!$D8</f>
        <v>591.19879736738562</v>
      </c>
      <c r="M8" s="27">
        <f>'Capital Cost'!$E8*CapitalChargeRate+'Fuel Cost'!M8 + 'O&amp;M Cost'!$D8</f>
        <v>593.40428507837009</v>
      </c>
      <c r="N8" s="27">
        <f>'Capital Cost'!$E8*CapitalChargeRate+'Fuel Cost'!N8 + 'O&amp;M Cost'!$D8</f>
        <v>595.64285510501963</v>
      </c>
      <c r="O8" s="27">
        <f>'Capital Cost'!$E8*CapitalChargeRate+'Fuel Cost'!O8 + 'O&amp;M Cost'!$D8</f>
        <v>597.91500368206857</v>
      </c>
      <c r="P8" s="27">
        <f>'Capital Cost'!$E8*CapitalChargeRate+'Fuel Cost'!P8 + 'O&amp;M Cost'!$D8</f>
        <v>600.22123448777347</v>
      </c>
      <c r="Q8" s="27">
        <f>'Capital Cost'!$E8*CapitalChargeRate+'Fuel Cost'!Q8 + 'O&amp;M Cost'!$D8</f>
        <v>602.56205875556407</v>
      </c>
      <c r="R8" s="27">
        <f>'Capital Cost'!$E8*CapitalChargeRate+'Fuel Cost'!R8 + 'O&amp;M Cost'!$D8</f>
        <v>604.9379953873713</v>
      </c>
      <c r="S8" s="27">
        <f>'Capital Cost'!$E8*CapitalChargeRate+'Fuel Cost'!S8 + 'O&amp;M Cost'!$D8</f>
        <v>607.34957106865568</v>
      </c>
      <c r="T8" s="27">
        <f>'Capital Cost'!$E8*CapitalChargeRate+'Fuel Cost'!T8 + 'O&amp;M Cost'!$D8</f>
        <v>609.79732038515931</v>
      </c>
      <c r="U8" s="27">
        <f>'Capital Cost'!$E8*CapitalChargeRate+'Fuel Cost'!U8 + 'O&amp;M Cost'!$D8</f>
        <v>612.28178594141059</v>
      </c>
      <c r="V8" s="27">
        <f>'Capital Cost'!$E8*CapitalChargeRate+'Fuel Cost'!V8 + 'O&amp;M Cost'!$D8</f>
        <v>614.80351848100554</v>
      </c>
      <c r="W8" s="27">
        <f>'Capital Cost'!$E8*CapitalChargeRate+'Fuel Cost'!W8 + 'O&amp;M Cost'!$D8</f>
        <v>617.36307700869452</v>
      </c>
    </row>
    <row r="9" spans="1:23">
      <c r="A9" s="9" t="str">
        <f>+'Device Energy Use'!A9</f>
        <v>Condensing Gas</v>
      </c>
      <c r="B9" s="27">
        <f>'Capital Cost'!$E9*CapitalChargeRate+'Fuel Cost'!B9 + 'O&amp;M Cost'!$D9</f>
        <v>381.51810657935567</v>
      </c>
      <c r="C9" s="27">
        <f>'Capital Cost'!$E9*CapitalChargeRate+'Fuel Cost'!C9 + 'O&amp;M Cost'!$D9</f>
        <v>383.49846736946961</v>
      </c>
      <c r="D9" s="27">
        <f>'Capital Cost'!$E9*CapitalChargeRate+'Fuel Cost'!D9 + 'O&amp;M Cost'!$D9</f>
        <v>385.50853357143524</v>
      </c>
      <c r="E9" s="27">
        <f>'Capital Cost'!$E9*CapitalChargeRate+'Fuel Cost'!E9 + 'O&amp;M Cost'!$D9</f>
        <v>387.54875076643043</v>
      </c>
      <c r="F9" s="27">
        <f>'Capital Cost'!$E9*CapitalChargeRate+'Fuel Cost'!F9 + 'O&amp;M Cost'!$D9</f>
        <v>389.61957121935052</v>
      </c>
      <c r="G9" s="27">
        <f>'Capital Cost'!$E9*CapitalChargeRate+'Fuel Cost'!G9 + 'O&amp;M Cost'!$D9</f>
        <v>391.72145397906439</v>
      </c>
      <c r="H9" s="27">
        <f>'Capital Cost'!$E9*CapitalChargeRate+'Fuel Cost'!H9 + 'O&amp;M Cost'!$D9</f>
        <v>393.85486498017394</v>
      </c>
      <c r="I9" s="27">
        <f>'Capital Cost'!$E9*CapitalChargeRate+'Fuel Cost'!I9 + 'O&amp;M Cost'!$D9</f>
        <v>396.0202771463002</v>
      </c>
      <c r="J9" s="27">
        <f>'Capital Cost'!$E9*CapitalChargeRate+'Fuel Cost'!J9 + 'O&amp;M Cost'!$D9</f>
        <v>398.21817049491835</v>
      </c>
      <c r="K9" s="27">
        <f>'Capital Cost'!$E9*CapitalChargeRate+'Fuel Cost'!K9 + 'O&amp;M Cost'!$D9</f>
        <v>400.44903224376571</v>
      </c>
      <c r="L9" s="27">
        <f>'Capital Cost'!$E9*CapitalChargeRate+'Fuel Cost'!L9 + 'O&amp;M Cost'!$D9</f>
        <v>402.71335691884576</v>
      </c>
      <c r="M9" s="27">
        <f>'Capital Cost'!$E9*CapitalChargeRate+'Fuel Cost'!M9 + 'O&amp;M Cost'!$D9</f>
        <v>405.01164646405209</v>
      </c>
      <c r="N9" s="27">
        <f>'Capital Cost'!$E9*CapitalChargeRate+'Fuel Cost'!N9 + 'O&amp;M Cost'!$D9</f>
        <v>407.34441035243651</v>
      </c>
      <c r="O9" s="27">
        <f>'Capital Cost'!$E9*CapitalChargeRate+'Fuel Cost'!O9 + 'O&amp;M Cost'!$D9</f>
        <v>409.71216569914662</v>
      </c>
      <c r="P9" s="27">
        <f>'Capital Cost'!$E9*CapitalChargeRate+'Fuel Cost'!P9 + 'O&amp;M Cost'!$D9</f>
        <v>412.11543737605746</v>
      </c>
      <c r="Q9" s="27">
        <f>'Capital Cost'!$E9*CapitalChargeRate+'Fuel Cost'!Q9 + 'O&amp;M Cost'!$D9</f>
        <v>414.55475812812193</v>
      </c>
      <c r="R9" s="27">
        <f>'Capital Cost'!$E9*CapitalChargeRate+'Fuel Cost'!R9 + 'O&amp;M Cost'!$D9</f>
        <v>417.03066869146733</v>
      </c>
      <c r="S9" s="27">
        <f>'Capital Cost'!$E9*CapitalChargeRate+'Fuel Cost'!S9 + 'O&amp;M Cost'!$D9</f>
        <v>419.54371791326298</v>
      </c>
      <c r="T9" s="27">
        <f>'Capital Cost'!$E9*CapitalChargeRate+'Fuel Cost'!T9 + 'O&amp;M Cost'!$D9</f>
        <v>422.09446287338551</v>
      </c>
      <c r="U9" s="27">
        <f>'Capital Cost'!$E9*CapitalChargeRate+'Fuel Cost'!U9 + 'O&amp;M Cost'!$D9</f>
        <v>424.68346900790993</v>
      </c>
      <c r="V9" s="27">
        <f>'Capital Cost'!$E9*CapitalChargeRate+'Fuel Cost'!V9 + 'O&amp;M Cost'!$D9</f>
        <v>427.31131023445221</v>
      </c>
      <c r="W9" s="27">
        <f>'Capital Cost'!$E9*CapitalChargeRate+'Fuel Cost'!W9 + 'O&amp;M Cost'!$D9</f>
        <v>429.97856907939257</v>
      </c>
    </row>
    <row r="11" spans="1:23">
      <c r="A11" s="28" t="s">
        <v>88</v>
      </c>
    </row>
    <row r="13" spans="1:23">
      <c r="A13" s="9" t="s">
        <v>92</v>
      </c>
      <c r="B13" s="27">
        <f>MIN(B6,B8,B9)</f>
        <v>337.66770357887623</v>
      </c>
      <c r="C13" s="27">
        <f t="shared" ref="C13:W13" si="0">MIN(C6,C8,C9)</f>
        <v>339.78348249567244</v>
      </c>
      <c r="D13" s="27">
        <f t="shared" si="0"/>
        <v>341.92676653838703</v>
      </c>
      <c r="E13" s="27">
        <f t="shared" si="0"/>
        <v>344.09791327365684</v>
      </c>
      <c r="F13" s="27">
        <f t="shared" si="0"/>
        <v>346.29728491648518</v>
      </c>
      <c r="G13" s="27">
        <f t="shared" si="0"/>
        <v>348.5252483906703</v>
      </c>
      <c r="H13" s="27">
        <f t="shared" si="0"/>
        <v>350.78217539001986</v>
      </c>
      <c r="I13" s="27">
        <f t="shared" si="0"/>
        <v>353.06844244036091</v>
      </c>
      <c r="J13" s="27">
        <f t="shared" si="0"/>
        <v>355.38443096235642</v>
      </c>
      <c r="K13" s="27">
        <f t="shared" si="0"/>
        <v>357.73052733513788</v>
      </c>
      <c r="L13" s="27">
        <f t="shared" si="0"/>
        <v>360.10712296076542</v>
      </c>
      <c r="M13" s="27">
        <f t="shared" si="0"/>
        <v>362.51461432952624</v>
      </c>
      <c r="N13" s="27">
        <f t="shared" si="0"/>
        <v>364.95340308608093</v>
      </c>
      <c r="O13" s="27">
        <f t="shared" si="0"/>
        <v>367.42389609647074</v>
      </c>
      <c r="P13" s="27">
        <f t="shared" si="0"/>
        <v>369.9265055159957</v>
      </c>
      <c r="Q13" s="27">
        <f t="shared" si="0"/>
        <v>372.46164885797441</v>
      </c>
      <c r="R13" s="27">
        <f t="shared" si="0"/>
        <v>375.02974906339887</v>
      </c>
      <c r="S13" s="27">
        <f t="shared" si="0"/>
        <v>377.63123457149391</v>
      </c>
      <c r="T13" s="27">
        <f t="shared" si="0"/>
        <v>380.2665393911941</v>
      </c>
      <c r="U13" s="27">
        <f t="shared" si="0"/>
        <v>382.93610317355046</v>
      </c>
      <c r="V13" s="27">
        <f t="shared" si="0"/>
        <v>385.64037128507738</v>
      </c>
      <c r="W13" s="27">
        <f t="shared" si="0"/>
        <v>388.37979488205423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21"/>
  <dimension ref="A1:W10"/>
  <sheetViews>
    <sheetView workbookViewId="0"/>
  </sheetViews>
  <sheetFormatPr defaultColWidth="9.140625" defaultRowHeight="15.75"/>
  <cols>
    <col min="1" max="1" width="20.7109375" style="9" customWidth="1"/>
    <col min="2" max="7" width="9.7109375" style="9" customWidth="1"/>
    <col min="8" max="8" width="8.7109375" style="9" bestFit="1" customWidth="1"/>
    <col min="9" max="29" width="9.28515625" style="9" bestFit="1" customWidth="1"/>
    <col min="30" max="16384" width="9.140625" style="9"/>
  </cols>
  <sheetData>
    <row r="1" spans="1:23">
      <c r="A1" s="147" t="str">
        <f>CONCATENATE("Segment:  ",State,", Single Family, ", SpaceHeat, ", ", TankSize,", ", StartWH, " is starting water heater")</f>
        <v>Segment:  Idaho, Single Family, Gas FAF, &gt;55 Gallons, Electric Resistance is starting water heater</v>
      </c>
    </row>
    <row r="3" spans="1:23" ht="24.75" customHeight="1">
      <c r="A3" s="25" t="s">
        <v>36</v>
      </c>
    </row>
    <row r="4" spans="1:23" s="22" customFormat="1">
      <c r="A4" s="20" t="str">
        <f>+'Device Energy Use'!A4</f>
        <v>Water Heat Ending</v>
      </c>
      <c r="B4" s="21">
        <f>+'Retail Rates'!B4</f>
        <v>2014</v>
      </c>
      <c r="C4" s="21">
        <f>+'Retail Rates'!C4</f>
        <v>2015</v>
      </c>
      <c r="D4" s="21">
        <f>+'Retail Rates'!D4</f>
        <v>2016</v>
      </c>
      <c r="E4" s="21">
        <f>+'Retail Rates'!E4</f>
        <v>2017</v>
      </c>
      <c r="F4" s="21">
        <f>+'Retail Rates'!F4</f>
        <v>2018</v>
      </c>
      <c r="G4" s="21">
        <f>+'Retail Rates'!G4</f>
        <v>2019</v>
      </c>
      <c r="H4" s="21">
        <f>+'Retail Rates'!H4</f>
        <v>2020</v>
      </c>
      <c r="I4" s="21">
        <f>+'Retail Rates'!I4</f>
        <v>2021</v>
      </c>
      <c r="J4" s="21">
        <f>+'Retail Rates'!J4</f>
        <v>2022</v>
      </c>
      <c r="K4" s="21">
        <f>+'Retail Rates'!K4</f>
        <v>2023</v>
      </c>
      <c r="L4" s="21">
        <f>+'Retail Rates'!L4</f>
        <v>2024</v>
      </c>
      <c r="M4" s="21">
        <f>+'Retail Rates'!M4</f>
        <v>2025</v>
      </c>
      <c r="N4" s="21">
        <f>+'Retail Rates'!N4</f>
        <v>2026</v>
      </c>
      <c r="O4" s="21">
        <f>+'Retail Rates'!O4</f>
        <v>2027</v>
      </c>
      <c r="P4" s="21">
        <f>+'Retail Rates'!P4</f>
        <v>2028</v>
      </c>
      <c r="Q4" s="21">
        <f>+'Retail Rates'!Q4</f>
        <v>2029</v>
      </c>
      <c r="R4" s="21">
        <f>+'Retail Rates'!R4</f>
        <v>2030</v>
      </c>
      <c r="S4" s="21">
        <f>+'Retail Rates'!S4</f>
        <v>2031</v>
      </c>
      <c r="T4" s="21">
        <f>+'Retail Rates'!T4</f>
        <v>2032</v>
      </c>
      <c r="U4" s="21">
        <f>+'Retail Rates'!U4</f>
        <v>2033</v>
      </c>
      <c r="V4" s="21">
        <f>+'Retail Rates'!V4</f>
        <v>2034</v>
      </c>
      <c r="W4" s="21">
        <f>+'Retail Rates'!W4</f>
        <v>2035</v>
      </c>
    </row>
    <row r="5" spans="1:23">
      <c r="A5" s="15" t="str">
        <f>+'Device Energy Use'!A5</f>
        <v>Electric Resistance</v>
      </c>
      <c r="B5" s="11">
        <f>+'Device Energy Use'!$D5*('Retail Rates'!B$5*'Device Energy Use'!$E5+'Retail Rates'!B$6*(1-'Device Energy Use'!$E5))</f>
        <v>298.40794187314856</v>
      </c>
      <c r="C5" s="11">
        <f>+'Device Energy Use'!$D5*('Retail Rates'!C$5*'Device Energy Use'!$E5+'Retail Rates'!C$6*(1-'Device Energy Use'!$E5))</f>
        <v>302.28724511749948</v>
      </c>
      <c r="D5" s="11">
        <f>+'Device Energy Use'!$D5*('Retail Rates'!D$5*'Device Energy Use'!$E5+'Retail Rates'!D$6*(1-'Device Energy Use'!$E5))</f>
        <v>306.21697930402695</v>
      </c>
      <c r="E5" s="11">
        <f>+'Device Energy Use'!$D5*('Retail Rates'!E$5*'Device Energy Use'!$E5+'Retail Rates'!E$6*(1-'Device Energy Use'!$E5))</f>
        <v>310.19780003497925</v>
      </c>
      <c r="F5" s="11">
        <f>+'Device Energy Use'!$D5*('Retail Rates'!F$5*'Device Energy Use'!$E5+'Retail Rates'!F$6*(1-'Device Energy Use'!$E5))</f>
        <v>314.23037143543399</v>
      </c>
      <c r="G5" s="11">
        <f>+'Device Energy Use'!$D5*('Retail Rates'!G$5*'Device Energy Use'!$E5+'Retail Rates'!G$6*(1-'Device Energy Use'!$E5))</f>
        <v>318.31536626409456</v>
      </c>
      <c r="H5" s="11">
        <f>+'Device Energy Use'!$D5*('Retail Rates'!H$5*'Device Energy Use'!$E5+'Retail Rates'!H$6*(1-'Device Energy Use'!$E5))</f>
        <v>322.4534660255278</v>
      </c>
      <c r="I5" s="11">
        <f>+'Device Energy Use'!$D5*('Retail Rates'!I$5*'Device Energy Use'!$E5+'Retail Rates'!I$6*(1-'Device Energy Use'!$E5))</f>
        <v>326.6453610838596</v>
      </c>
      <c r="J5" s="11">
        <f>+'Device Energy Use'!$D5*('Retail Rates'!J$5*'Device Energy Use'!$E5+'Retail Rates'!J$6*(1-'Device Energy Use'!$E5))</f>
        <v>330.89175077794977</v>
      </c>
      <c r="K5" s="11">
        <f>+'Device Energy Use'!$D5*('Retail Rates'!K$5*'Device Energy Use'!$E5+'Retail Rates'!K$6*(1-'Device Energy Use'!$E5))</f>
        <v>335.19334353806306</v>
      </c>
      <c r="L5" s="11">
        <f>+'Device Energy Use'!$D5*('Retail Rates'!L$5*'Device Energy Use'!$E5+'Retail Rates'!L$6*(1-'Device Energy Use'!$E5))</f>
        <v>339.55085700405783</v>
      </c>
      <c r="M5" s="11">
        <f>+'Device Energy Use'!$D5*('Retail Rates'!M$5*'Device Energy Use'!$E5+'Retail Rates'!M$6*(1-'Device Energy Use'!$E5))</f>
        <v>343.96501814511055</v>
      </c>
      <c r="N5" s="11">
        <f>+'Device Energy Use'!$D5*('Retail Rates'!N$5*'Device Energy Use'!$E5+'Retail Rates'!N$6*(1-'Device Energy Use'!$E5))</f>
        <v>348.43656338099697</v>
      </c>
      <c r="O5" s="11">
        <f>+'Device Energy Use'!$D5*('Retail Rates'!O$5*'Device Energy Use'!$E5+'Retail Rates'!O$6*(1-'Device Energy Use'!$E5))</f>
        <v>352.96623870494989</v>
      </c>
      <c r="P5" s="11">
        <f>+'Device Energy Use'!$D5*('Retail Rates'!P$5*'Device Energy Use'!$E5+'Retail Rates'!P$6*(1-'Device Energy Use'!$E5))</f>
        <v>357.55479980811424</v>
      </c>
      <c r="Q5" s="11">
        <f>+'Device Energy Use'!$D5*('Retail Rates'!Q$5*'Device Energy Use'!$E5+'Retail Rates'!Q$6*(1-'Device Energy Use'!$E5))</f>
        <v>362.20301220561964</v>
      </c>
      <c r="R5" s="11">
        <f>+'Device Energy Use'!$D5*('Retail Rates'!R$5*'Device Energy Use'!$E5+'Retail Rates'!R$6*(1-'Device Energy Use'!$E5))</f>
        <v>366.91165136429265</v>
      </c>
      <c r="S5" s="11">
        <f>+'Device Energy Use'!$D5*('Retail Rates'!S$5*'Device Energy Use'!$E5+'Retail Rates'!S$6*(1-'Device Energy Use'!$E5))</f>
        <v>371.6815028320284</v>
      </c>
      <c r="T5" s="11">
        <f>+'Device Energy Use'!$D5*('Retail Rates'!T$5*'Device Energy Use'!$E5+'Retail Rates'!T$6*(1-'Device Energy Use'!$E5))</f>
        <v>376.5133623688447</v>
      </c>
      <c r="U5" s="11">
        <f>+'Device Energy Use'!$D5*('Retail Rates'!U$5*'Device Energy Use'!$E5+'Retail Rates'!U$6*(1-'Device Energy Use'!$E5))</f>
        <v>381.40803607963966</v>
      </c>
      <c r="V5" s="11">
        <f>+'Device Energy Use'!$D5*('Retail Rates'!V$5*'Device Energy Use'!$E5+'Retail Rates'!V$6*(1-'Device Energy Use'!$E5))</f>
        <v>386.36634054867488</v>
      </c>
      <c r="W5" s="11">
        <f>+'Device Energy Use'!$D5*('Retail Rates'!W$5*'Device Energy Use'!$E5+'Retail Rates'!W$6*(1-'Device Energy Use'!$E5))</f>
        <v>391.3891029758077</v>
      </c>
    </row>
    <row r="6" spans="1:23">
      <c r="A6" s="15" t="str">
        <f>+'Device Energy Use'!A6</f>
        <v>HPWH</v>
      </c>
      <c r="B6" s="11">
        <f>+'Device Energy Use'!$D6*('Retail Rates'!B$5*'Device Energy Use'!$E6+'Retail Rates'!B$6*(1-'Device Energy Use'!$E6))</f>
        <v>162.75222436894003</v>
      </c>
      <c r="C6" s="11">
        <f>+'Device Energy Use'!$D6*('Retail Rates'!C$5*'Device Energy Use'!$E6+'Retail Rates'!C$6*(1-'Device Energy Use'!$E6))</f>
        <v>164.86800328573625</v>
      </c>
      <c r="D6" s="11">
        <f>+'Device Energy Use'!$D6*('Retail Rates'!D$5*'Device Energy Use'!$E6+'Retail Rates'!D$6*(1-'Device Energy Use'!$E6))</f>
        <v>167.01128732845081</v>
      </c>
      <c r="E6" s="11">
        <f>+'Device Energy Use'!$D6*('Retail Rates'!E$5*'Device Energy Use'!$E6+'Retail Rates'!E$6*(1-'Device Energy Use'!$E6))</f>
        <v>169.18243406372065</v>
      </c>
      <c r="F6" s="11">
        <f>+'Device Energy Use'!$D6*('Retail Rates'!F$5*'Device Energy Use'!$E6+'Retail Rates'!F$6*(1-'Device Energy Use'!$E6))</f>
        <v>171.38180570654902</v>
      </c>
      <c r="G6" s="11">
        <f>+'Device Energy Use'!$D6*('Retail Rates'!G$5*'Device Energy Use'!$E6+'Retail Rates'!G$6*(1-'Device Energy Use'!$E6))</f>
        <v>173.60976918073413</v>
      </c>
      <c r="H6" s="11">
        <f>+'Device Energy Use'!$D6*('Retail Rates'!H$5*'Device Energy Use'!$E6+'Retail Rates'!H$6*(1-'Device Energy Use'!$E6))</f>
        <v>175.86669618008366</v>
      </c>
      <c r="I6" s="11">
        <f>+'Device Energy Use'!$D6*('Retail Rates'!I$5*'Device Energy Use'!$E6+'Retail Rates'!I$6*(1-'Device Energy Use'!$E6))</f>
        <v>178.15296323042472</v>
      </c>
      <c r="J6" s="11">
        <f>+'Device Energy Use'!$D6*('Retail Rates'!J$5*'Device Energy Use'!$E6+'Retail Rates'!J$6*(1-'Device Energy Use'!$E6))</f>
        <v>180.46895175242022</v>
      </c>
      <c r="K6" s="11">
        <f>+'Device Energy Use'!$D6*('Retail Rates'!K$5*'Device Energy Use'!$E6+'Retail Rates'!K$6*(1-'Device Energy Use'!$E6))</f>
        <v>182.81504812520168</v>
      </c>
      <c r="L6" s="11">
        <f>+'Device Energy Use'!$D6*('Retail Rates'!L$5*'Device Energy Use'!$E6+'Retail Rates'!L$6*(1-'Device Energy Use'!$E6))</f>
        <v>185.19164375082926</v>
      </c>
      <c r="M6" s="11">
        <f>+'Device Energy Use'!$D6*('Retail Rates'!M$5*'Device Energy Use'!$E6+'Retail Rates'!M$6*(1-'Device Energy Use'!$E6))</f>
        <v>187.59913511959004</v>
      </c>
      <c r="N6" s="11">
        <f>+'Device Energy Use'!$D6*('Retail Rates'!N$5*'Device Energy Use'!$E6+'Retail Rates'!N$6*(1-'Device Energy Use'!$E6))</f>
        <v>190.0379238761447</v>
      </c>
      <c r="O6" s="11">
        <f>+'Device Energy Use'!$D6*('Retail Rates'!O$5*'Device Energy Use'!$E6+'Retail Rates'!O$6*(1-'Device Energy Use'!$E6))</f>
        <v>192.50841688653455</v>
      </c>
      <c r="P6" s="11">
        <f>+'Device Energy Use'!$D6*('Retail Rates'!P$5*'Device Energy Use'!$E6+'Retail Rates'!P$6*(1-'Device Energy Use'!$E6))</f>
        <v>195.01102630605948</v>
      </c>
      <c r="Q6" s="11">
        <f>+'Device Energy Use'!$D6*('Retail Rates'!Q$5*'Device Energy Use'!$E6+'Retail Rates'!Q$6*(1-'Device Energy Use'!$E6))</f>
        <v>197.54616964803824</v>
      </c>
      <c r="R6" s="11">
        <f>+'Device Energy Use'!$D6*('Retail Rates'!R$5*'Device Energy Use'!$E6+'Retail Rates'!R$6*(1-'Device Energy Use'!$E6))</f>
        <v>200.1142698534627</v>
      </c>
      <c r="S6" s="11">
        <f>+'Device Energy Use'!$D6*('Retail Rates'!S$5*'Device Energy Use'!$E6+'Retail Rates'!S$6*(1-'Device Energy Use'!$E6))</f>
        <v>202.71575536155768</v>
      </c>
      <c r="T6" s="11">
        <f>+'Device Energy Use'!$D6*('Retail Rates'!T$5*'Device Energy Use'!$E6+'Retail Rates'!T$6*(1-'Device Energy Use'!$E6))</f>
        <v>205.35106018125791</v>
      </c>
      <c r="U6" s="11">
        <f>+'Device Energy Use'!$D6*('Retail Rates'!U$5*'Device Energy Use'!$E6+'Retail Rates'!U$6*(1-'Device Energy Use'!$E6))</f>
        <v>208.02062396361424</v>
      </c>
      <c r="V6" s="11">
        <f>+'Device Energy Use'!$D6*('Retail Rates'!V$5*'Device Energy Use'!$E6+'Retail Rates'!V$6*(1-'Device Energy Use'!$E6))</f>
        <v>210.72489207514118</v>
      </c>
      <c r="W6" s="11">
        <f>+'Device Energy Use'!$D6*('Retail Rates'!W$5*'Device Energy Use'!$E6+'Retail Rates'!W$6*(1-'Device Energy Use'!$E6))</f>
        <v>213.46431567211803</v>
      </c>
    </row>
    <row r="7" spans="1:23">
      <c r="A7" s="15" t="str">
        <f>+'Device Energy Use'!A7</f>
        <v>Gas Tank</v>
      </c>
      <c r="B7" s="11">
        <f>+'Device Energy Use'!$D7*('Retail Rates'!B$5*'Device Energy Use'!$E7+'Retail Rates'!B$6*(1-'Device Energy Use'!$E7))</f>
        <v>145.29024782134809</v>
      </c>
      <c r="C7" s="11">
        <f>+'Device Energy Use'!$D7*('Retail Rates'!C$5*'Device Energy Use'!$E7+'Retail Rates'!C$6*(1-'Device Energy Use'!$E7))</f>
        <v>147.46960153866829</v>
      </c>
      <c r="D7" s="11">
        <f>+'Device Energy Use'!$D7*('Retail Rates'!D$5*'Device Energy Use'!$E7+'Retail Rates'!D$6*(1-'Device Energy Use'!$E7))</f>
        <v>149.6816455617483</v>
      </c>
      <c r="E7" s="11">
        <f>+'Device Energy Use'!$D7*('Retail Rates'!E$5*'Device Energy Use'!$E7+'Retail Rates'!E$6*(1-'Device Energy Use'!$E7))</f>
        <v>151.92687024517451</v>
      </c>
      <c r="F7" s="11">
        <f>+'Device Energy Use'!$D7*('Retail Rates'!F$5*'Device Energy Use'!$E7+'Retail Rates'!F$6*(1-'Device Energy Use'!$E7))</f>
        <v>154.20577329885214</v>
      </c>
      <c r="G7" s="11">
        <f>+'Device Energy Use'!$D7*('Retail Rates'!G$5*'Device Energy Use'!$E7+'Retail Rates'!G$6*(1-'Device Energy Use'!$E7))</f>
        <v>156.51885989833491</v>
      </c>
      <c r="H7" s="11">
        <f>+'Device Energy Use'!$D7*('Retail Rates'!H$5*'Device Energy Use'!$E7+'Retail Rates'!H$6*(1-'Device Energy Use'!$E7))</f>
        <v>158.86664279680994</v>
      </c>
      <c r="I7" s="11">
        <f>+'Device Energy Use'!$D7*('Retail Rates'!I$5*'Device Energy Use'!$E7+'Retail Rates'!I$6*(1-'Device Energy Use'!$E7))</f>
        <v>161.24964243876207</v>
      </c>
      <c r="J7" s="11">
        <f>+'Device Energy Use'!$D7*('Retail Rates'!J$5*'Device Energy Use'!$E7+'Retail Rates'!J$6*(1-'Device Energy Use'!$E7))</f>
        <v>163.66838707534347</v>
      </c>
      <c r="K7" s="11">
        <f>+'Device Energy Use'!$D7*('Retail Rates'!K$5*'Device Energy Use'!$E7+'Retail Rates'!K$6*(1-'Device Energy Use'!$E7))</f>
        <v>166.1234128814736</v>
      </c>
      <c r="L7" s="11">
        <f>+'Device Energy Use'!$D7*('Retail Rates'!L$5*'Device Energy Use'!$E7+'Retail Rates'!L$6*(1-'Device Energy Use'!$E7))</f>
        <v>168.61526407469569</v>
      </c>
      <c r="M7" s="11">
        <f>+'Device Energy Use'!$D7*('Retail Rates'!M$5*'Device Energy Use'!$E7+'Retail Rates'!M$6*(1-'Device Energy Use'!$E7))</f>
        <v>171.14449303581611</v>
      </c>
      <c r="N7" s="11">
        <f>+'Device Energy Use'!$D7*('Retail Rates'!N$5*'Device Energy Use'!$E7+'Retail Rates'!N$6*(1-'Device Energy Use'!$E7))</f>
        <v>173.71166043135335</v>
      </c>
      <c r="O7" s="11">
        <f>+'Device Energy Use'!$D7*('Retail Rates'!O$5*'Device Energy Use'!$E7+'Retail Rates'!O$6*(1-'Device Energy Use'!$E7))</f>
        <v>176.31733533782361</v>
      </c>
      <c r="P7" s="11">
        <f>+'Device Energy Use'!$D7*('Retail Rates'!P$5*'Device Energy Use'!$E7+'Retail Rates'!P$6*(1-'Device Energy Use'!$E7))</f>
        <v>178.96209536789095</v>
      </c>
      <c r="Q7" s="11">
        <f>+'Device Energy Use'!$D7*('Retail Rates'!Q$5*'Device Energy Use'!$E7+'Retail Rates'!Q$6*(1-'Device Energy Use'!$E7))</f>
        <v>181.64652679840933</v>
      </c>
      <c r="R7" s="11">
        <f>+'Device Energy Use'!$D7*('Retail Rates'!R$5*'Device Energy Use'!$E7+'Retail Rates'!R$6*(1-'Device Energy Use'!$E7))</f>
        <v>184.37122470038543</v>
      </c>
      <c r="S7" s="11">
        <f>+'Device Energy Use'!$D7*('Retail Rates'!S$5*'Device Energy Use'!$E7+'Retail Rates'!S$6*(1-'Device Energy Use'!$E7))</f>
        <v>187.1367930708912</v>
      </c>
      <c r="T7" s="11">
        <f>+'Device Energy Use'!$D7*('Retail Rates'!T$5*'Device Energy Use'!$E7+'Retail Rates'!T$6*(1-'Device Energy Use'!$E7))</f>
        <v>189.94384496695457</v>
      </c>
      <c r="U7" s="11">
        <f>+'Device Energy Use'!$D7*('Retail Rates'!U$5*'Device Energy Use'!$E7+'Retail Rates'!U$6*(1-'Device Energy Use'!$E7))</f>
        <v>192.79300264145886</v>
      </c>
      <c r="V7" s="11">
        <f>+'Device Energy Use'!$D7*('Retail Rates'!V$5*'Device Energy Use'!$E7+'Retail Rates'!V$6*(1-'Device Energy Use'!$E7))</f>
        <v>195.68489768108074</v>
      </c>
      <c r="W7" s="11">
        <f>+'Device Energy Use'!$D7*('Retail Rates'!W$5*'Device Energy Use'!$E7+'Retail Rates'!W$6*(1-'Device Energy Use'!$E7))</f>
        <v>198.62017114629691</v>
      </c>
    </row>
    <row r="8" spans="1:23">
      <c r="A8" s="15" t="str">
        <f>+'Device Energy Use'!A8</f>
        <v>Instant Gas</v>
      </c>
      <c r="B8" s="11">
        <f>+'Device Energy Use'!$D8*('Retail Rates'!B$5*'Device Energy Use'!$E8+'Retail Rates'!B$6*(1-'Device Energy Use'!$E8))</f>
        <v>126.69309936809438</v>
      </c>
      <c r="C8" s="11">
        <f>+'Device Energy Use'!$D8*('Retail Rates'!C$5*'Device Energy Use'!$E8+'Retail Rates'!C$6*(1-'Device Energy Use'!$E8))</f>
        <v>128.5934958586158</v>
      </c>
      <c r="D8" s="11">
        <f>+'Device Energy Use'!$D8*('Retail Rates'!D$5*'Device Energy Use'!$E8+'Retail Rates'!D$6*(1-'Device Energy Use'!$E8))</f>
        <v>130.522398296495</v>
      </c>
      <c r="E8" s="11">
        <f>+'Device Energy Use'!$D8*('Retail Rates'!E$5*'Device Energy Use'!$E8+'Retail Rates'!E$6*(1-'Device Energy Use'!$E8))</f>
        <v>132.48023427094245</v>
      </c>
      <c r="F8" s="11">
        <f>+'Device Energy Use'!$D8*('Retail Rates'!F$5*'Device Energy Use'!$E8+'Retail Rates'!F$6*(1-'Device Energy Use'!$E8))</f>
        <v>134.46743778500658</v>
      </c>
      <c r="G8" s="11">
        <f>+'Device Energy Use'!$D8*('Retail Rates'!G$5*'Device Energy Use'!$E8+'Retail Rates'!G$6*(1-'Device Energy Use'!$E8))</f>
        <v>136.48444935178165</v>
      </c>
      <c r="H8" s="11">
        <f>+'Device Energy Use'!$D8*('Retail Rates'!H$5*'Device Energy Use'!$E8+'Retail Rates'!H$6*(1-'Device Energy Use'!$E8))</f>
        <v>138.53171609205839</v>
      </c>
      <c r="I8" s="11">
        <f>+'Device Energy Use'!$D8*('Retail Rates'!I$5*'Device Energy Use'!$E8+'Retail Rates'!I$6*(1-'Device Energy Use'!$E8))</f>
        <v>140.60969183343923</v>
      </c>
      <c r="J8" s="11">
        <f>+'Device Energy Use'!$D8*('Retail Rates'!J$5*'Device Energy Use'!$E8+'Retail Rates'!J$6*(1-'Device Energy Use'!$E8))</f>
        <v>142.71883721094082</v>
      </c>
      <c r="K8" s="11">
        <f>+'Device Energy Use'!$D8*('Retail Rates'!K$5*'Device Energy Use'!$E8+'Retail Rates'!K$6*(1-'Device Energy Use'!$E8))</f>
        <v>144.85961976910491</v>
      </c>
      <c r="L8" s="11">
        <f>+'Device Energy Use'!$D8*('Retail Rates'!L$5*'Device Energy Use'!$E8+'Retail Rates'!L$6*(1-'Device Energy Use'!$E8))</f>
        <v>147.03251406564146</v>
      </c>
      <c r="M8" s="11">
        <f>+'Device Energy Use'!$D8*('Retail Rates'!M$5*'Device Energy Use'!$E8+'Retail Rates'!M$6*(1-'Device Energy Use'!$E8))</f>
        <v>149.23800177662608</v>
      </c>
      <c r="N8" s="11">
        <f>+'Device Energy Use'!$D8*('Retail Rates'!N$5*'Device Energy Use'!$E8+'Retail Rates'!N$6*(1-'Device Energy Use'!$E8))</f>
        <v>151.47657180327545</v>
      </c>
      <c r="O8" s="11">
        <f>+'Device Energy Use'!$D8*('Retail Rates'!O$5*'Device Energy Use'!$E8+'Retail Rates'!O$6*(1-'Device Energy Use'!$E8))</f>
        <v>153.74872038032456</v>
      </c>
      <c r="P8" s="11">
        <f>+'Device Energy Use'!$D8*('Retail Rates'!P$5*'Device Energy Use'!$E8+'Retail Rates'!P$6*(1-'Device Energy Use'!$E8))</f>
        <v>156.05495118602943</v>
      </c>
      <c r="Q8" s="11">
        <f>+'Device Energy Use'!$D8*('Retail Rates'!Q$5*'Device Energy Use'!$E8+'Retail Rates'!Q$6*(1-'Device Energy Use'!$E8))</f>
        <v>158.39577545381985</v>
      </c>
      <c r="R8" s="11">
        <f>+'Device Energy Use'!$D8*('Retail Rates'!R$5*'Device Energy Use'!$E8+'Retail Rates'!R$6*(1-'Device Energy Use'!$E8))</f>
        <v>160.77171208562714</v>
      </c>
      <c r="S8" s="11">
        <f>+'Device Energy Use'!$D8*('Retail Rates'!S$5*'Device Energy Use'!$E8+'Retail Rates'!S$6*(1-'Device Energy Use'!$E8))</f>
        <v>163.18328776691155</v>
      </c>
      <c r="T8" s="11">
        <f>+'Device Energy Use'!$D8*('Retail Rates'!T$5*'Device Energy Use'!$E8+'Retail Rates'!T$6*(1-'Device Energy Use'!$E8))</f>
        <v>165.63103708341521</v>
      </c>
      <c r="U8" s="11">
        <f>+'Device Energy Use'!$D8*('Retail Rates'!U$5*'Device Energy Use'!$E8+'Retail Rates'!U$6*(1-'Device Energy Use'!$E8))</f>
        <v>168.1155026396664</v>
      </c>
      <c r="V8" s="11">
        <f>+'Device Energy Use'!$D8*('Retail Rates'!V$5*'Device Energy Use'!$E8+'Retail Rates'!V$6*(1-'Device Energy Use'!$E8))</f>
        <v>170.63723517926141</v>
      </c>
      <c r="W8" s="11">
        <f>+'Device Energy Use'!$D8*('Retail Rates'!W$5*'Device Energy Use'!$E8+'Retail Rates'!W$6*(1-'Device Energy Use'!$E8))</f>
        <v>173.1967937069503</v>
      </c>
    </row>
    <row r="9" spans="1:23">
      <c r="A9" s="15" t="str">
        <f>+'Device Energy Use'!A9</f>
        <v>Condensing Gas</v>
      </c>
      <c r="B9" s="11">
        <f>+'Device Energy Use'!$D9*('Retail Rates'!B$5*'Device Energy Use'!$E9+'Retail Rates'!B$6*(1-'Device Energy Use'!$E9))</f>
        <v>132.02405267426406</v>
      </c>
      <c r="C9" s="11">
        <f>+'Device Energy Use'!$D9*('Retail Rates'!C$5*'Device Energy Use'!$E9+'Retail Rates'!C$6*(1-'Device Energy Use'!$E9))</f>
        <v>134.00441346437802</v>
      </c>
      <c r="D9" s="11">
        <f>+'Device Energy Use'!$D9*('Retail Rates'!D$5*'Device Energy Use'!$E9+'Retail Rates'!D$6*(1-'Device Energy Use'!$E9))</f>
        <v>136.01447966634365</v>
      </c>
      <c r="E9" s="11">
        <f>+'Device Energy Use'!$D9*('Retail Rates'!E$5*'Device Energy Use'!$E9+'Retail Rates'!E$6*(1-'Device Energy Use'!$E9))</f>
        <v>138.05469686133881</v>
      </c>
      <c r="F9" s="11">
        <f>+'Device Energy Use'!$D9*('Retail Rates'!F$5*'Device Energy Use'!$E9+'Retail Rates'!F$6*(1-'Device Energy Use'!$E9))</f>
        <v>140.1255173142589</v>
      </c>
      <c r="G9" s="11">
        <f>+'Device Energy Use'!$D9*('Retail Rates'!G$5*'Device Energy Use'!$E9+'Retail Rates'!G$6*(1-'Device Energy Use'!$E9))</f>
        <v>142.22740007397277</v>
      </c>
      <c r="H9" s="11">
        <f>+'Device Energy Use'!$D9*('Retail Rates'!H$5*'Device Energy Use'!$E9+'Retail Rates'!H$6*(1-'Device Energy Use'!$E9))</f>
        <v>144.36081107508235</v>
      </c>
      <c r="I9" s="11">
        <f>+'Device Energy Use'!$D9*('Retail Rates'!I$5*'Device Energy Use'!$E9+'Retail Rates'!I$6*(1-'Device Energy Use'!$E9))</f>
        <v>146.52622324120858</v>
      </c>
      <c r="J9" s="11">
        <f>+'Device Energy Use'!$D9*('Retail Rates'!J$5*'Device Energy Use'!$E9+'Retail Rates'!J$6*(1-'Device Energy Use'!$E9))</f>
        <v>148.72411658982671</v>
      </c>
      <c r="K9" s="11">
        <f>+'Device Energy Use'!$D9*('Retail Rates'!K$5*'Device Energy Use'!$E9+'Retail Rates'!K$6*(1-'Device Energy Use'!$E9))</f>
        <v>150.95497833867407</v>
      </c>
      <c r="L9" s="11">
        <f>+'Device Energy Use'!$D9*('Retail Rates'!L$5*'Device Energy Use'!$E9+'Retail Rates'!L$6*(1-'Device Energy Use'!$E9))</f>
        <v>153.21930301375414</v>
      </c>
      <c r="M9" s="11">
        <f>+'Device Energy Use'!$D9*('Retail Rates'!M$5*'Device Energy Use'!$E9+'Retail Rates'!M$6*(1-'Device Energy Use'!$E9))</f>
        <v>155.51759255896044</v>
      </c>
      <c r="N9" s="11">
        <f>+'Device Energy Use'!$D9*('Retail Rates'!N$5*'Device Energy Use'!$E9+'Retail Rates'!N$6*(1-'Device Energy Use'!$E9))</f>
        <v>157.85035644734486</v>
      </c>
      <c r="O9" s="11">
        <f>+'Device Energy Use'!$D9*('Retail Rates'!O$5*'Device Energy Use'!$E9+'Retail Rates'!O$6*(1-'Device Energy Use'!$E9))</f>
        <v>160.21811179405501</v>
      </c>
      <c r="P9" s="11">
        <f>+'Device Energy Use'!$D9*('Retail Rates'!P$5*'Device Energy Use'!$E9+'Retail Rates'!P$6*(1-'Device Energy Use'!$E9))</f>
        <v>162.62138347096581</v>
      </c>
      <c r="Q9" s="11">
        <f>+'Device Energy Use'!$D9*('Retail Rates'!Q$5*'Device Energy Use'!$E9+'Retail Rates'!Q$6*(1-'Device Energy Use'!$E9))</f>
        <v>165.06070422303031</v>
      </c>
      <c r="R9" s="11">
        <f>+'Device Energy Use'!$D9*('Retail Rates'!R$5*'Device Energy Use'!$E9+'Retail Rates'!R$6*(1-'Device Energy Use'!$E9))</f>
        <v>167.53661478637574</v>
      </c>
      <c r="S9" s="11">
        <f>+'Device Energy Use'!$D9*('Retail Rates'!S$5*'Device Energy Use'!$E9+'Retail Rates'!S$6*(1-'Device Energy Use'!$E9))</f>
        <v>170.04966400817136</v>
      </c>
      <c r="T9" s="11">
        <f>+'Device Energy Use'!$D9*('Retail Rates'!T$5*'Device Energy Use'!$E9+'Retail Rates'!T$6*(1-'Device Energy Use'!$E9))</f>
        <v>172.60040896829392</v>
      </c>
      <c r="U9" s="11">
        <f>+'Device Energy Use'!$D9*('Retail Rates'!U$5*'Device Energy Use'!$E9+'Retail Rates'!U$6*(1-'Device Energy Use'!$E9))</f>
        <v>175.18941510281832</v>
      </c>
      <c r="V9" s="11">
        <f>+'Device Energy Use'!$D9*('Retail Rates'!V$5*'Device Energy Use'!$E9+'Retail Rates'!V$6*(1-'Device Energy Use'!$E9))</f>
        <v>177.81725632936059</v>
      </c>
      <c r="W9" s="11">
        <f>+'Device Energy Use'!$D9*('Retail Rates'!W$5*'Device Energy Use'!$E9+'Retail Rates'!W$6*(1-'Device Energy Use'!$E9))</f>
        <v>180.48451517430095</v>
      </c>
    </row>
    <row r="10" spans="1:23">
      <c r="G10" s="15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22"/>
  <dimension ref="A1:K16"/>
  <sheetViews>
    <sheetView workbookViewId="0"/>
  </sheetViews>
  <sheetFormatPr defaultColWidth="8.85546875" defaultRowHeight="15.75"/>
  <cols>
    <col min="1" max="1" width="20.7109375" style="2" customWidth="1"/>
    <col min="2" max="2" width="17" style="5" customWidth="1"/>
    <col min="3" max="3" width="14.7109375" style="2" customWidth="1"/>
    <col min="4" max="7" width="12.7109375" style="2" customWidth="1"/>
    <col min="8" max="8" width="17" style="2" bestFit="1" customWidth="1"/>
    <col min="9" max="9" width="18.28515625" style="2" bestFit="1" customWidth="1"/>
    <col min="10" max="10" width="13" style="5" customWidth="1"/>
    <col min="11" max="11" width="12.28515625" style="2" bestFit="1" customWidth="1"/>
    <col min="12" max="12" width="9.140625" style="2" customWidth="1"/>
    <col min="13" max="16384" width="8.85546875" style="2"/>
  </cols>
  <sheetData>
    <row r="1" spans="1:11">
      <c r="A1" s="147" t="str">
        <f>CONCATENATE("Segment:  ",State,", Single Family, ", SpaceHeat, ", ", TankSize,", ", StartWH, " is starting water heater")</f>
        <v>Segment:  Idaho, Single Family, Gas FAF, &gt;55 Gallons, Electric Resistance is starting water heater</v>
      </c>
    </row>
    <row r="3" spans="1:11" ht="23.25" customHeight="1">
      <c r="A3" s="26" t="s">
        <v>84</v>
      </c>
    </row>
    <row r="4" spans="1:11" s="19" customFormat="1" ht="47.25">
      <c r="A4" s="17" t="s">
        <v>0</v>
      </c>
      <c r="B4" s="17" t="str">
        <f>'Input Assumptions'!B26</f>
        <v>Electricity Required (KWh/ device/Yr)</v>
      </c>
      <c r="C4" s="17" t="str">
        <f>'Input Assumptions'!C26</f>
        <v>Gas Required (mmBtu/ device/Yr)</v>
      </c>
      <c r="D4" s="18" t="s">
        <v>17</v>
      </c>
      <c r="E4" s="17" t="str">
        <f>'Input Assumptions'!E26</f>
        <v>Electric Technology</v>
      </c>
    </row>
    <row r="5" spans="1:11">
      <c r="A5" s="2" t="str">
        <f>'Input Assumptions'!D45</f>
        <v>Electric Resistance</v>
      </c>
      <c r="B5" s="57">
        <f>'Input Assumptions'!B27</f>
        <v>3355.4343604471896</v>
      </c>
      <c r="C5" s="6">
        <f>'Input Assumptions'!C27</f>
        <v>0</v>
      </c>
      <c r="D5" s="6">
        <f>'Input Assumptions'!B27*3412/1000000+'Input Assumptions'!C27</f>
        <v>11.448742037845811</v>
      </c>
      <c r="E5" s="5">
        <f>'Input Assumptions'!E27</f>
        <v>1</v>
      </c>
      <c r="J5" s="2"/>
    </row>
    <row r="6" spans="1:11">
      <c r="A6" s="2" t="str">
        <f>'Input Assumptions'!D46</f>
        <v>HPWH</v>
      </c>
      <c r="B6" s="57">
        <f>'Input Assumptions'!B28</f>
        <v>1830.0598920349698</v>
      </c>
      <c r="C6" s="6">
        <f>'Input Assumptions'!C28</f>
        <v>0</v>
      </c>
      <c r="D6" s="6">
        <f>'Input Assumptions'!B28*3412/1000000+'Input Assumptions'!C28</f>
        <v>6.2441643516233176</v>
      </c>
      <c r="E6" s="5">
        <f>'Input Assumptions'!E28</f>
        <v>1</v>
      </c>
      <c r="J6" s="2"/>
    </row>
    <row r="7" spans="1:11">
      <c r="A7" s="2" t="str">
        <f>'Input Assumptions'!D47</f>
        <v>Gas Tank</v>
      </c>
      <c r="B7" s="57">
        <f>'Input Assumptions'!B29</f>
        <v>0</v>
      </c>
      <c r="C7" s="6">
        <f>'Input Assumptions'!C29</f>
        <v>17.346578845220922</v>
      </c>
      <c r="D7" s="6">
        <f>'Input Assumptions'!B29*3412/1000000+'Input Assumptions'!C29</f>
        <v>17.346578845220922</v>
      </c>
      <c r="E7" s="5">
        <f>'Input Assumptions'!E29</f>
        <v>0</v>
      </c>
      <c r="G7" s="171"/>
      <c r="J7" s="2"/>
    </row>
    <row r="8" spans="1:11">
      <c r="A8" s="2" t="str">
        <f>'Input Assumptions'!D48</f>
        <v>Instant Gas</v>
      </c>
      <c r="B8" s="57">
        <f>'Input Assumptions'!B30</f>
        <v>0</v>
      </c>
      <c r="C8" s="6">
        <f>'Input Assumptions'!C30</f>
        <v>15.126217143193161</v>
      </c>
      <c r="D8" s="6">
        <f>'Input Assumptions'!B30*3412/1000000+'Input Assumptions'!C30</f>
        <v>15.126217143193161</v>
      </c>
      <c r="E8" s="5">
        <f>'Input Assumptions'!E30</f>
        <v>0</v>
      </c>
      <c r="G8" s="171"/>
      <c r="J8" s="2"/>
    </row>
    <row r="9" spans="1:11">
      <c r="A9" s="2" t="str">
        <f>'Input Assumptions'!D49</f>
        <v>Condensing Gas</v>
      </c>
      <c r="B9" s="57">
        <f>'Input Assumptions'!B31</f>
        <v>0</v>
      </c>
      <c r="C9" s="6">
        <f>'Input Assumptions'!C31</f>
        <v>15.762693460305449</v>
      </c>
      <c r="D9" s="6">
        <f>'Input Assumptions'!B31*3412/1000000+'Input Assumptions'!C31</f>
        <v>15.762693460305449</v>
      </c>
      <c r="E9" s="5">
        <f>'Input Assumptions'!E31</f>
        <v>0</v>
      </c>
      <c r="J9" s="2"/>
    </row>
    <row r="10" spans="1:11">
      <c r="A10" s="1"/>
      <c r="B10" s="7"/>
      <c r="H10" s="3"/>
      <c r="I10" s="4"/>
      <c r="J10" s="6"/>
      <c r="K10" s="8"/>
    </row>
    <row r="13" spans="1:11">
      <c r="J13" s="2"/>
    </row>
    <row r="14" spans="1:11">
      <c r="J14" s="2"/>
    </row>
    <row r="15" spans="1:11">
      <c r="J15" s="2"/>
    </row>
    <row r="16" spans="1:11">
      <c r="J16" s="2"/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23"/>
  <dimension ref="A1:E10"/>
  <sheetViews>
    <sheetView workbookViewId="0"/>
  </sheetViews>
  <sheetFormatPr defaultColWidth="8.85546875" defaultRowHeight="15.75"/>
  <cols>
    <col min="1" max="1" width="21.7109375" style="2" customWidth="1"/>
    <col min="2" max="2" width="17.42578125" style="5" customWidth="1"/>
    <col min="3" max="3" width="12.85546875" style="2" customWidth="1"/>
    <col min="4" max="4" width="18.140625" style="2" customWidth="1"/>
    <col min="5" max="5" width="15.7109375" style="2" customWidth="1"/>
    <col min="6" max="11" width="12.7109375" style="2" customWidth="1"/>
    <col min="12" max="16384" width="8.85546875" style="2"/>
  </cols>
  <sheetData>
    <row r="1" spans="1:5">
      <c r="A1" s="147" t="str">
        <f>CONCATENATE("Segment:  ",State,", Single Family, ", SpaceHeat, ", ", TankSize,", ", StartWH, " is starting water heater")</f>
        <v>Segment:  Idaho, Single Family, Gas FAF, &gt;55 Gallons, Electric Resistance is starting water heater</v>
      </c>
    </row>
    <row r="2" spans="1:5" ht="18.75">
      <c r="A2" s="146"/>
    </row>
    <row r="3" spans="1:5" ht="23.25" customHeight="1">
      <c r="A3" s="26" t="s">
        <v>83</v>
      </c>
    </row>
    <row r="4" spans="1:5" s="19" customFormat="1" ht="47.25">
      <c r="A4" s="17" t="s">
        <v>0</v>
      </c>
      <c r="B4" s="17" t="str">
        <f>'Input Assumptions'!B35</f>
        <v>Capital Cost (Various Real $)</v>
      </c>
      <c r="C4" s="17" t="str">
        <f>'Input Assumptions'!C35</f>
        <v>Units of Dollars</v>
      </c>
      <c r="D4" s="17" t="s">
        <v>135</v>
      </c>
      <c r="E4" s="17" t="s">
        <v>21</v>
      </c>
    </row>
    <row r="5" spans="1:5">
      <c r="A5" s="2" t="str">
        <f>'Input Assumptions'!D45</f>
        <v>Electric Resistance</v>
      </c>
      <c r="B5" s="61">
        <f>'Input Assumptions'!B36</f>
        <v>590</v>
      </c>
      <c r="C5" s="102" t="str">
        <f>'Input Assumptions'!C36</f>
        <v>2008$</v>
      </c>
      <c r="D5" s="62">
        <f>Inflation!AB5/Inflation!X5</f>
        <v>1.0627615062761504</v>
      </c>
      <c r="E5" s="60">
        <f>B5*D5</f>
        <v>627.02928870292874</v>
      </c>
    </row>
    <row r="6" spans="1:5">
      <c r="A6" s="2" t="str">
        <f>'Input Assumptions'!D46</f>
        <v>HPWH</v>
      </c>
      <c r="B6" s="61">
        <f>'Input Assumptions'!B37</f>
        <v>1621</v>
      </c>
      <c r="C6" s="102" t="str">
        <f>'Input Assumptions'!C37</f>
        <v>2011$</v>
      </c>
      <c r="D6" s="62">
        <f>Inflation!AB5/Inflation!AA5</f>
        <v>1.0177579455423003</v>
      </c>
      <c r="E6" s="60">
        <f>B6*D6</f>
        <v>1649.7856297240687</v>
      </c>
    </row>
    <row r="7" spans="1:5">
      <c r="A7" s="2" t="str">
        <f>'Input Assumptions'!D47</f>
        <v>Gas Tank</v>
      </c>
      <c r="B7" s="61">
        <f>'Input Assumptions'!B38</f>
        <v>785</v>
      </c>
      <c r="C7" s="102" t="str">
        <f>'Input Assumptions'!C38</f>
        <v>2013$</v>
      </c>
      <c r="D7" s="62">
        <f>Inflation!$AB$5/Inflation!$AC$5</f>
        <v>0.98250549450549451</v>
      </c>
      <c r="E7" s="60">
        <f>B7*D7</f>
        <v>771.26681318681324</v>
      </c>
    </row>
    <row r="8" spans="1:5">
      <c r="A8" s="2" t="str">
        <f>'Input Assumptions'!D48</f>
        <v>Instant Gas</v>
      </c>
      <c r="B8" s="61">
        <f>'Input Assumptions'!B39</f>
        <v>3760</v>
      </c>
      <c r="C8" s="102" t="str">
        <f>'Input Assumptions'!C39</f>
        <v>2013$</v>
      </c>
      <c r="D8" s="62">
        <f>Inflation!$AB$5/Inflation!$AC$5</f>
        <v>0.98250549450549451</v>
      </c>
      <c r="E8" s="60">
        <f>B8*D8</f>
        <v>3694.2206593406595</v>
      </c>
    </row>
    <row r="9" spans="1:5">
      <c r="A9" s="2" t="str">
        <f>'Input Assumptions'!D49</f>
        <v>Condensing Gas</v>
      </c>
      <c r="B9" s="61">
        <f>'Input Assumptions'!B40</f>
        <v>2084.4625924555244</v>
      </c>
      <c r="C9" s="102" t="str">
        <f>'Input Assumptions'!C40</f>
        <v>2006$</v>
      </c>
      <c r="D9" s="62">
        <f>Inflation!$AB$5/Inflation!$V$5</f>
        <v>1.1175999999999999</v>
      </c>
      <c r="E9" s="60">
        <f>B9*D9</f>
        <v>2329.595393328294</v>
      </c>
    </row>
    <row r="10" spans="1:5">
      <c r="A10" s="1"/>
      <c r="B10" s="7"/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 codeName="Sheet24"/>
  <dimension ref="A1:J10"/>
  <sheetViews>
    <sheetView workbookViewId="0">
      <selection activeCell="A2" sqref="A2"/>
    </sheetView>
  </sheetViews>
  <sheetFormatPr defaultColWidth="8.85546875" defaultRowHeight="15.75"/>
  <cols>
    <col min="1" max="1" width="22.7109375" style="2" customWidth="1"/>
    <col min="2" max="2" width="15.7109375" style="5" customWidth="1"/>
    <col min="3" max="5" width="15.7109375" style="2" customWidth="1"/>
    <col min="6" max="10" width="12.7109375" style="2" customWidth="1"/>
    <col min="11" max="16384" width="8.85546875" style="2"/>
  </cols>
  <sheetData>
    <row r="1" spans="1:10">
      <c r="A1" s="147" t="str">
        <f>CONCATENATE("Segment:  ",State,", Single Family, ", SpaceHeat, ", ", TankSize,", ", StartWH, " is starting water heater")</f>
        <v>Segment:  Idaho, Single Family, Gas FAF, &gt;55 Gallons, Electric Resistance is starting water heater</v>
      </c>
      <c r="B1" s="138"/>
      <c r="C1" s="137"/>
      <c r="D1" s="137"/>
      <c r="E1" s="137"/>
      <c r="F1" s="137"/>
      <c r="G1" s="137"/>
      <c r="H1" s="137"/>
      <c r="I1" s="137"/>
      <c r="J1" s="137"/>
    </row>
    <row r="2" spans="1:10" ht="18.75">
      <c r="A2" s="146"/>
      <c r="B2" s="138"/>
      <c r="C2" s="137"/>
      <c r="D2" s="137"/>
      <c r="E2" s="137"/>
      <c r="F2" s="137"/>
      <c r="G2" s="137"/>
      <c r="H2" s="137"/>
      <c r="I2" s="137"/>
      <c r="J2" s="137"/>
    </row>
    <row r="3" spans="1:10" ht="23.25" customHeight="1">
      <c r="A3" s="26" t="s">
        <v>85</v>
      </c>
    </row>
    <row r="4" spans="1:10" s="19" customFormat="1" ht="47.25">
      <c r="A4" s="139" t="s">
        <v>134</v>
      </c>
      <c r="B4" s="145" t="str">
        <f>'Input Assumptions'!D26</f>
        <v>O&amp;M Cost (2006$/ device/Yr)</v>
      </c>
      <c r="C4" s="145" t="s">
        <v>65</v>
      </c>
      <c r="D4" s="145" t="s">
        <v>22</v>
      </c>
    </row>
    <row r="5" spans="1:10">
      <c r="A5" s="2" t="str">
        <f>'Input Assumptions'!D45</f>
        <v>Electric Resistance</v>
      </c>
      <c r="B5" s="60">
        <f>'Input Assumptions'!D27</f>
        <v>4.0147653217481896</v>
      </c>
      <c r="C5" s="62">
        <f>Inflation!$AB$5/Inflation!$V$5</f>
        <v>1.1175999999999999</v>
      </c>
      <c r="D5" s="60">
        <f>B5*C5</f>
        <v>4.4869017235857767</v>
      </c>
    </row>
    <row r="6" spans="1:10">
      <c r="A6" s="2" t="str">
        <f>'Input Assumptions'!D46</f>
        <v>HPWH</v>
      </c>
      <c r="B6" s="60">
        <f>'Input Assumptions'!D28</f>
        <v>8.8912994251335906</v>
      </c>
      <c r="C6" s="62">
        <f>Inflation!$AB$5/Inflation!$V$5</f>
        <v>1.1175999999999999</v>
      </c>
      <c r="D6" s="60">
        <f>B6*C6</f>
        <v>9.9369162375292994</v>
      </c>
    </row>
    <row r="7" spans="1:10">
      <c r="A7" s="2" t="str">
        <f>'Input Assumptions'!D47</f>
        <v>Gas Tank</v>
      </c>
      <c r="B7" s="60">
        <f>'Input Assumptions'!D29</f>
        <v>12.364813725618941</v>
      </c>
      <c r="C7" s="62">
        <f>Inflation!$AB$5/Inflation!$V$5</f>
        <v>1.1175999999999999</v>
      </c>
      <c r="D7" s="60">
        <f>B7*C7</f>
        <v>13.818915819751727</v>
      </c>
    </row>
    <row r="8" spans="1:10">
      <c r="A8" s="2" t="str">
        <f>'Input Assumptions'!D48</f>
        <v>Instant Gas</v>
      </c>
      <c r="B8" s="60">
        <f>'Input Assumptions'!D30</f>
        <v>66.879220980384858</v>
      </c>
      <c r="C8" s="62">
        <f>Inflation!$AB$5/Inflation!$V$5</f>
        <v>1.1175999999999999</v>
      </c>
      <c r="D8" s="60">
        <f>B8*C8</f>
        <v>74.744217367678118</v>
      </c>
    </row>
    <row r="9" spans="1:10">
      <c r="A9" s="2" t="str">
        <f>'Input Assumptions'!D49</f>
        <v>Condensing Gas</v>
      </c>
      <c r="B9" s="60">
        <f>'Input Assumptions'!D31</f>
        <v>14.794662287278264</v>
      </c>
      <c r="C9" s="62">
        <f>Inflation!$AB$5/Inflation!$V$5</f>
        <v>1.1175999999999999</v>
      </c>
      <c r="D9" s="60">
        <f>B9*C9</f>
        <v>16.534514572262186</v>
      </c>
    </row>
    <row r="10" spans="1:10">
      <c r="A10" s="1"/>
      <c r="B10" s="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L51"/>
  <sheetViews>
    <sheetView workbookViewId="0">
      <selection activeCell="A2" sqref="A2"/>
    </sheetView>
  </sheetViews>
  <sheetFormatPr defaultColWidth="9.140625" defaultRowHeight="15.75"/>
  <cols>
    <col min="1" max="1" width="45.5703125" style="9" customWidth="1"/>
    <col min="2" max="2" width="19.7109375" style="9" customWidth="1"/>
    <col min="3" max="3" width="19" style="9" customWidth="1"/>
    <col min="4" max="4" width="16.140625" style="9" customWidth="1"/>
    <col min="5" max="5" width="15.7109375" style="9" customWidth="1"/>
    <col min="6" max="9" width="12.7109375" style="9" customWidth="1"/>
    <col min="10" max="10" width="14.140625" style="9" customWidth="1"/>
    <col min="11" max="11" width="9.140625" style="9"/>
    <col min="12" max="12" width="10.5703125" style="9" customWidth="1"/>
    <col min="13" max="13" width="12.28515625" style="9" customWidth="1"/>
    <col min="14" max="16384" width="9.140625" style="9"/>
  </cols>
  <sheetData>
    <row r="1" spans="1:10">
      <c r="A1" s="147" t="str">
        <f>CONCATENATE("Segment:  ",State,", Single Family, ", SpaceHeat, ", ", TankSize,", ", StartWH, " is starting water heater")</f>
        <v>Segment:  Idaho, Single Family, Gas FAF, &gt;55 Gallons, Electric Resistance is starting water heater</v>
      </c>
    </row>
    <row r="3" spans="1:10">
      <c r="A3" s="25" t="s">
        <v>66</v>
      </c>
      <c r="J3" s="44"/>
    </row>
    <row r="4" spans="1:10">
      <c r="A4" s="173" t="s">
        <v>87</v>
      </c>
      <c r="C4" s="12"/>
    </row>
    <row r="5" spans="1:10">
      <c r="A5" s="174" t="s">
        <v>86</v>
      </c>
    </row>
    <row r="6" spans="1:10">
      <c r="A6" s="76"/>
    </row>
    <row r="7" spans="1:10">
      <c r="A7" s="12" t="s">
        <v>133</v>
      </c>
    </row>
    <row r="8" spans="1:10">
      <c r="A8" s="65" t="s">
        <v>38</v>
      </c>
      <c r="B8" s="70" t="s">
        <v>37</v>
      </c>
      <c r="C8" s="106" t="s">
        <v>50</v>
      </c>
      <c r="D8" s="81"/>
      <c r="E8" s="81"/>
      <c r="F8" s="81"/>
      <c r="G8" s="92"/>
    </row>
    <row r="9" spans="1:10">
      <c r="A9" s="66" t="s">
        <v>16</v>
      </c>
      <c r="B9" s="71" t="s">
        <v>15</v>
      </c>
      <c r="C9" s="44"/>
      <c r="D9" s="44"/>
      <c r="E9" s="44"/>
      <c r="F9" s="44"/>
      <c r="G9" s="67"/>
    </row>
    <row r="10" spans="1:10">
      <c r="A10" s="66" t="s">
        <v>90</v>
      </c>
      <c r="B10" s="71" t="s">
        <v>7</v>
      </c>
      <c r="C10" s="44"/>
      <c r="D10" s="44"/>
      <c r="E10" s="44"/>
      <c r="F10" s="44"/>
      <c r="G10" s="67"/>
    </row>
    <row r="11" spans="1:10">
      <c r="A11" s="66" t="s">
        <v>70</v>
      </c>
      <c r="B11" s="71" t="s">
        <v>8</v>
      </c>
      <c r="C11" s="44"/>
      <c r="D11" s="44"/>
      <c r="E11" s="44"/>
      <c r="F11" s="44"/>
      <c r="G11" s="67"/>
    </row>
    <row r="12" spans="1:10">
      <c r="A12" s="66" t="s">
        <v>71</v>
      </c>
      <c r="B12" s="71" t="s">
        <v>165</v>
      </c>
      <c r="C12" s="44"/>
      <c r="E12" s="44"/>
      <c r="F12" s="44"/>
      <c r="G12" s="67"/>
    </row>
    <row r="13" spans="1:10">
      <c r="A13" s="66" t="s">
        <v>171</v>
      </c>
      <c r="B13" s="97">
        <v>7058</v>
      </c>
      <c r="C13" s="59" t="s">
        <v>119</v>
      </c>
      <c r="D13" s="44"/>
      <c r="E13" s="44"/>
      <c r="F13" s="44"/>
      <c r="G13" s="67"/>
    </row>
    <row r="14" spans="1:10">
      <c r="A14" s="66" t="s">
        <v>43</v>
      </c>
      <c r="B14" s="72">
        <v>14</v>
      </c>
      <c r="C14" s="44" t="s">
        <v>91</v>
      </c>
      <c r="D14" s="44"/>
      <c r="E14" s="44"/>
      <c r="F14" s="44"/>
      <c r="G14" s="67"/>
    </row>
    <row r="15" spans="1:10">
      <c r="A15" s="68" t="s">
        <v>49</v>
      </c>
      <c r="B15" s="98">
        <v>0.04</v>
      </c>
      <c r="C15" s="44" t="s">
        <v>67</v>
      </c>
      <c r="D15" s="44"/>
      <c r="E15" s="44"/>
      <c r="F15" s="44"/>
      <c r="G15" s="67"/>
    </row>
    <row r="16" spans="1:10">
      <c r="A16" s="68" t="s">
        <v>60</v>
      </c>
      <c r="B16" s="119">
        <v>0.1</v>
      </c>
      <c r="C16" s="44" t="s">
        <v>61</v>
      </c>
      <c r="D16" s="44"/>
      <c r="E16" s="44"/>
      <c r="F16" s="44"/>
      <c r="G16" s="67"/>
    </row>
    <row r="17" spans="1:12">
      <c r="A17" s="68" t="s">
        <v>120</v>
      </c>
      <c r="B17" s="72">
        <v>6470</v>
      </c>
      <c r="C17" s="44" t="s">
        <v>121</v>
      </c>
      <c r="D17" s="44"/>
      <c r="E17" s="44"/>
      <c r="F17" s="44"/>
      <c r="G17" s="67"/>
    </row>
    <row r="18" spans="1:12">
      <c r="A18" s="68" t="s">
        <v>144</v>
      </c>
      <c r="B18" s="72">
        <v>3.4119999999999999</v>
      </c>
      <c r="C18" s="44"/>
      <c r="D18" s="44"/>
      <c r="E18" s="44"/>
      <c r="F18" s="44"/>
      <c r="G18" s="67"/>
    </row>
    <row r="19" spans="1:12">
      <c r="A19" s="66" t="s">
        <v>39</v>
      </c>
      <c r="B19" s="72">
        <v>-2.2999999999999998</v>
      </c>
      <c r="C19" s="44"/>
      <c r="D19" s="44"/>
      <c r="E19" s="44"/>
      <c r="F19" s="44"/>
      <c r="G19" s="67"/>
    </row>
    <row r="20" spans="1:12">
      <c r="A20" s="156" t="s">
        <v>93</v>
      </c>
      <c r="B20" s="120" t="s">
        <v>94</v>
      </c>
      <c r="C20" s="41"/>
      <c r="D20" s="41"/>
      <c r="E20" s="41"/>
      <c r="F20" s="41"/>
      <c r="G20" s="69"/>
    </row>
    <row r="21" spans="1:12">
      <c r="A21" s="75" t="s">
        <v>72</v>
      </c>
    </row>
    <row r="22" spans="1:12">
      <c r="A22" s="28" t="s">
        <v>29</v>
      </c>
    </row>
    <row r="23" spans="1:12">
      <c r="A23" s="30" t="s">
        <v>28</v>
      </c>
    </row>
    <row r="25" spans="1:12">
      <c r="A25" s="12" t="str">
        <f>CONCATENATE("Energy Usage and O&amp;M Costs by Water Heater Type - ",State,", ", SpaceHeat,", Starting with ",StartWH," ",TankSize)</f>
        <v>Energy Usage and O&amp;M Costs by Water Heater Type - Idaho, Gas FAF, Starting with Electric Resistance &gt;55 Gallons</v>
      </c>
    </row>
    <row r="26" spans="1:12" ht="47.25">
      <c r="A26" s="88" t="s">
        <v>0</v>
      </c>
      <c r="B26" s="88" t="s">
        <v>132</v>
      </c>
      <c r="C26" s="88" t="s">
        <v>131</v>
      </c>
      <c r="D26" s="88" t="s">
        <v>130</v>
      </c>
      <c r="E26" s="88" t="s">
        <v>18</v>
      </c>
      <c r="F26" s="88" t="s">
        <v>50</v>
      </c>
      <c r="G26" s="81"/>
      <c r="H26" s="81"/>
      <c r="I26" s="81"/>
      <c r="J26" s="81"/>
      <c r="K26" s="81"/>
      <c r="L26" s="92"/>
    </row>
    <row r="27" spans="1:12">
      <c r="A27" s="2" t="s">
        <v>8</v>
      </c>
      <c r="B27" s="176">
        <v>3355.4343604471896</v>
      </c>
      <c r="C27" s="177">
        <v>0</v>
      </c>
      <c r="D27" s="178">
        <v>4.0147653217481896</v>
      </c>
      <c r="E27" s="179">
        <v>1</v>
      </c>
      <c r="F27" s="59" t="s">
        <v>59</v>
      </c>
      <c r="G27" s="44"/>
      <c r="H27" s="44"/>
      <c r="I27" s="44"/>
      <c r="J27" s="44"/>
      <c r="K27" s="44"/>
      <c r="L27" s="67"/>
    </row>
    <row r="28" spans="1:12">
      <c r="A28" s="2" t="s">
        <v>11</v>
      </c>
      <c r="B28" s="175">
        <v>1830.0598920349698</v>
      </c>
      <c r="C28" s="112">
        <v>0</v>
      </c>
      <c r="D28" s="113">
        <v>8.8912994251335906</v>
      </c>
      <c r="E28" s="114">
        <v>1</v>
      </c>
      <c r="F28" s="59" t="s">
        <v>59</v>
      </c>
      <c r="G28" s="44"/>
      <c r="H28" s="44"/>
      <c r="I28" s="44"/>
      <c r="J28" s="44"/>
      <c r="K28" s="44"/>
      <c r="L28" s="67"/>
    </row>
    <row r="29" spans="1:12">
      <c r="A29" s="2" t="s">
        <v>12</v>
      </c>
      <c r="B29" s="176">
        <v>0</v>
      </c>
      <c r="C29" s="177">
        <v>17.346578845220922</v>
      </c>
      <c r="D29" s="178">
        <v>12.364813725618941</v>
      </c>
      <c r="E29" s="179">
        <v>0</v>
      </c>
      <c r="F29" s="59" t="s">
        <v>59</v>
      </c>
      <c r="G29" s="44"/>
      <c r="H29" s="44"/>
      <c r="I29" s="44"/>
      <c r="J29" s="44"/>
      <c r="K29" s="44"/>
      <c r="L29" s="67"/>
    </row>
    <row r="30" spans="1:12">
      <c r="A30" s="2" t="s">
        <v>13</v>
      </c>
      <c r="B30" s="111">
        <v>0</v>
      </c>
      <c r="C30" s="112">
        <v>15.126217143193161</v>
      </c>
      <c r="D30" s="113">
        <v>66.879220980384858</v>
      </c>
      <c r="E30" s="114">
        <v>0</v>
      </c>
      <c r="F30" s="59" t="s">
        <v>59</v>
      </c>
      <c r="G30" s="44"/>
      <c r="H30" s="44"/>
      <c r="I30" s="44"/>
      <c r="J30" s="44"/>
      <c r="K30" s="44"/>
      <c r="L30" s="67"/>
    </row>
    <row r="31" spans="1:12">
      <c r="A31" s="78" t="s">
        <v>14</v>
      </c>
      <c r="B31" s="115">
        <v>0</v>
      </c>
      <c r="C31" s="116">
        <v>15.762693460305449</v>
      </c>
      <c r="D31" s="117">
        <v>14.794662287278264</v>
      </c>
      <c r="E31" s="118">
        <v>0</v>
      </c>
      <c r="F31" s="105" t="s">
        <v>59</v>
      </c>
      <c r="G31" s="41"/>
      <c r="H31" s="41"/>
      <c r="I31" s="41"/>
      <c r="J31" s="41"/>
      <c r="K31" s="41"/>
      <c r="L31" s="69"/>
    </row>
    <row r="32" spans="1:12">
      <c r="A32" s="180" t="s">
        <v>166</v>
      </c>
      <c r="B32" s="176"/>
      <c r="C32" s="177"/>
      <c r="D32" s="178"/>
      <c r="E32" s="179"/>
      <c r="F32" s="59"/>
      <c r="G32" s="44"/>
      <c r="H32" s="44"/>
      <c r="I32" s="44"/>
      <c r="J32" s="44"/>
      <c r="K32" s="44"/>
      <c r="L32" s="44"/>
    </row>
    <row r="33" spans="1:12">
      <c r="A33" s="77"/>
      <c r="B33" s="77"/>
      <c r="C33" s="77"/>
      <c r="D33" s="77"/>
      <c r="E33" s="77"/>
      <c r="F33" s="77"/>
      <c r="G33" s="77"/>
      <c r="H33" s="77"/>
      <c r="I33" s="77"/>
      <c r="J33" s="77"/>
      <c r="K33" s="58"/>
      <c r="L33" s="77"/>
    </row>
    <row r="34" spans="1:12">
      <c r="A34" s="12" t="str">
        <f>CONCATENATE("Capital Cost by Water Heater Type - ",State,", ", SpaceHeat,", Starting with ",StartWH," ",TankSize)</f>
        <v>Capital Cost by Water Heater Type - Idaho, Gas FAF, Starting with Electric Resistance &gt;55 Gallons</v>
      </c>
      <c r="B34" s="77"/>
      <c r="C34" s="77"/>
      <c r="D34" s="5"/>
      <c r="E34" s="2"/>
      <c r="F34" s="2"/>
      <c r="G34" s="77"/>
      <c r="H34" s="77"/>
      <c r="I34" s="77"/>
      <c r="J34" s="77"/>
      <c r="K34" s="77"/>
      <c r="L34" s="77"/>
    </row>
    <row r="35" spans="1:12" ht="31.5">
      <c r="A35" s="103" t="s">
        <v>0</v>
      </c>
      <c r="B35" s="103" t="s">
        <v>129</v>
      </c>
      <c r="C35" s="103" t="s">
        <v>64</v>
      </c>
      <c r="D35" s="104" t="s">
        <v>50</v>
      </c>
      <c r="E35" s="104"/>
      <c r="F35" s="104"/>
      <c r="G35" s="104"/>
      <c r="H35" s="104"/>
      <c r="I35" s="104"/>
      <c r="J35" s="104"/>
      <c r="K35" s="104"/>
      <c r="L35" s="104"/>
    </row>
    <row r="36" spans="1:12">
      <c r="A36" s="2" t="s">
        <v>8</v>
      </c>
      <c r="B36" s="107">
        <v>590</v>
      </c>
      <c r="C36" s="108" t="s">
        <v>54</v>
      </c>
      <c r="D36" s="54" t="s">
        <v>55</v>
      </c>
    </row>
    <row r="37" spans="1:12">
      <c r="A37" s="2" t="s">
        <v>11</v>
      </c>
      <c r="B37" s="107">
        <v>1621</v>
      </c>
      <c r="C37" s="108" t="s">
        <v>53</v>
      </c>
      <c r="D37" s="54" t="s">
        <v>56</v>
      </c>
    </row>
    <row r="38" spans="1:12">
      <c r="A38" s="2" t="s">
        <v>12</v>
      </c>
      <c r="B38" s="107">
        <v>785</v>
      </c>
      <c r="C38" s="108" t="s">
        <v>52</v>
      </c>
      <c r="D38" s="54" t="s">
        <v>57</v>
      </c>
    </row>
    <row r="39" spans="1:12">
      <c r="A39" s="2" t="s">
        <v>13</v>
      </c>
      <c r="B39" s="107">
        <v>3760</v>
      </c>
      <c r="C39" s="108" t="s">
        <v>52</v>
      </c>
      <c r="D39" s="54" t="s">
        <v>57</v>
      </c>
    </row>
    <row r="40" spans="1:12">
      <c r="A40" s="41" t="s">
        <v>14</v>
      </c>
      <c r="B40" s="109">
        <v>2084.4625924555244</v>
      </c>
      <c r="C40" s="110" t="s">
        <v>58</v>
      </c>
      <c r="D40" s="105" t="s">
        <v>51</v>
      </c>
      <c r="E40" s="41"/>
      <c r="F40" s="41"/>
      <c r="G40" s="41"/>
      <c r="H40" s="41"/>
      <c r="I40" s="41"/>
      <c r="J40" s="41"/>
      <c r="K40" s="41"/>
      <c r="L40" s="41"/>
    </row>
    <row r="41" spans="1:12">
      <c r="A41" s="44"/>
      <c r="B41" s="107"/>
      <c r="C41" s="142"/>
      <c r="D41" s="59"/>
      <c r="E41" s="44"/>
      <c r="F41" s="44"/>
      <c r="G41" s="44"/>
      <c r="H41" s="44"/>
      <c r="I41" s="44"/>
      <c r="J41" s="44"/>
      <c r="K41" s="44"/>
      <c r="L41" s="44"/>
    </row>
    <row r="43" spans="1:12" s="16" customFormat="1">
      <c r="A43" s="64" t="s">
        <v>27</v>
      </c>
    </row>
    <row r="44" spans="1:12" s="16" customFormat="1" ht="31.5">
      <c r="A44" s="140" t="s">
        <v>1</v>
      </c>
      <c r="B44" s="141" t="s">
        <v>2</v>
      </c>
      <c r="C44" s="141" t="s">
        <v>3</v>
      </c>
      <c r="D44" s="141" t="s">
        <v>4</v>
      </c>
      <c r="E44" s="141" t="s">
        <v>5</v>
      </c>
      <c r="F44" s="141" t="s">
        <v>6</v>
      </c>
      <c r="G44" s="141" t="s">
        <v>23</v>
      </c>
      <c r="H44" s="141" t="s">
        <v>24</v>
      </c>
    </row>
    <row r="45" spans="1:12" s="16" customFormat="1">
      <c r="A45" s="129">
        <v>5112121</v>
      </c>
      <c r="B45" s="100" t="s">
        <v>7</v>
      </c>
      <c r="C45" s="100" t="s">
        <v>8</v>
      </c>
      <c r="D45" s="100" t="s">
        <v>8</v>
      </c>
      <c r="E45" s="100" t="s">
        <v>9</v>
      </c>
      <c r="F45" s="100" t="s">
        <v>10</v>
      </c>
      <c r="G45" s="100" t="s">
        <v>25</v>
      </c>
      <c r="H45" s="100" t="s">
        <v>26</v>
      </c>
    </row>
    <row r="46" spans="1:12" s="16" customFormat="1">
      <c r="A46" s="129">
        <v>5112121</v>
      </c>
      <c r="B46" s="100" t="s">
        <v>7</v>
      </c>
      <c r="C46" s="100" t="s">
        <v>8</v>
      </c>
      <c r="D46" s="100" t="s">
        <v>11</v>
      </c>
      <c r="E46" s="100" t="s">
        <v>9</v>
      </c>
      <c r="F46" s="100" t="s">
        <v>10</v>
      </c>
      <c r="G46" s="100" t="s">
        <v>25</v>
      </c>
      <c r="H46" s="100" t="s">
        <v>26</v>
      </c>
    </row>
    <row r="47" spans="1:12" s="16" customFormat="1">
      <c r="A47" s="129">
        <v>5112121</v>
      </c>
      <c r="B47" s="100" t="s">
        <v>7</v>
      </c>
      <c r="C47" s="100" t="s">
        <v>8</v>
      </c>
      <c r="D47" s="100" t="s">
        <v>12</v>
      </c>
      <c r="E47" s="100" t="s">
        <v>9</v>
      </c>
      <c r="F47" s="100" t="s">
        <v>10</v>
      </c>
      <c r="G47" s="100" t="s">
        <v>25</v>
      </c>
      <c r="H47" s="100" t="s">
        <v>26</v>
      </c>
    </row>
    <row r="48" spans="1:12" s="16" customFormat="1">
      <c r="A48" s="129">
        <v>5112121</v>
      </c>
      <c r="B48" s="100" t="s">
        <v>7</v>
      </c>
      <c r="C48" s="100" t="s">
        <v>8</v>
      </c>
      <c r="D48" s="100" t="s">
        <v>13</v>
      </c>
      <c r="E48" s="100" t="s">
        <v>9</v>
      </c>
      <c r="F48" s="100" t="s">
        <v>10</v>
      </c>
      <c r="G48" s="100" t="s">
        <v>25</v>
      </c>
      <c r="H48" s="100" t="s">
        <v>26</v>
      </c>
    </row>
    <row r="49" spans="1:8" s="16" customFormat="1">
      <c r="A49" s="129">
        <v>5112121</v>
      </c>
      <c r="B49" s="100" t="s">
        <v>7</v>
      </c>
      <c r="C49" s="100" t="s">
        <v>8</v>
      </c>
      <c r="D49" s="100" t="s">
        <v>14</v>
      </c>
      <c r="E49" s="100" t="s">
        <v>9</v>
      </c>
      <c r="F49" s="100" t="s">
        <v>10</v>
      </c>
      <c r="G49" s="100" t="s">
        <v>25</v>
      </c>
      <c r="H49" s="100" t="s">
        <v>26</v>
      </c>
    </row>
    <row r="50" spans="1:8" s="16" customFormat="1">
      <c r="A50" s="73" t="s">
        <v>30</v>
      </c>
    </row>
    <row r="51" spans="1:8" s="16" customFormat="1"/>
  </sheetData>
  <conditionalFormatting sqref="B28">
    <cfRule type="expression" dxfId="23" priority="22">
      <formula>AND($D27="Electric Resistance",$H27="MF")</formula>
    </cfRule>
    <cfRule type="expression" dxfId="22" priority="23">
      <formula>$D28="HPWH"</formula>
    </cfRule>
    <cfRule type="expression" dxfId="21" priority="24">
      <formula>AND($D28="Electric Resistance",$H28="SF")</formula>
    </cfRule>
  </conditionalFormatting>
  <conditionalFormatting sqref="C30">
    <cfRule type="expression" dxfId="20" priority="19">
      <formula>AND($D29="Electric Resistance",$H29="MF")</formula>
    </cfRule>
    <cfRule type="expression" dxfId="19" priority="20">
      <formula>$D30="HPWH"</formula>
    </cfRule>
    <cfRule type="expression" dxfId="18" priority="21">
      <formula>AND($D30="Electric Resistance",$H30="SF")</formula>
    </cfRule>
  </conditionalFormatting>
  <conditionalFormatting sqref="C31">
    <cfRule type="expression" dxfId="17" priority="16">
      <formula>AND($D30="Electric Resistance",$H30="MF")</formula>
    </cfRule>
    <cfRule type="expression" dxfId="16" priority="17">
      <formula>$D31="HPWH"</formula>
    </cfRule>
    <cfRule type="expression" dxfId="15" priority="18">
      <formula>AND($D31="Electric Resistance",$H31="SF")</formula>
    </cfRule>
  </conditionalFormatting>
  <conditionalFormatting sqref="C28">
    <cfRule type="expression" dxfId="14" priority="13">
      <formula>AND($D27="Electric Resistance",$H27="MF")</formula>
    </cfRule>
    <cfRule type="expression" dxfId="13" priority="14">
      <formula>$D28="HPWH"</formula>
    </cfRule>
    <cfRule type="expression" dxfId="12" priority="15">
      <formula>AND($D28="Electric Resistance",$H28="SF")</formula>
    </cfRule>
  </conditionalFormatting>
  <conditionalFormatting sqref="D28">
    <cfRule type="expression" dxfId="11" priority="10">
      <formula>AND($D27="Electric Resistance",$H27="MF")</formula>
    </cfRule>
    <cfRule type="expression" dxfId="10" priority="11">
      <formula>$D28="HPWH"</formula>
    </cfRule>
    <cfRule type="expression" dxfId="9" priority="12">
      <formula>AND($D28="Electric Resistance",$H28="SF")</formula>
    </cfRule>
  </conditionalFormatting>
  <conditionalFormatting sqref="D31">
    <cfRule type="expression" dxfId="8" priority="7">
      <formula>AND($D30="Electric Resistance",$H30="MF")</formula>
    </cfRule>
    <cfRule type="expression" dxfId="7" priority="8">
      <formula>$D31="HPWH"</formula>
    </cfRule>
    <cfRule type="expression" dxfId="6" priority="9">
      <formula>AND($D31="Electric Resistance",$H31="SF")</formula>
    </cfRule>
  </conditionalFormatting>
  <conditionalFormatting sqref="D30">
    <cfRule type="expression" dxfId="5" priority="4">
      <formula>AND($D29="Electric Resistance",$H29="MF")</formula>
    </cfRule>
    <cfRule type="expression" dxfId="4" priority="5">
      <formula>$D30="HPWH"</formula>
    </cfRule>
    <cfRule type="expression" dxfId="3" priority="6">
      <formula>AND($D30="Electric Resistance",$H30="SF")</formula>
    </cfRule>
  </conditionalFormatting>
  <conditionalFormatting sqref="B40">
    <cfRule type="expression" dxfId="2" priority="1">
      <formula>AND($D39="Electric Resistance",$H39="MF")</formula>
    </cfRule>
    <cfRule type="expression" dxfId="1" priority="2">
      <formula>$D40="HPWH"</formula>
    </cfRule>
    <cfRule type="expression" dxfId="0" priority="3">
      <formula>AND($D40="Electric Resistance",$H40="SF")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W31"/>
  <sheetViews>
    <sheetView workbookViewId="0">
      <selection activeCell="A7" sqref="A7"/>
    </sheetView>
  </sheetViews>
  <sheetFormatPr defaultRowHeight="15"/>
  <cols>
    <col min="1" max="1" width="22.85546875" customWidth="1"/>
    <col min="2" max="2" width="12.28515625" customWidth="1"/>
    <col min="3" max="9" width="9.7109375" customWidth="1"/>
  </cols>
  <sheetData>
    <row r="1" spans="1:23" ht="15.75">
      <c r="A1" s="147" t="str">
        <f>CONCATENATE("Segment:  ",State,", Single Family, ", SpaceHeat, ", ", TankSize,", ", StartWH, " is starting water heater")</f>
        <v>Segment:  Idaho, Single Family, Gas FAF, &gt;55 Gallons, Electric Resistance is starting water heater</v>
      </c>
    </row>
    <row r="3" spans="1:23" s="9" customFormat="1" ht="22.5" customHeight="1">
      <c r="A3" s="25" t="s">
        <v>68</v>
      </c>
    </row>
    <row r="4" spans="1:23" s="9" customFormat="1" ht="15.75">
      <c r="A4" s="28" t="s">
        <v>35</v>
      </c>
    </row>
    <row r="5" spans="1:23" s="9" customFormat="1" ht="15.75">
      <c r="A5" s="29" t="s">
        <v>32</v>
      </c>
    </row>
    <row r="6" spans="1:23" s="9" customFormat="1" ht="15.75">
      <c r="A6" s="29" t="s">
        <v>33</v>
      </c>
    </row>
    <row r="7" spans="1:23" s="9" customFormat="1" ht="15.75">
      <c r="A7" s="125"/>
    </row>
    <row r="8" spans="1:23" s="9" customFormat="1" ht="15.75">
      <c r="A8" s="126" t="str">
        <f>CONCATENATE($A$3," - ",'Input Assumptions'!$B$9," ", 'Input Assumptions'!$B$10," Space Heat, ", 'Input Assumptions'!$B$11," ", 'Input Assumptions'!$B$12)</f>
        <v>Non-Price Factor Assumptions ($/$) - Idaho Gas FAF Space Heat, Electric Resistance &gt;55 Gallons</v>
      </c>
    </row>
    <row r="9" spans="1:23" s="23" customFormat="1" ht="15.75">
      <c r="A9" s="143" t="str">
        <f>+'Device Energy Use'!A4</f>
        <v>Water Heat Ending</v>
      </c>
      <c r="B9" s="144">
        <v>2014</v>
      </c>
      <c r="C9" s="144">
        <v>2015</v>
      </c>
      <c r="D9" s="144">
        <v>2016</v>
      </c>
      <c r="E9" s="144">
        <v>2017</v>
      </c>
      <c r="F9" s="144">
        <v>2018</v>
      </c>
      <c r="G9" s="144">
        <v>2019</v>
      </c>
      <c r="H9" s="144">
        <v>2020</v>
      </c>
      <c r="I9" s="144">
        <v>2021</v>
      </c>
      <c r="J9" s="144">
        <v>2022</v>
      </c>
      <c r="K9" s="144">
        <v>2023</v>
      </c>
      <c r="L9" s="144">
        <v>2024</v>
      </c>
      <c r="M9" s="144">
        <v>2025</v>
      </c>
      <c r="N9" s="144">
        <v>2026</v>
      </c>
      <c r="O9" s="144">
        <v>2027</v>
      </c>
      <c r="P9" s="144">
        <v>2028</v>
      </c>
      <c r="Q9" s="144">
        <v>2029</v>
      </c>
      <c r="R9" s="144">
        <v>2030</v>
      </c>
      <c r="S9" s="144">
        <v>2031</v>
      </c>
      <c r="T9" s="144">
        <v>2032</v>
      </c>
      <c r="U9" s="144">
        <v>2033</v>
      </c>
      <c r="V9" s="144">
        <v>2034</v>
      </c>
      <c r="W9" s="144">
        <v>2035</v>
      </c>
    </row>
    <row r="10" spans="1:23" s="9" customFormat="1" ht="15.75">
      <c r="A10" s="9" t="str">
        <f>+'Device Energy Use'!A5</f>
        <v>Electric Resistance</v>
      </c>
      <c r="B10" s="181">
        <v>10</v>
      </c>
      <c r="C10" s="181">
        <v>-10</v>
      </c>
      <c r="D10" s="181">
        <f>C10</f>
        <v>-10</v>
      </c>
      <c r="E10" s="181">
        <f t="shared" ref="E10:W10" si="0">D10</f>
        <v>-10</v>
      </c>
      <c r="F10" s="181">
        <f t="shared" si="0"/>
        <v>-10</v>
      </c>
      <c r="G10" s="181">
        <f t="shared" si="0"/>
        <v>-10</v>
      </c>
      <c r="H10" s="181">
        <f t="shared" si="0"/>
        <v>-10</v>
      </c>
      <c r="I10" s="181">
        <f t="shared" si="0"/>
        <v>-10</v>
      </c>
      <c r="J10" s="181">
        <f t="shared" si="0"/>
        <v>-10</v>
      </c>
      <c r="K10" s="181">
        <f t="shared" si="0"/>
        <v>-10</v>
      </c>
      <c r="L10" s="181">
        <f t="shared" si="0"/>
        <v>-10</v>
      </c>
      <c r="M10" s="181">
        <f t="shared" si="0"/>
        <v>-10</v>
      </c>
      <c r="N10" s="181">
        <f t="shared" si="0"/>
        <v>-10</v>
      </c>
      <c r="O10" s="181">
        <f t="shared" si="0"/>
        <v>-10</v>
      </c>
      <c r="P10" s="181">
        <f t="shared" si="0"/>
        <v>-10</v>
      </c>
      <c r="Q10" s="181">
        <f t="shared" si="0"/>
        <v>-10</v>
      </c>
      <c r="R10" s="181">
        <f t="shared" si="0"/>
        <v>-10</v>
      </c>
      <c r="S10" s="181">
        <f t="shared" si="0"/>
        <v>-10</v>
      </c>
      <c r="T10" s="181">
        <f t="shared" si="0"/>
        <v>-10</v>
      </c>
      <c r="U10" s="181">
        <f t="shared" si="0"/>
        <v>-10</v>
      </c>
      <c r="V10" s="181">
        <f t="shared" si="0"/>
        <v>-10</v>
      </c>
      <c r="W10" s="181">
        <f t="shared" si="0"/>
        <v>-10</v>
      </c>
    </row>
    <row r="11" spans="1:23" s="9" customFormat="1" ht="15.75">
      <c r="A11" s="9" t="str">
        <f>+'Device Energy Use'!A6</f>
        <v>HPWH</v>
      </c>
      <c r="B11" s="181">
        <v>0</v>
      </c>
      <c r="C11" s="181">
        <f t="shared" ref="C11:W11" si="1">B11*$I$16</f>
        <v>0</v>
      </c>
      <c r="D11" s="181">
        <f t="shared" si="1"/>
        <v>0</v>
      </c>
      <c r="E11" s="181">
        <f t="shared" si="1"/>
        <v>0</v>
      </c>
      <c r="F11" s="181">
        <f t="shared" si="1"/>
        <v>0</v>
      </c>
      <c r="G11" s="181">
        <f t="shared" si="1"/>
        <v>0</v>
      </c>
      <c r="H11" s="181">
        <f t="shared" si="1"/>
        <v>0</v>
      </c>
      <c r="I11" s="181">
        <f t="shared" si="1"/>
        <v>0</v>
      </c>
      <c r="J11" s="181">
        <f t="shared" si="1"/>
        <v>0</v>
      </c>
      <c r="K11" s="181">
        <f t="shared" si="1"/>
        <v>0</v>
      </c>
      <c r="L11" s="181">
        <f t="shared" si="1"/>
        <v>0</v>
      </c>
      <c r="M11" s="181">
        <f t="shared" si="1"/>
        <v>0</v>
      </c>
      <c r="N11" s="181">
        <f t="shared" si="1"/>
        <v>0</v>
      </c>
      <c r="O11" s="181">
        <f t="shared" si="1"/>
        <v>0</v>
      </c>
      <c r="P11" s="181">
        <f t="shared" si="1"/>
        <v>0</v>
      </c>
      <c r="Q11" s="181">
        <f t="shared" si="1"/>
        <v>0</v>
      </c>
      <c r="R11" s="181">
        <f t="shared" si="1"/>
        <v>0</v>
      </c>
      <c r="S11" s="181">
        <f t="shared" si="1"/>
        <v>0</v>
      </c>
      <c r="T11" s="181">
        <f t="shared" si="1"/>
        <v>0</v>
      </c>
      <c r="U11" s="181">
        <f t="shared" si="1"/>
        <v>0</v>
      </c>
      <c r="V11" s="181">
        <f t="shared" si="1"/>
        <v>0</v>
      </c>
      <c r="W11" s="181">
        <f t="shared" si="1"/>
        <v>0</v>
      </c>
    </row>
    <row r="12" spans="1:23" s="9" customFormat="1" ht="15.75">
      <c r="A12" s="9" t="str">
        <f>+'Device Energy Use'!A7</f>
        <v>Gas Tank</v>
      </c>
      <c r="B12" s="181">
        <v>-10</v>
      </c>
      <c r="C12" s="181">
        <f t="shared" ref="C12:W12" si="2">B12</f>
        <v>-10</v>
      </c>
      <c r="D12" s="181">
        <f t="shared" si="2"/>
        <v>-10</v>
      </c>
      <c r="E12" s="181">
        <f t="shared" si="2"/>
        <v>-10</v>
      </c>
      <c r="F12" s="181">
        <f t="shared" si="2"/>
        <v>-10</v>
      </c>
      <c r="G12" s="181">
        <f t="shared" si="2"/>
        <v>-10</v>
      </c>
      <c r="H12" s="181">
        <f t="shared" si="2"/>
        <v>-10</v>
      </c>
      <c r="I12" s="181">
        <f t="shared" si="2"/>
        <v>-10</v>
      </c>
      <c r="J12" s="181">
        <f t="shared" si="2"/>
        <v>-10</v>
      </c>
      <c r="K12" s="181">
        <f t="shared" si="2"/>
        <v>-10</v>
      </c>
      <c r="L12" s="181">
        <f t="shared" si="2"/>
        <v>-10</v>
      </c>
      <c r="M12" s="181">
        <f t="shared" si="2"/>
        <v>-10</v>
      </c>
      <c r="N12" s="181">
        <f t="shared" si="2"/>
        <v>-10</v>
      </c>
      <c r="O12" s="181">
        <f t="shared" si="2"/>
        <v>-10</v>
      </c>
      <c r="P12" s="181">
        <f t="shared" si="2"/>
        <v>-10</v>
      </c>
      <c r="Q12" s="181">
        <f t="shared" si="2"/>
        <v>-10</v>
      </c>
      <c r="R12" s="181">
        <f t="shared" si="2"/>
        <v>-10</v>
      </c>
      <c r="S12" s="181">
        <f t="shared" si="2"/>
        <v>-10</v>
      </c>
      <c r="T12" s="181">
        <f t="shared" si="2"/>
        <v>-10</v>
      </c>
      <c r="U12" s="181">
        <f t="shared" si="2"/>
        <v>-10</v>
      </c>
      <c r="V12" s="181">
        <f t="shared" si="2"/>
        <v>-10</v>
      </c>
      <c r="W12" s="181">
        <f t="shared" si="2"/>
        <v>-10</v>
      </c>
    </row>
    <row r="13" spans="1:23" s="9" customFormat="1" ht="15.75">
      <c r="A13" s="9" t="str">
        <f>+'Device Energy Use'!A8</f>
        <v>Instant Gas</v>
      </c>
      <c r="B13" s="181">
        <v>0</v>
      </c>
      <c r="C13" s="181">
        <f t="shared" ref="C13:W13" si="3">B13*$I$16</f>
        <v>0</v>
      </c>
      <c r="D13" s="181">
        <f t="shared" si="3"/>
        <v>0</v>
      </c>
      <c r="E13" s="181">
        <f t="shared" si="3"/>
        <v>0</v>
      </c>
      <c r="F13" s="181">
        <f t="shared" si="3"/>
        <v>0</v>
      </c>
      <c r="G13" s="181">
        <f t="shared" si="3"/>
        <v>0</v>
      </c>
      <c r="H13" s="181">
        <f t="shared" si="3"/>
        <v>0</v>
      </c>
      <c r="I13" s="181">
        <f t="shared" si="3"/>
        <v>0</v>
      </c>
      <c r="J13" s="181">
        <f t="shared" si="3"/>
        <v>0</v>
      </c>
      <c r="K13" s="181">
        <f t="shared" si="3"/>
        <v>0</v>
      </c>
      <c r="L13" s="181">
        <f t="shared" si="3"/>
        <v>0</v>
      </c>
      <c r="M13" s="181">
        <f t="shared" si="3"/>
        <v>0</v>
      </c>
      <c r="N13" s="181">
        <f t="shared" si="3"/>
        <v>0</v>
      </c>
      <c r="O13" s="181">
        <f t="shared" si="3"/>
        <v>0</v>
      </c>
      <c r="P13" s="181">
        <f t="shared" si="3"/>
        <v>0</v>
      </c>
      <c r="Q13" s="181">
        <f t="shared" si="3"/>
        <v>0</v>
      </c>
      <c r="R13" s="181">
        <f t="shared" si="3"/>
        <v>0</v>
      </c>
      <c r="S13" s="181">
        <f t="shared" si="3"/>
        <v>0</v>
      </c>
      <c r="T13" s="181">
        <f t="shared" si="3"/>
        <v>0</v>
      </c>
      <c r="U13" s="181">
        <f t="shared" si="3"/>
        <v>0</v>
      </c>
      <c r="V13" s="181">
        <f t="shared" si="3"/>
        <v>0</v>
      </c>
      <c r="W13" s="181">
        <f t="shared" si="3"/>
        <v>0</v>
      </c>
    </row>
    <row r="14" spans="1:23" s="9" customFormat="1" ht="15.75">
      <c r="A14" s="9" t="str">
        <f>+'Device Energy Use'!A9</f>
        <v>Condensing Gas</v>
      </c>
      <c r="B14" s="181">
        <v>0</v>
      </c>
      <c r="C14" s="181">
        <f t="shared" ref="C14:W14" si="4">B14*$I$16</f>
        <v>0</v>
      </c>
      <c r="D14" s="181">
        <f t="shared" si="4"/>
        <v>0</v>
      </c>
      <c r="E14" s="181">
        <f t="shared" si="4"/>
        <v>0</v>
      </c>
      <c r="F14" s="181">
        <f t="shared" si="4"/>
        <v>0</v>
      </c>
      <c r="G14" s="181">
        <f t="shared" si="4"/>
        <v>0</v>
      </c>
      <c r="H14" s="181">
        <f t="shared" si="4"/>
        <v>0</v>
      </c>
      <c r="I14" s="181">
        <f t="shared" si="4"/>
        <v>0</v>
      </c>
      <c r="J14" s="181">
        <f t="shared" si="4"/>
        <v>0</v>
      </c>
      <c r="K14" s="181">
        <f t="shared" si="4"/>
        <v>0</v>
      </c>
      <c r="L14" s="181">
        <f t="shared" si="4"/>
        <v>0</v>
      </c>
      <c r="M14" s="181">
        <f t="shared" si="4"/>
        <v>0</v>
      </c>
      <c r="N14" s="181">
        <f t="shared" si="4"/>
        <v>0</v>
      </c>
      <c r="O14" s="181">
        <f t="shared" si="4"/>
        <v>0</v>
      </c>
      <c r="P14" s="181">
        <f t="shared" si="4"/>
        <v>0</v>
      </c>
      <c r="Q14" s="181">
        <f t="shared" si="4"/>
        <v>0</v>
      </c>
      <c r="R14" s="181">
        <f t="shared" si="4"/>
        <v>0</v>
      </c>
      <c r="S14" s="181">
        <f t="shared" si="4"/>
        <v>0</v>
      </c>
      <c r="T14" s="181">
        <f t="shared" si="4"/>
        <v>0</v>
      </c>
      <c r="U14" s="181">
        <f t="shared" si="4"/>
        <v>0</v>
      </c>
      <c r="V14" s="181">
        <f t="shared" si="4"/>
        <v>0</v>
      </c>
      <c r="W14" s="181">
        <f t="shared" si="4"/>
        <v>0</v>
      </c>
    </row>
    <row r="15" spans="1:23" s="9" customFormat="1" ht="15.75"/>
    <row r="16" spans="1:23" s="9" customFormat="1" ht="15.75">
      <c r="A16" s="36" t="s">
        <v>170</v>
      </c>
      <c r="I16" s="35">
        <v>1</v>
      </c>
    </row>
    <row r="17" spans="1:23" s="9" customFormat="1" ht="15.75">
      <c r="A17" s="31"/>
    </row>
    <row r="18" spans="1:23" s="9" customFormat="1" ht="15.75">
      <c r="A18" s="126" t="str">
        <f>CONCATENATE("Impact of Non-Price Factors on Market Share (%)"," - ",'Input Assumptions'!$B$9," ", 'Input Assumptions'!$B$10," Space Heat, ", 'Input Assumptions'!$B$11," ", 'Input Assumptions'!$B$12)</f>
        <v>Impact of Non-Price Factors on Market Share (%) - Idaho Gas FAF Space Heat, Electric Resistance &gt;55 Gallons</v>
      </c>
    </row>
    <row r="19" spans="1:23" s="9" customFormat="1" ht="15.75">
      <c r="A19" s="143" t="str">
        <f t="shared" ref="A19:W19" si="5">A9</f>
        <v>Water Heat Ending</v>
      </c>
      <c r="B19" s="144">
        <f t="shared" si="5"/>
        <v>2014</v>
      </c>
      <c r="C19" s="144">
        <f t="shared" si="5"/>
        <v>2015</v>
      </c>
      <c r="D19" s="144">
        <f t="shared" si="5"/>
        <v>2016</v>
      </c>
      <c r="E19" s="144">
        <f t="shared" si="5"/>
        <v>2017</v>
      </c>
      <c r="F19" s="144">
        <f t="shared" si="5"/>
        <v>2018</v>
      </c>
      <c r="G19" s="144">
        <f t="shared" si="5"/>
        <v>2019</v>
      </c>
      <c r="H19" s="144">
        <f t="shared" si="5"/>
        <v>2020</v>
      </c>
      <c r="I19" s="144">
        <f t="shared" si="5"/>
        <v>2021</v>
      </c>
      <c r="J19" s="144">
        <f t="shared" si="5"/>
        <v>2022</v>
      </c>
      <c r="K19" s="144">
        <f t="shared" si="5"/>
        <v>2023</v>
      </c>
      <c r="L19" s="144">
        <f t="shared" si="5"/>
        <v>2024</v>
      </c>
      <c r="M19" s="144">
        <f t="shared" si="5"/>
        <v>2025</v>
      </c>
      <c r="N19" s="144">
        <f t="shared" si="5"/>
        <v>2026</v>
      </c>
      <c r="O19" s="144">
        <f t="shared" si="5"/>
        <v>2027</v>
      </c>
      <c r="P19" s="144">
        <f t="shared" si="5"/>
        <v>2028</v>
      </c>
      <c r="Q19" s="144">
        <f t="shared" si="5"/>
        <v>2029</v>
      </c>
      <c r="R19" s="144">
        <f t="shared" si="5"/>
        <v>2030</v>
      </c>
      <c r="S19" s="144">
        <f t="shared" si="5"/>
        <v>2031</v>
      </c>
      <c r="T19" s="144">
        <f t="shared" si="5"/>
        <v>2032</v>
      </c>
      <c r="U19" s="144">
        <f t="shared" si="5"/>
        <v>2033</v>
      </c>
      <c r="V19" s="144">
        <f t="shared" si="5"/>
        <v>2034</v>
      </c>
      <c r="W19" s="144">
        <f t="shared" si="5"/>
        <v>2035</v>
      </c>
    </row>
    <row r="20" spans="1:23" s="9" customFormat="1" ht="15.75">
      <c r="A20" s="10" t="str">
        <f>A10</f>
        <v>Electric Resistance</v>
      </c>
      <c r="B20" s="127">
        <f>EXP(B10)</f>
        <v>22026.465794806718</v>
      </c>
      <c r="C20" s="127">
        <f>EXP(C10)</f>
        <v>4.5399929762484854E-5</v>
      </c>
      <c r="D20" s="127">
        <f t="shared" ref="D20:W24" si="6">EXP(D10)</f>
        <v>4.5399929762484854E-5</v>
      </c>
      <c r="E20" s="127">
        <f t="shared" si="6"/>
        <v>4.5399929762484854E-5</v>
      </c>
      <c r="F20" s="127">
        <f t="shared" si="6"/>
        <v>4.5399929762484854E-5</v>
      </c>
      <c r="G20" s="127">
        <f t="shared" si="6"/>
        <v>4.5399929762484854E-5</v>
      </c>
      <c r="H20" s="127">
        <f t="shared" si="6"/>
        <v>4.5399929762484854E-5</v>
      </c>
      <c r="I20" s="127">
        <f t="shared" si="6"/>
        <v>4.5399929762484854E-5</v>
      </c>
      <c r="J20" s="127">
        <f t="shared" si="6"/>
        <v>4.5399929762484854E-5</v>
      </c>
      <c r="K20" s="127">
        <f t="shared" si="6"/>
        <v>4.5399929762484854E-5</v>
      </c>
      <c r="L20" s="127">
        <f t="shared" si="6"/>
        <v>4.5399929762484854E-5</v>
      </c>
      <c r="M20" s="127">
        <f t="shared" si="6"/>
        <v>4.5399929762484854E-5</v>
      </c>
      <c r="N20" s="127">
        <f t="shared" si="6"/>
        <v>4.5399929762484854E-5</v>
      </c>
      <c r="O20" s="127">
        <f t="shared" si="6"/>
        <v>4.5399929762484854E-5</v>
      </c>
      <c r="P20" s="127">
        <f t="shared" si="6"/>
        <v>4.5399929762484854E-5</v>
      </c>
      <c r="Q20" s="127">
        <f t="shared" si="6"/>
        <v>4.5399929762484854E-5</v>
      </c>
      <c r="R20" s="127">
        <f t="shared" si="6"/>
        <v>4.5399929762484854E-5</v>
      </c>
      <c r="S20" s="127">
        <f t="shared" si="6"/>
        <v>4.5399929762484854E-5</v>
      </c>
      <c r="T20" s="127">
        <f t="shared" si="6"/>
        <v>4.5399929762484854E-5</v>
      </c>
      <c r="U20" s="127">
        <f t="shared" si="6"/>
        <v>4.5399929762484854E-5</v>
      </c>
      <c r="V20" s="127">
        <f t="shared" si="6"/>
        <v>4.5399929762484854E-5</v>
      </c>
      <c r="W20" s="127">
        <f t="shared" si="6"/>
        <v>4.5399929762484854E-5</v>
      </c>
    </row>
    <row r="21" spans="1:23" s="9" customFormat="1" ht="15.75">
      <c r="A21" s="10" t="str">
        <f>A11</f>
        <v>HPWH</v>
      </c>
      <c r="B21" s="127">
        <f>EXP(B11)</f>
        <v>1</v>
      </c>
      <c r="C21" s="127">
        <f t="shared" ref="C21:R24" si="7">EXP(C11)</f>
        <v>1</v>
      </c>
      <c r="D21" s="127">
        <f t="shared" si="7"/>
        <v>1</v>
      </c>
      <c r="E21" s="127">
        <f t="shared" si="7"/>
        <v>1</v>
      </c>
      <c r="F21" s="127">
        <f t="shared" si="7"/>
        <v>1</v>
      </c>
      <c r="G21" s="127">
        <f t="shared" si="7"/>
        <v>1</v>
      </c>
      <c r="H21" s="127">
        <f t="shared" si="7"/>
        <v>1</v>
      </c>
      <c r="I21" s="127">
        <f t="shared" si="7"/>
        <v>1</v>
      </c>
      <c r="J21" s="127">
        <f t="shared" si="7"/>
        <v>1</v>
      </c>
      <c r="K21" s="127">
        <f t="shared" si="7"/>
        <v>1</v>
      </c>
      <c r="L21" s="127">
        <f t="shared" si="7"/>
        <v>1</v>
      </c>
      <c r="M21" s="127">
        <f t="shared" si="7"/>
        <v>1</v>
      </c>
      <c r="N21" s="127">
        <f t="shared" si="7"/>
        <v>1</v>
      </c>
      <c r="O21" s="127">
        <f t="shared" si="7"/>
        <v>1</v>
      </c>
      <c r="P21" s="127">
        <f t="shared" si="7"/>
        <v>1</v>
      </c>
      <c r="Q21" s="127">
        <f t="shared" si="7"/>
        <v>1</v>
      </c>
      <c r="R21" s="127">
        <f t="shared" si="7"/>
        <v>1</v>
      </c>
      <c r="S21" s="127">
        <f t="shared" si="6"/>
        <v>1</v>
      </c>
      <c r="T21" s="127">
        <f t="shared" si="6"/>
        <v>1</v>
      </c>
      <c r="U21" s="127">
        <f t="shared" si="6"/>
        <v>1</v>
      </c>
      <c r="V21" s="127">
        <f t="shared" si="6"/>
        <v>1</v>
      </c>
      <c r="W21" s="127">
        <f t="shared" si="6"/>
        <v>1</v>
      </c>
    </row>
    <row r="22" spans="1:23" ht="15.75">
      <c r="A22" s="10" t="str">
        <f>A12</f>
        <v>Gas Tank</v>
      </c>
      <c r="B22" s="127">
        <f t="shared" ref="B22:B24" si="8">EXP(B12)</f>
        <v>4.5399929762484854E-5</v>
      </c>
      <c r="C22" s="127">
        <f t="shared" si="7"/>
        <v>4.5399929762484854E-5</v>
      </c>
      <c r="D22" s="127">
        <f t="shared" si="6"/>
        <v>4.5399929762484854E-5</v>
      </c>
      <c r="E22" s="127">
        <f t="shared" si="6"/>
        <v>4.5399929762484854E-5</v>
      </c>
      <c r="F22" s="127">
        <f t="shared" si="6"/>
        <v>4.5399929762484854E-5</v>
      </c>
      <c r="G22" s="127">
        <f t="shared" si="6"/>
        <v>4.5399929762484854E-5</v>
      </c>
      <c r="H22" s="127">
        <f t="shared" si="6"/>
        <v>4.5399929762484854E-5</v>
      </c>
      <c r="I22" s="127">
        <f t="shared" si="6"/>
        <v>4.5399929762484854E-5</v>
      </c>
      <c r="J22" s="127">
        <f t="shared" si="6"/>
        <v>4.5399929762484854E-5</v>
      </c>
      <c r="K22" s="127">
        <f t="shared" si="6"/>
        <v>4.5399929762484854E-5</v>
      </c>
      <c r="L22" s="127">
        <f t="shared" si="6"/>
        <v>4.5399929762484854E-5</v>
      </c>
      <c r="M22" s="127">
        <f t="shared" si="6"/>
        <v>4.5399929762484854E-5</v>
      </c>
      <c r="N22" s="127">
        <f t="shared" si="6"/>
        <v>4.5399929762484854E-5</v>
      </c>
      <c r="O22" s="127">
        <f t="shared" si="6"/>
        <v>4.5399929762484854E-5</v>
      </c>
      <c r="P22" s="127">
        <f t="shared" si="6"/>
        <v>4.5399929762484854E-5</v>
      </c>
      <c r="Q22" s="127">
        <f t="shared" si="6"/>
        <v>4.5399929762484854E-5</v>
      </c>
      <c r="R22" s="127">
        <f t="shared" si="6"/>
        <v>4.5399929762484854E-5</v>
      </c>
      <c r="S22" s="127">
        <f t="shared" si="6"/>
        <v>4.5399929762484854E-5</v>
      </c>
      <c r="T22" s="127">
        <f t="shared" si="6"/>
        <v>4.5399929762484854E-5</v>
      </c>
      <c r="U22" s="127">
        <f t="shared" si="6"/>
        <v>4.5399929762484854E-5</v>
      </c>
      <c r="V22" s="127">
        <f t="shared" si="6"/>
        <v>4.5399929762484854E-5</v>
      </c>
      <c r="W22" s="127">
        <f t="shared" si="6"/>
        <v>4.5399929762484854E-5</v>
      </c>
    </row>
    <row r="23" spans="1:23" ht="15.75">
      <c r="A23" s="10" t="str">
        <f>A13</f>
        <v>Instant Gas</v>
      </c>
      <c r="B23" s="127">
        <f t="shared" si="8"/>
        <v>1</v>
      </c>
      <c r="C23" s="127">
        <f t="shared" si="7"/>
        <v>1</v>
      </c>
      <c r="D23" s="127">
        <f t="shared" si="6"/>
        <v>1</v>
      </c>
      <c r="E23" s="127">
        <f t="shared" si="6"/>
        <v>1</v>
      </c>
      <c r="F23" s="127">
        <f t="shared" si="6"/>
        <v>1</v>
      </c>
      <c r="G23" s="127">
        <f t="shared" si="6"/>
        <v>1</v>
      </c>
      <c r="H23" s="127">
        <f t="shared" si="6"/>
        <v>1</v>
      </c>
      <c r="I23" s="127">
        <f t="shared" si="6"/>
        <v>1</v>
      </c>
      <c r="J23" s="127">
        <f t="shared" si="6"/>
        <v>1</v>
      </c>
      <c r="K23" s="127">
        <f t="shared" si="6"/>
        <v>1</v>
      </c>
      <c r="L23" s="127">
        <f t="shared" si="6"/>
        <v>1</v>
      </c>
      <c r="M23" s="127">
        <f t="shared" si="6"/>
        <v>1</v>
      </c>
      <c r="N23" s="127">
        <f t="shared" si="6"/>
        <v>1</v>
      </c>
      <c r="O23" s="127">
        <f t="shared" si="6"/>
        <v>1</v>
      </c>
      <c r="P23" s="127">
        <f t="shared" si="6"/>
        <v>1</v>
      </c>
      <c r="Q23" s="127">
        <f t="shared" si="6"/>
        <v>1</v>
      </c>
      <c r="R23" s="127">
        <f t="shared" si="6"/>
        <v>1</v>
      </c>
      <c r="S23" s="127">
        <f t="shared" si="6"/>
        <v>1</v>
      </c>
      <c r="T23" s="127">
        <f t="shared" si="6"/>
        <v>1</v>
      </c>
      <c r="U23" s="127">
        <f t="shared" si="6"/>
        <v>1</v>
      </c>
      <c r="V23" s="127">
        <f t="shared" si="6"/>
        <v>1</v>
      </c>
      <c r="W23" s="127">
        <f t="shared" si="6"/>
        <v>1</v>
      </c>
    </row>
    <row r="24" spans="1:23" ht="15.75">
      <c r="A24" s="10" t="str">
        <f>A14</f>
        <v>Condensing Gas</v>
      </c>
      <c r="B24" s="127">
        <f t="shared" si="8"/>
        <v>1</v>
      </c>
      <c r="C24" s="127">
        <f t="shared" si="7"/>
        <v>1</v>
      </c>
      <c r="D24" s="127">
        <f t="shared" si="6"/>
        <v>1</v>
      </c>
      <c r="E24" s="127">
        <f t="shared" si="6"/>
        <v>1</v>
      </c>
      <c r="F24" s="127">
        <f t="shared" si="6"/>
        <v>1</v>
      </c>
      <c r="G24" s="127">
        <f t="shared" si="6"/>
        <v>1</v>
      </c>
      <c r="H24" s="127">
        <f t="shared" si="6"/>
        <v>1</v>
      </c>
      <c r="I24" s="127">
        <f t="shared" si="6"/>
        <v>1</v>
      </c>
      <c r="J24" s="127">
        <f t="shared" si="6"/>
        <v>1</v>
      </c>
      <c r="K24" s="127">
        <f t="shared" si="6"/>
        <v>1</v>
      </c>
      <c r="L24" s="127">
        <f t="shared" si="6"/>
        <v>1</v>
      </c>
      <c r="M24" s="127">
        <f t="shared" si="6"/>
        <v>1</v>
      </c>
      <c r="N24" s="127">
        <f t="shared" si="6"/>
        <v>1</v>
      </c>
      <c r="O24" s="127">
        <f t="shared" si="6"/>
        <v>1</v>
      </c>
      <c r="P24" s="127">
        <f t="shared" si="6"/>
        <v>1</v>
      </c>
      <c r="Q24" s="127">
        <f t="shared" si="6"/>
        <v>1</v>
      </c>
      <c r="R24" s="127">
        <f t="shared" si="6"/>
        <v>1</v>
      </c>
      <c r="S24" s="127">
        <f t="shared" si="6"/>
        <v>1</v>
      </c>
      <c r="T24" s="127">
        <f t="shared" si="6"/>
        <v>1</v>
      </c>
      <c r="U24" s="127">
        <f t="shared" si="6"/>
        <v>1</v>
      </c>
      <c r="V24" s="127">
        <f t="shared" si="6"/>
        <v>1</v>
      </c>
      <c r="W24" s="127">
        <f t="shared" si="6"/>
        <v>1</v>
      </c>
    </row>
    <row r="25" spans="1:23" ht="15.75">
      <c r="A25" s="10"/>
    </row>
    <row r="26" spans="1:23" s="9" customFormat="1" ht="15.75">
      <c r="A26" s="36" t="s">
        <v>34</v>
      </c>
    </row>
    <row r="27" spans="1:23" s="9" customFormat="1" ht="15.75">
      <c r="A27" s="34" t="s">
        <v>167</v>
      </c>
    </row>
    <row r="28" spans="1:23" s="9" customFormat="1" ht="15.75">
      <c r="A28" s="34" t="s">
        <v>168</v>
      </c>
    </row>
    <row r="29" spans="1:23" s="9" customFormat="1" ht="15.75">
      <c r="A29" s="34" t="s">
        <v>169</v>
      </c>
    </row>
    <row r="30" spans="1:23" s="9" customFormat="1" ht="15.75">
      <c r="A30" s="34"/>
    </row>
    <row r="31" spans="1:23" ht="15.75">
      <c r="A31" s="1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AA9"/>
  <sheetViews>
    <sheetView workbookViewId="0">
      <selection activeCell="A5" sqref="A5:W6"/>
    </sheetView>
  </sheetViews>
  <sheetFormatPr defaultColWidth="9.140625" defaultRowHeight="15.75"/>
  <cols>
    <col min="1" max="1" width="12.7109375" style="9" customWidth="1"/>
    <col min="2" max="16384" width="9.140625" style="9"/>
  </cols>
  <sheetData>
    <row r="1" spans="1:27">
      <c r="A1" s="147" t="str">
        <f>CONCATENATE("Segment:  ",State,", Single Family, ", SpaceHeat, ", ", TankSize,", ", StartWH, " is starting water heater")</f>
        <v>Segment:  Idaho, Single Family, Gas FAF, &gt;55 Gallons, Electric Resistance is starting water heater</v>
      </c>
    </row>
    <row r="3" spans="1:27" ht="26.25" customHeight="1">
      <c r="A3" s="25" t="str">
        <f>CONCATENATE('Input Assumptions'!B9," Retail Rates (2012$/mmBtu)")</f>
        <v>Idaho Retail Rates (2012$/mmBtu)</v>
      </c>
    </row>
    <row r="4" spans="1:27">
      <c r="B4" s="12">
        <v>2014</v>
      </c>
      <c r="C4" s="12">
        <v>2015</v>
      </c>
      <c r="D4" s="12">
        <v>2016</v>
      </c>
      <c r="E4" s="12">
        <v>2017</v>
      </c>
      <c r="F4" s="12">
        <v>2018</v>
      </c>
      <c r="G4" s="12">
        <v>2019</v>
      </c>
      <c r="H4" s="12">
        <v>2020</v>
      </c>
      <c r="I4" s="12">
        <v>2021</v>
      </c>
      <c r="J4" s="12">
        <v>2022</v>
      </c>
      <c r="K4" s="12">
        <v>2023</v>
      </c>
      <c r="L4" s="12">
        <v>2024</v>
      </c>
      <c r="M4" s="12">
        <v>2025</v>
      </c>
      <c r="N4" s="12">
        <v>2026</v>
      </c>
      <c r="O4" s="12">
        <v>2027</v>
      </c>
      <c r="P4" s="12">
        <v>2028</v>
      </c>
      <c r="Q4" s="12">
        <v>2029</v>
      </c>
      <c r="R4" s="12">
        <v>2030</v>
      </c>
      <c r="S4" s="12">
        <v>2031</v>
      </c>
      <c r="T4" s="12">
        <v>2032</v>
      </c>
      <c r="U4" s="12">
        <v>2033</v>
      </c>
      <c r="V4" s="12">
        <v>2034</v>
      </c>
      <c r="W4" s="12">
        <v>2035</v>
      </c>
    </row>
    <row r="5" spans="1:27">
      <c r="A5" s="9" t="s">
        <v>19</v>
      </c>
      <c r="B5" s="63">
        <v>26.064692599999994</v>
      </c>
      <c r="C5" s="63">
        <v>26.403533603799993</v>
      </c>
      <c r="D5" s="63">
        <v>26.746779540649388</v>
      </c>
      <c r="E5" s="63">
        <v>27.094487674677829</v>
      </c>
      <c r="F5" s="63">
        <v>27.44671601444864</v>
      </c>
      <c r="G5" s="63">
        <v>27.803523322636469</v>
      </c>
      <c r="H5" s="63">
        <v>28.164969125830741</v>
      </c>
      <c r="I5" s="63">
        <v>28.531113724466536</v>
      </c>
      <c r="J5" s="63">
        <v>28.902018202884598</v>
      </c>
      <c r="K5" s="63">
        <v>29.277744439522095</v>
      </c>
      <c r="L5" s="63">
        <v>29.658355117235878</v>
      </c>
      <c r="M5" s="63">
        <v>30.043913733759943</v>
      </c>
      <c r="N5" s="63">
        <v>30.434484612298821</v>
      </c>
      <c r="O5" s="63">
        <v>30.830132912258701</v>
      </c>
      <c r="P5" s="63">
        <v>31.230924640118062</v>
      </c>
      <c r="Q5" s="63">
        <v>31.636926660439592</v>
      </c>
      <c r="R5" s="63">
        <v>32.048206707025301</v>
      </c>
      <c r="S5" s="63">
        <v>32.464833394216626</v>
      </c>
      <c r="T5" s="63">
        <v>32.886876228341436</v>
      </c>
      <c r="U5" s="63">
        <v>33.314405619309873</v>
      </c>
      <c r="V5" s="63">
        <v>33.747492892360896</v>
      </c>
      <c r="W5" s="63">
        <v>34.186210299961587</v>
      </c>
      <c r="X5" s="10"/>
      <c r="Y5" s="10"/>
      <c r="Z5" s="10"/>
      <c r="AA5" s="10"/>
    </row>
    <row r="6" spans="1:27">
      <c r="A6" s="9" t="s">
        <v>20</v>
      </c>
      <c r="B6" s="63">
        <v>8.3757292499999991</v>
      </c>
      <c r="C6" s="63">
        <v>8.5013651887499986</v>
      </c>
      <c r="D6" s="63">
        <v>8.6288856665812474</v>
      </c>
      <c r="E6" s="63">
        <v>8.758318951579966</v>
      </c>
      <c r="F6" s="63">
        <v>8.8896937358536654</v>
      </c>
      <c r="G6" s="63">
        <v>9.0230391418914699</v>
      </c>
      <c r="H6" s="63">
        <v>9.1583847290198417</v>
      </c>
      <c r="I6" s="63">
        <v>9.2957604999551382</v>
      </c>
      <c r="J6" s="63">
        <v>9.4351969074544648</v>
      </c>
      <c r="K6" s="63">
        <v>9.5767248610662801</v>
      </c>
      <c r="L6" s="63">
        <v>9.7203757339822729</v>
      </c>
      <c r="M6" s="63">
        <v>9.866181369992006</v>
      </c>
      <c r="N6" s="63">
        <v>10.014174090541886</v>
      </c>
      <c r="O6" s="63">
        <v>10.164386701900012</v>
      </c>
      <c r="P6" s="63">
        <v>10.316852502428512</v>
      </c>
      <c r="Q6" s="63">
        <v>10.471605289964939</v>
      </c>
      <c r="R6" s="63">
        <v>10.628679369314412</v>
      </c>
      <c r="S6" s="63">
        <v>10.788109559854128</v>
      </c>
      <c r="T6" s="63">
        <v>10.949931203251939</v>
      </c>
      <c r="U6" s="63">
        <v>11.114180171300717</v>
      </c>
      <c r="V6" s="63">
        <v>11.280892873870227</v>
      </c>
      <c r="W6" s="63">
        <v>11.450106266978279</v>
      </c>
      <c r="X6" s="11"/>
      <c r="Y6" s="11"/>
      <c r="Z6" s="11"/>
      <c r="AA6" s="11"/>
    </row>
    <row r="8" spans="1:27">
      <c r="A8" s="28" t="s">
        <v>69</v>
      </c>
    </row>
    <row r="9" spans="1:27">
      <c r="A9" s="76" t="s">
        <v>86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W8"/>
  <sheetViews>
    <sheetView workbookViewId="0">
      <selection activeCell="D16" sqref="D16"/>
    </sheetView>
  </sheetViews>
  <sheetFormatPr defaultColWidth="9.140625" defaultRowHeight="15.75"/>
  <cols>
    <col min="1" max="1" width="25.7109375" style="9" customWidth="1"/>
    <col min="2" max="16384" width="9.140625" style="9"/>
  </cols>
  <sheetData>
    <row r="1" spans="1:23">
      <c r="A1" s="147" t="str">
        <f>CONCATENATE("Segment:  ",State,", Single Family, ", SpaceHeat, ", ", TankSize,", ", StartWH, " is starting water heater")</f>
        <v>Segment:  Idaho, Single Family, Gas FAF, &gt;55 Gallons, Electric Resistance is starting water heater</v>
      </c>
    </row>
    <row r="3" spans="1:23">
      <c r="A3" s="12" t="s">
        <v>122</v>
      </c>
    </row>
    <row r="4" spans="1:23">
      <c r="B4" s="9">
        <v>2014</v>
      </c>
      <c r="C4" s="9">
        <v>2015</v>
      </c>
      <c r="D4" s="9">
        <v>2016</v>
      </c>
      <c r="E4" s="9">
        <v>2017</v>
      </c>
      <c r="F4" s="9">
        <v>2018</v>
      </c>
      <c r="G4" s="9">
        <v>2019</v>
      </c>
      <c r="H4" s="9">
        <v>2020</v>
      </c>
      <c r="I4" s="9">
        <v>2021</v>
      </c>
      <c r="J4" s="9">
        <v>2022</v>
      </c>
      <c r="K4" s="9">
        <v>2023</v>
      </c>
      <c r="L4" s="9">
        <v>2024</v>
      </c>
      <c r="M4" s="9">
        <v>2025</v>
      </c>
      <c r="N4" s="9">
        <v>2026</v>
      </c>
      <c r="O4" s="9">
        <v>2027</v>
      </c>
      <c r="P4" s="9">
        <v>2028</v>
      </c>
      <c r="Q4" s="9">
        <v>2029</v>
      </c>
      <c r="R4" s="9">
        <v>2030</v>
      </c>
      <c r="S4" s="9">
        <v>2031</v>
      </c>
      <c r="T4" s="9">
        <v>2032</v>
      </c>
      <c r="U4" s="9">
        <v>2033</v>
      </c>
      <c r="V4" s="9">
        <v>2034</v>
      </c>
      <c r="W4" s="9">
        <v>2035</v>
      </c>
    </row>
    <row r="5" spans="1:23">
      <c r="A5" s="9" t="s">
        <v>124</v>
      </c>
      <c r="B5" s="63">
        <v>4.3899999999999997</v>
      </c>
      <c r="C5" s="63">
        <v>4.2699999999999996</v>
      </c>
      <c r="D5" s="63">
        <v>4.2699999999999996</v>
      </c>
      <c r="E5" s="63">
        <v>4.32</v>
      </c>
      <c r="F5" s="63">
        <v>4.3899999999999997</v>
      </c>
      <c r="G5" s="63">
        <v>4.47</v>
      </c>
      <c r="H5" s="63">
        <v>4.66</v>
      </c>
      <c r="I5" s="63">
        <v>4.75</v>
      </c>
      <c r="J5" s="63">
        <v>4.8499999999999996</v>
      </c>
      <c r="K5" s="63">
        <v>4.95</v>
      </c>
      <c r="L5" s="63">
        <v>5.04</v>
      </c>
      <c r="M5" s="63">
        <v>5.27</v>
      </c>
      <c r="N5" s="63">
        <v>5.4</v>
      </c>
      <c r="O5" s="63">
        <v>5.53</v>
      </c>
      <c r="P5" s="63">
        <v>5.67</v>
      </c>
      <c r="Q5" s="63">
        <v>5.81</v>
      </c>
      <c r="R5" s="63">
        <v>6.06</v>
      </c>
      <c r="S5" s="63">
        <v>6.21</v>
      </c>
      <c r="T5" s="63">
        <v>6.36</v>
      </c>
      <c r="U5" s="63">
        <v>6.52</v>
      </c>
      <c r="V5" s="63">
        <v>6.69</v>
      </c>
      <c r="W5" s="63">
        <v>6.85</v>
      </c>
    </row>
    <row r="7" spans="1:23">
      <c r="A7" s="28" t="s">
        <v>123</v>
      </c>
    </row>
    <row r="8" spans="1:23">
      <c r="A8" s="28" t="s">
        <v>164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AY7"/>
  <sheetViews>
    <sheetView workbookViewId="0"/>
  </sheetViews>
  <sheetFormatPr defaultColWidth="9.140625" defaultRowHeight="15.75"/>
  <cols>
    <col min="1" max="1" width="12.7109375" style="9" customWidth="1"/>
    <col min="2" max="3" width="9.140625" style="9"/>
    <col min="4" max="4" width="9.28515625" style="9" customWidth="1"/>
    <col min="5" max="16384" width="9.140625" style="9"/>
  </cols>
  <sheetData>
    <row r="1" spans="1:51">
      <c r="A1" s="147" t="str">
        <f>CONCATENATE("Segment:  ",State,", Single Family, ", SpaceHeat, ", ", TankSize,", ", StartWH, " is starting water heater")</f>
        <v>Segment:  Idaho, Single Family, Gas FAF, &gt;55 Gallons, Electric Resistance is starting water heater</v>
      </c>
    </row>
    <row r="3" spans="1:51">
      <c r="A3" s="25" t="s">
        <v>154</v>
      </c>
    </row>
    <row r="4" spans="1:51" ht="16.5" customHeight="1">
      <c r="B4" s="12">
        <v>1986</v>
      </c>
      <c r="C4" s="12">
        <v>1987</v>
      </c>
      <c r="D4" s="12">
        <v>1988</v>
      </c>
      <c r="E4" s="12">
        <v>1989</v>
      </c>
      <c r="F4" s="12">
        <v>1990</v>
      </c>
      <c r="G4" s="12">
        <v>1991</v>
      </c>
      <c r="H4" s="12">
        <v>1992</v>
      </c>
      <c r="I4" s="12">
        <v>1993</v>
      </c>
      <c r="J4" s="12">
        <v>1994</v>
      </c>
      <c r="K4" s="12">
        <v>1995</v>
      </c>
      <c r="L4" s="12">
        <v>1996</v>
      </c>
      <c r="M4" s="12">
        <v>1997</v>
      </c>
      <c r="N4" s="12">
        <v>1998</v>
      </c>
      <c r="O4" s="12">
        <v>1999</v>
      </c>
      <c r="P4" s="12">
        <v>2000</v>
      </c>
      <c r="Q4" s="12">
        <v>2001</v>
      </c>
      <c r="R4" s="12">
        <v>2002</v>
      </c>
      <c r="S4" s="12">
        <v>2003</v>
      </c>
      <c r="T4" s="12">
        <v>2004</v>
      </c>
      <c r="U4" s="12">
        <v>2005</v>
      </c>
      <c r="V4" s="12">
        <v>2006</v>
      </c>
      <c r="W4" s="12">
        <v>2007</v>
      </c>
      <c r="X4" s="12">
        <v>2008</v>
      </c>
      <c r="Y4" s="12">
        <v>2009</v>
      </c>
      <c r="Z4" s="12">
        <v>2010</v>
      </c>
      <c r="AA4" s="12">
        <v>2011</v>
      </c>
      <c r="AB4" s="12">
        <v>2012</v>
      </c>
      <c r="AC4" s="12">
        <v>2013</v>
      </c>
      <c r="AD4" s="12">
        <v>2014</v>
      </c>
      <c r="AE4" s="12">
        <v>2015</v>
      </c>
      <c r="AF4" s="12">
        <v>2016</v>
      </c>
      <c r="AG4" s="12">
        <v>2017</v>
      </c>
      <c r="AH4" s="12">
        <v>2018</v>
      </c>
      <c r="AI4" s="12">
        <v>2019</v>
      </c>
      <c r="AJ4" s="12">
        <v>2020</v>
      </c>
      <c r="AK4" s="12">
        <v>2021</v>
      </c>
      <c r="AL4" s="12">
        <v>2022</v>
      </c>
      <c r="AM4" s="12">
        <v>2023</v>
      </c>
      <c r="AN4" s="12">
        <v>2024</v>
      </c>
      <c r="AO4" s="12">
        <v>2025</v>
      </c>
      <c r="AP4" s="12">
        <v>2026</v>
      </c>
      <c r="AQ4" s="12">
        <v>2027</v>
      </c>
      <c r="AR4" s="12">
        <v>2028</v>
      </c>
      <c r="AS4" s="12">
        <v>2029</v>
      </c>
      <c r="AT4" s="12">
        <v>2030</v>
      </c>
      <c r="AU4" s="12">
        <v>2031</v>
      </c>
      <c r="AV4" s="12">
        <v>2032</v>
      </c>
      <c r="AW4" s="12">
        <v>2033</v>
      </c>
      <c r="AX4" s="12">
        <v>2034</v>
      </c>
      <c r="AY4" s="12">
        <v>2035</v>
      </c>
    </row>
    <row r="5" spans="1:51" ht="18" customHeight="1">
      <c r="A5" s="9" t="s">
        <v>62</v>
      </c>
      <c r="B5" s="99">
        <v>0.64119999999999999</v>
      </c>
      <c r="C5" s="99">
        <v>0.65359999999999996</v>
      </c>
      <c r="D5" s="99">
        <v>0.67</v>
      </c>
      <c r="E5" s="99">
        <v>0.68910000000000005</v>
      </c>
      <c r="F5" s="99">
        <v>0.71</v>
      </c>
      <c r="G5" s="99">
        <v>0.73029999999999995</v>
      </c>
      <c r="H5" s="99">
        <v>0.74450000000000005</v>
      </c>
      <c r="I5" s="99">
        <v>0.75929999999999997</v>
      </c>
      <c r="J5" s="99">
        <v>0.77359999999999995</v>
      </c>
      <c r="K5" s="99">
        <v>0.78790000000000004</v>
      </c>
      <c r="L5" s="99">
        <v>0.80169999999999997</v>
      </c>
      <c r="M5" s="99">
        <v>0.81420000000000003</v>
      </c>
      <c r="N5" s="99">
        <v>0.82279999999999998</v>
      </c>
      <c r="O5" s="99">
        <v>0.83430000000000004</v>
      </c>
      <c r="P5" s="99">
        <v>0.85209999999999997</v>
      </c>
      <c r="Q5" s="99">
        <v>0.87250000000000005</v>
      </c>
      <c r="R5" s="99">
        <v>0.8881</v>
      </c>
      <c r="S5" s="99">
        <v>0.90780000000000005</v>
      </c>
      <c r="T5" s="99">
        <v>0.93559999999999999</v>
      </c>
      <c r="U5" s="99">
        <v>0.96870000000000001</v>
      </c>
      <c r="V5" s="99">
        <v>1</v>
      </c>
      <c r="W5" s="99">
        <v>1.0289999999999999</v>
      </c>
      <c r="X5" s="99">
        <v>1.0516000000000001</v>
      </c>
      <c r="Y5" s="99">
        <v>1.0609999999999999</v>
      </c>
      <c r="Z5" s="99">
        <v>1.0751999999999999</v>
      </c>
      <c r="AA5" s="99">
        <v>1.0981000000000001</v>
      </c>
      <c r="AB5" s="99">
        <v>1.1175999999999999</v>
      </c>
      <c r="AC5" s="99">
        <v>1.1375</v>
      </c>
      <c r="AD5" s="99">
        <v>1.1549</v>
      </c>
      <c r="AE5" s="99">
        <v>1.1735</v>
      </c>
      <c r="AF5" s="99">
        <v>1.1930000000000001</v>
      </c>
      <c r="AG5" s="99">
        <v>1.2121</v>
      </c>
      <c r="AH5" s="99">
        <v>1.2324999999999999</v>
      </c>
      <c r="AI5" s="99">
        <v>1.2525999999999999</v>
      </c>
      <c r="AJ5" s="99">
        <v>1.2734000000000001</v>
      </c>
      <c r="AK5" s="99">
        <v>1.2952999999999999</v>
      </c>
      <c r="AL5" s="99">
        <v>1.3178000000000001</v>
      </c>
      <c r="AM5" s="99">
        <v>1.3408</v>
      </c>
      <c r="AN5" s="99">
        <v>1.3636999999999999</v>
      </c>
      <c r="AO5" s="99">
        <v>1.387</v>
      </c>
      <c r="AP5" s="99">
        <v>1.4109</v>
      </c>
      <c r="AQ5" s="99">
        <v>1.4353</v>
      </c>
      <c r="AR5" s="99">
        <v>1.4602999999999999</v>
      </c>
      <c r="AS5" s="99">
        <v>1.4864999999999999</v>
      </c>
      <c r="AT5" s="99">
        <v>1.5133000000000001</v>
      </c>
      <c r="AU5" s="99">
        <v>1.5411999999999999</v>
      </c>
      <c r="AV5" s="99">
        <v>1.5692999999999999</v>
      </c>
      <c r="AW5" s="99">
        <v>1.5978000000000001</v>
      </c>
      <c r="AX5" s="99">
        <v>1.627</v>
      </c>
      <c r="AY5" s="99">
        <v>1.6566000000000001</v>
      </c>
    </row>
    <row r="7" spans="1:51">
      <c r="A7" s="28" t="s">
        <v>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W14"/>
  <sheetViews>
    <sheetView workbookViewId="0">
      <selection activeCell="A2" sqref="A2"/>
    </sheetView>
  </sheetViews>
  <sheetFormatPr defaultColWidth="9.140625" defaultRowHeight="15.75"/>
  <cols>
    <col min="1" max="1" width="50" style="9" customWidth="1"/>
    <col min="2" max="2" width="13.5703125" style="9" customWidth="1"/>
    <col min="3" max="3" width="15" style="9" customWidth="1"/>
    <col min="4" max="4" width="12.7109375" style="9" customWidth="1"/>
    <col min="5" max="5" width="9.7109375" style="9" customWidth="1"/>
    <col min="6" max="16384" width="9.140625" style="9"/>
  </cols>
  <sheetData>
    <row r="1" spans="1:23">
      <c r="A1" s="147" t="str">
        <f>CONCATENATE("Segment:  ",State,", Single Family, ", SpaceHeat, ", ", TankSize,", ", StartWH, " is starting water heater")</f>
        <v>Segment:  Idaho, Single Family, Gas FAF, &gt;55 Gallons, Electric Resistance is starting water heater</v>
      </c>
    </row>
    <row r="2" spans="1:23">
      <c r="G2" s="130"/>
    </row>
    <row r="3" spans="1:23">
      <c r="A3" s="12" t="s">
        <v>128</v>
      </c>
      <c r="G3" s="130"/>
    </row>
    <row r="4" spans="1:23" ht="31.5">
      <c r="A4" s="65" t="s">
        <v>158</v>
      </c>
      <c r="B4" s="136" t="s">
        <v>127</v>
      </c>
    </row>
    <row r="5" spans="1:23">
      <c r="A5" s="170" t="s">
        <v>155</v>
      </c>
      <c r="B5" s="133">
        <f>'Consumer Cost'!B7</f>
        <v>3.5867095700333138</v>
      </c>
    </row>
    <row r="6" spans="1:23">
      <c r="A6" s="169" t="s">
        <v>156</v>
      </c>
      <c r="B6" s="134">
        <f>'Utility Cost'!B4</f>
        <v>-1.4929006794611712</v>
      </c>
    </row>
    <row r="7" spans="1:23">
      <c r="A7" s="56" t="s">
        <v>157</v>
      </c>
      <c r="B7" s="134">
        <f>NPV(DiscountRate,B14:W14)</f>
        <v>2.0938088905721384</v>
      </c>
    </row>
    <row r="8" spans="1:23">
      <c r="B8" s="130"/>
    </row>
    <row r="9" spans="1:23">
      <c r="B9" s="130"/>
    </row>
    <row r="10" spans="1:23">
      <c r="A10" s="12" t="s">
        <v>153</v>
      </c>
      <c r="B10" s="130"/>
    </row>
    <row r="11" spans="1:23">
      <c r="A11" s="104"/>
      <c r="B11" s="164">
        <f>'Utility Cost'!B7</f>
        <v>2014</v>
      </c>
      <c r="C11" s="164">
        <f>'Utility Cost'!C7</f>
        <v>2015</v>
      </c>
      <c r="D11" s="164">
        <f>'Utility Cost'!D7</f>
        <v>2016</v>
      </c>
      <c r="E11" s="164">
        <f>'Utility Cost'!E7</f>
        <v>2017</v>
      </c>
      <c r="F11" s="164">
        <f>'Utility Cost'!F7</f>
        <v>2018</v>
      </c>
      <c r="G11" s="164">
        <f>'Utility Cost'!G7</f>
        <v>2019</v>
      </c>
      <c r="H11" s="164">
        <f>'Utility Cost'!H7</f>
        <v>2020</v>
      </c>
      <c r="I11" s="164">
        <f>'Utility Cost'!I7</f>
        <v>2021</v>
      </c>
      <c r="J11" s="164">
        <f>'Utility Cost'!J7</f>
        <v>2022</v>
      </c>
      <c r="K11" s="164">
        <f>'Utility Cost'!K7</f>
        <v>2023</v>
      </c>
      <c r="L11" s="164">
        <f>'Utility Cost'!L7</f>
        <v>2024</v>
      </c>
      <c r="M11" s="164">
        <f>'Utility Cost'!M7</f>
        <v>2025</v>
      </c>
      <c r="N11" s="164">
        <f>'Utility Cost'!N7</f>
        <v>2026</v>
      </c>
      <c r="O11" s="164">
        <f>'Utility Cost'!O7</f>
        <v>2027</v>
      </c>
      <c r="P11" s="164">
        <f>'Utility Cost'!P7</f>
        <v>2028</v>
      </c>
      <c r="Q11" s="164">
        <f>'Utility Cost'!Q7</f>
        <v>2029</v>
      </c>
      <c r="R11" s="164">
        <f>'Utility Cost'!R7</f>
        <v>2030</v>
      </c>
      <c r="S11" s="164">
        <f>'Utility Cost'!S7</f>
        <v>2031</v>
      </c>
      <c r="T11" s="164">
        <f>'Utility Cost'!T7</f>
        <v>2032</v>
      </c>
      <c r="U11" s="164">
        <f>'Utility Cost'!U7</f>
        <v>2033</v>
      </c>
      <c r="V11" s="164">
        <f>'Utility Cost'!V7</f>
        <v>2034</v>
      </c>
      <c r="W11" s="164">
        <f>'Utility Cost'!W7</f>
        <v>2035</v>
      </c>
    </row>
    <row r="12" spans="1:23">
      <c r="A12" s="9" t="s">
        <v>151</v>
      </c>
      <c r="B12" s="158">
        <f>'Utility Cost'!B10</f>
        <v>0</v>
      </c>
      <c r="C12" s="158">
        <f>'Utility Cost'!C10</f>
        <v>-1.3103175058602902E-2</v>
      </c>
      <c r="D12" s="158">
        <f>'Utility Cost'!D10</f>
        <v>-2.5293718330771459E-2</v>
      </c>
      <c r="E12" s="158">
        <f>'Utility Cost'!E10</f>
        <v>-3.7065759225019444E-2</v>
      </c>
      <c r="F12" s="158">
        <f>'Utility Cost'!F10</f>
        <v>-4.8519025075880844E-2</v>
      </c>
      <c r="G12" s="158">
        <f>'Utility Cost'!G10</f>
        <v>-5.968851742135832E-2</v>
      </c>
      <c r="H12" s="158">
        <f>'Utility Cost'!H10</f>
        <v>-7.2207376742699197E-2</v>
      </c>
      <c r="I12" s="158">
        <f>'Utility Cost'!I10</f>
        <v>-8.3075289976864128E-2</v>
      </c>
      <c r="J12" s="158">
        <f>'Utility Cost'!J10</f>
        <v>-9.3832129894788466E-2</v>
      </c>
      <c r="K12" s="158">
        <f>'Utility Cost'!K10</f>
        <v>-0.10433019772803113</v>
      </c>
      <c r="L12" s="158">
        <f>'Utility Cost'!L10</f>
        <v>-0.11435024107769766</v>
      </c>
      <c r="M12" s="158">
        <f>'Utility Cost'!M10</f>
        <v>-0.1274836915707116</v>
      </c>
      <c r="N12" s="158">
        <f>'Utility Cost'!N10</f>
        <v>-0.13818801340275286</v>
      </c>
      <c r="O12" s="158">
        <f>'Utility Cost'!O10</f>
        <v>-0.14873245222502199</v>
      </c>
      <c r="P12" s="158">
        <f>'Utility Cost'!P10</f>
        <v>-0.15939936380219388</v>
      </c>
      <c r="Q12" s="158">
        <f>'Utility Cost'!Q10</f>
        <v>-0.16993227183466586</v>
      </c>
      <c r="R12" s="158">
        <f>'Utility Cost'!R10</f>
        <v>-0.18366530350723273</v>
      </c>
      <c r="S12" s="158">
        <f>'Utility Cost'!S10</f>
        <v>-0.19435349696453097</v>
      </c>
      <c r="T12" s="158">
        <f>'Utility Cost'!T10</f>
        <v>-0.20492181959166014</v>
      </c>
      <c r="U12" s="158">
        <f>'Utility Cost'!U10</f>
        <v>-0.21570191795992877</v>
      </c>
      <c r="V12" s="158">
        <f>'Utility Cost'!V10</f>
        <v>-0.22671936638305723</v>
      </c>
      <c r="W12" s="158">
        <f>'Utility Cost'!W10</f>
        <v>-0.23730421495924151</v>
      </c>
    </row>
    <row r="13" spans="1:23">
      <c r="A13" s="41" t="s">
        <v>150</v>
      </c>
      <c r="B13" s="163">
        <f>-('Consumer Cost'!B49-'Consumer Cost'!B12)</f>
        <v>0</v>
      </c>
      <c r="C13" s="163">
        <f>-('Consumer Cost'!C49-'Consumer Cost'!C12)</f>
        <v>0.27433043307476002</v>
      </c>
      <c r="D13" s="163">
        <f>-('Consumer Cost'!D49-'Consumer Cost'!D12)</f>
        <v>0.27283769854283735</v>
      </c>
      <c r="E13" s="163">
        <f>-('Consumer Cost'!E49-'Consumer Cost'!E12)</f>
        <v>0.27144475971564042</v>
      </c>
      <c r="F13" s="163">
        <f>-('Consumer Cost'!F49-'Consumer Cost'!F12)</f>
        <v>0.2701483727671925</v>
      </c>
      <c r="G13" s="163">
        <f>-('Consumer Cost'!G49-'Consumer Cost'!G12)</f>
        <v>0.26894533857789948</v>
      </c>
      <c r="H13" s="163">
        <f>-('Consumer Cost'!H49-'Consumer Cost'!H12)</f>
        <v>0.26783251511565753</v>
      </c>
      <c r="I13" s="163">
        <f>-('Consumer Cost'!I49-'Consumer Cost'!I12)</f>
        <v>0.2668068279412652</v>
      </c>
      <c r="J13" s="163">
        <f>-('Consumer Cost'!J49-'Consumer Cost'!J12)</f>
        <v>0.26586527903914625</v>
      </c>
      <c r="K13" s="163">
        <f>-('Consumer Cost'!K49-'Consumer Cost'!K12)</f>
        <v>0.26500495415557968</v>
      </c>
      <c r="L13" s="163">
        <f>-('Consumer Cost'!L49-'Consumer Cost'!L12)</f>
        <v>0.26422302880964699</v>
      </c>
      <c r="M13" s="163">
        <f>-('Consumer Cost'!M49-'Consumer Cost'!M12)</f>
        <v>0.26351677312638255</v>
      </c>
      <c r="N13" s="163">
        <f>-('Consumer Cost'!N49-'Consumer Cost'!N12)</f>
        <v>0.2628835556274387</v>
      </c>
      <c r="O13" s="163">
        <f>-('Consumer Cost'!O49-'Consumer Cost'!O12)</f>
        <v>0.26232084610154693</v>
      </c>
      <c r="P13" s="163">
        <f>-('Consumer Cost'!P49-'Consumer Cost'!P12)</f>
        <v>0.26182621766518199</v>
      </c>
      <c r="Q13" s="163">
        <f>-('Consumer Cost'!Q49-'Consumer Cost'!Q12)</f>
        <v>0.26139734811308113</v>
      </c>
      <c r="R13" s="163">
        <f>-('Consumer Cost'!R49-'Consumer Cost'!R12)</f>
        <v>0.26103202064836983</v>
      </c>
      <c r="S13" s="163">
        <f>-('Consumer Cost'!S49-'Consumer Cost'!S12)</f>
        <v>0.26072812407312318</v>
      </c>
      <c r="T13" s="163">
        <f>-('Consumer Cost'!T49-'Consumer Cost'!T12)</f>
        <v>0.26048365251200734</v>
      </c>
      <c r="U13" s="163">
        <f>-('Consumer Cost'!U49-'Consumer Cost'!U12)</f>
        <v>0.26029670473425748</v>
      </c>
      <c r="V13" s="163">
        <f>-('Consumer Cost'!V49-'Consumer Cost'!V12)</f>
        <v>0.26016548313246446</v>
      </c>
      <c r="W13" s="163">
        <f>-('Consumer Cost'!W49-'Consumer Cost'!W12)</f>
        <v>0.26008829241055942</v>
      </c>
    </row>
    <row r="14" spans="1:23">
      <c r="A14" s="9" t="s">
        <v>152</v>
      </c>
      <c r="B14" s="158">
        <f>B12+B13</f>
        <v>0</v>
      </c>
      <c r="C14" s="158">
        <f t="shared" ref="C14:W14" si="0">C12+C13</f>
        <v>0.26122725801615709</v>
      </c>
      <c r="D14" s="158">
        <f t="shared" si="0"/>
        <v>0.24754398021206589</v>
      </c>
      <c r="E14" s="158">
        <f t="shared" si="0"/>
        <v>0.23437900049062096</v>
      </c>
      <c r="F14" s="158">
        <f t="shared" si="0"/>
        <v>0.22162934769131165</v>
      </c>
      <c r="G14" s="158">
        <f t="shared" si="0"/>
        <v>0.20925682115654115</v>
      </c>
      <c r="H14" s="158">
        <f t="shared" si="0"/>
        <v>0.19562513837295833</v>
      </c>
      <c r="I14" s="158">
        <f t="shared" si="0"/>
        <v>0.18373153796440106</v>
      </c>
      <c r="J14" s="158">
        <f t="shared" si="0"/>
        <v>0.1720331491443578</v>
      </c>
      <c r="K14" s="158">
        <f t="shared" si="0"/>
        <v>0.16067475642754853</v>
      </c>
      <c r="L14" s="158">
        <f t="shared" si="0"/>
        <v>0.14987278773194934</v>
      </c>
      <c r="M14" s="158">
        <f t="shared" si="0"/>
        <v>0.13603308155567095</v>
      </c>
      <c r="N14" s="158">
        <f t="shared" si="0"/>
        <v>0.12469554222468585</v>
      </c>
      <c r="O14" s="158">
        <f t="shared" si="0"/>
        <v>0.11358839387652495</v>
      </c>
      <c r="P14" s="158">
        <f t="shared" si="0"/>
        <v>0.10242685386298811</v>
      </c>
      <c r="Q14" s="158">
        <f t="shared" si="0"/>
        <v>9.1465076278415269E-2</v>
      </c>
      <c r="R14" s="158">
        <f t="shared" si="0"/>
        <v>7.7366717141137104E-2</v>
      </c>
      <c r="S14" s="158">
        <f t="shared" si="0"/>
        <v>6.637462710859221E-2</v>
      </c>
      <c r="T14" s="158">
        <f t="shared" si="0"/>
        <v>5.5561832920347193E-2</v>
      </c>
      <c r="U14" s="158">
        <f t="shared" si="0"/>
        <v>4.459478677432871E-2</v>
      </c>
      <c r="V14" s="158">
        <f t="shared" si="0"/>
        <v>3.3446116749407229E-2</v>
      </c>
      <c r="W14" s="158">
        <f t="shared" si="0"/>
        <v>2.2784077451317913E-2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Y10"/>
  <sheetViews>
    <sheetView workbookViewId="0">
      <selection activeCell="A2" sqref="A2"/>
    </sheetView>
  </sheetViews>
  <sheetFormatPr defaultColWidth="9.140625" defaultRowHeight="15.75"/>
  <cols>
    <col min="1" max="1" width="54.7109375" style="9" customWidth="1"/>
    <col min="2" max="2" width="13.85546875" style="9" customWidth="1"/>
    <col min="3" max="5" width="12.42578125" style="9" bestFit="1" customWidth="1"/>
    <col min="6" max="23" width="14.28515625" style="9" bestFit="1" customWidth="1"/>
    <col min="24" max="16384" width="9.140625" style="9"/>
  </cols>
  <sheetData>
    <row r="1" spans="1:25">
      <c r="A1" s="147" t="str">
        <f>CONCATENATE("Segment:  ",State,", Single Family, ", SpaceHeat, ", ", TankSize,", ", StartWH, " is starting water heater")</f>
        <v>Segment:  Idaho, Single Family, Gas FAF, &gt;55 Gallons, Electric Resistance is starting water heater</v>
      </c>
    </row>
    <row r="3" spans="1:25" ht="31.5">
      <c r="A3" s="154"/>
      <c r="B3" s="136" t="s">
        <v>141</v>
      </c>
    </row>
    <row r="4" spans="1:25">
      <c r="A4" s="153" t="s">
        <v>140</v>
      </c>
      <c r="B4" s="155">
        <f>NPV(DiscountRate,B10:W10)</f>
        <v>-1.4929006794611712</v>
      </c>
      <c r="D4" s="44"/>
      <c r="E4" s="44"/>
      <c r="F4" s="44"/>
      <c r="G4" s="44"/>
      <c r="H4" s="123"/>
      <c r="I4" s="44"/>
      <c r="J4" s="44"/>
      <c r="K4" s="44"/>
    </row>
    <row r="6" spans="1:25">
      <c r="A6" s="12" t="s">
        <v>137</v>
      </c>
    </row>
    <row r="7" spans="1:25">
      <c r="A7" s="154"/>
      <c r="B7" s="81">
        <f>'Net Reduction in Gas'!B10</f>
        <v>2014</v>
      </c>
      <c r="C7" s="81">
        <f>'Net Reduction in Gas'!C10</f>
        <v>2015</v>
      </c>
      <c r="D7" s="81">
        <f>'Net Reduction in Gas'!D10</f>
        <v>2016</v>
      </c>
      <c r="E7" s="81">
        <f>'Net Reduction in Gas'!E10</f>
        <v>2017</v>
      </c>
      <c r="F7" s="81">
        <f>'Net Reduction in Gas'!F10</f>
        <v>2018</v>
      </c>
      <c r="G7" s="81">
        <f>'Net Reduction in Gas'!G10</f>
        <v>2019</v>
      </c>
      <c r="H7" s="81">
        <f>'Net Reduction in Gas'!H10</f>
        <v>2020</v>
      </c>
      <c r="I7" s="81">
        <f>'Net Reduction in Gas'!I10</f>
        <v>2021</v>
      </c>
      <c r="J7" s="81">
        <f>'Net Reduction in Gas'!J10</f>
        <v>2022</v>
      </c>
      <c r="K7" s="81">
        <f>'Net Reduction in Gas'!K10</f>
        <v>2023</v>
      </c>
      <c r="L7" s="81">
        <f>'Net Reduction in Gas'!L10</f>
        <v>2024</v>
      </c>
      <c r="M7" s="81">
        <f>'Net Reduction in Gas'!M10</f>
        <v>2025</v>
      </c>
      <c r="N7" s="81">
        <f>'Net Reduction in Gas'!N10</f>
        <v>2026</v>
      </c>
      <c r="O7" s="81">
        <f>'Net Reduction in Gas'!O10</f>
        <v>2027</v>
      </c>
      <c r="P7" s="81">
        <f>'Net Reduction in Gas'!P10</f>
        <v>2028</v>
      </c>
      <c r="Q7" s="81">
        <f>'Net Reduction in Gas'!Q10</f>
        <v>2029</v>
      </c>
      <c r="R7" s="81">
        <f>'Net Reduction in Gas'!R10</f>
        <v>2030</v>
      </c>
      <c r="S7" s="81">
        <f>'Net Reduction in Gas'!S10</f>
        <v>2031</v>
      </c>
      <c r="T7" s="81">
        <f>'Net Reduction in Gas'!T10</f>
        <v>2032</v>
      </c>
      <c r="U7" s="81">
        <f>'Net Reduction in Gas'!U10</f>
        <v>2033</v>
      </c>
      <c r="V7" s="81">
        <f>'Net Reduction in Gas'!V10</f>
        <v>2034</v>
      </c>
      <c r="W7" s="92">
        <f>'Net Reduction in Gas'!W10</f>
        <v>2035</v>
      </c>
    </row>
    <row r="8" spans="1:25">
      <c r="A8" s="66" t="s">
        <v>163</v>
      </c>
      <c r="B8" s="132">
        <f>'Net Reduction in Gas'!B13</f>
        <v>0</v>
      </c>
      <c r="C8" s="132">
        <f>'Net Reduction in Gas'!C13</f>
        <v>-3.0686592643098132E-3</v>
      </c>
      <c r="D8" s="132">
        <f>'Net Reduction in Gas'!D13</f>
        <v>-5.9235874310940191E-3</v>
      </c>
      <c r="E8" s="132">
        <f>'Net Reduction in Gas'!E13</f>
        <v>-8.5800368576433896E-3</v>
      </c>
      <c r="F8" s="132">
        <f>'Net Reduction in Gas'!F13</f>
        <v>-1.1052169721157369E-2</v>
      </c>
      <c r="G8" s="132">
        <f>'Net Reduction in Gas'!G13</f>
        <v>-1.3353135888447052E-2</v>
      </c>
      <c r="H8" s="132">
        <f>'Net Reduction in Gas'!H13</f>
        <v>-1.5495145223755193E-2</v>
      </c>
      <c r="I8" s="132">
        <f>'Net Reduction in Gas'!I13</f>
        <v>-1.7489534731971394E-2</v>
      </c>
      <c r="J8" s="132">
        <f>'Net Reduction in Gas'!J13</f>
        <v>-1.9346830906141952E-2</v>
      </c>
      <c r="K8" s="132">
        <f>'Net Reduction in Gas'!K13</f>
        <v>-2.107680762182447E-2</v>
      </c>
      <c r="L8" s="132">
        <f>'Net Reduction in Gas'!L13</f>
        <v>-2.2688539896368584E-2</v>
      </c>
      <c r="M8" s="132">
        <f>'Net Reduction in Gas'!M13</f>
        <v>-2.4190453808484176E-2</v>
      </c>
      <c r="N8" s="132">
        <f>'Net Reduction in Gas'!N13</f>
        <v>-2.5590372852361636E-2</v>
      </c>
      <c r="O8" s="132">
        <f>'Net Reduction in Gas'!O13</f>
        <v>-2.6895560981016631E-2</v>
      </c>
      <c r="P8" s="132">
        <f>'Net Reduction in Gas'!P13</f>
        <v>-2.8112762575342835E-2</v>
      </c>
      <c r="Q8" s="132">
        <f>'Net Reduction in Gas'!Q13</f>
        <v>-2.9248239558462286E-2</v>
      </c>
      <c r="R8" s="132">
        <f>'Net Reduction in Gas'!R13</f>
        <v>-3.0307805859279332E-2</v>
      </c>
      <c r="S8" s="132">
        <f>'Net Reduction in Gas'!S13</f>
        <v>-3.1296859414578257E-2</v>
      </c>
      <c r="T8" s="132">
        <f>'Net Reduction in Gas'!T13</f>
        <v>-3.2220411885481151E-2</v>
      </c>
      <c r="U8" s="132">
        <f>'Net Reduction in Gas'!U13</f>
        <v>-3.3083116251522819E-2</v>
      </c>
      <c r="V8" s="132">
        <f>'Net Reduction in Gas'!V13</f>
        <v>-3.3889292433939795E-2</v>
      </c>
      <c r="W8" s="132">
        <f>'Net Reduction in Gas'!W13</f>
        <v>-3.4642951088940367E-2</v>
      </c>
      <c r="X8" s="130"/>
    </row>
    <row r="9" spans="1:25">
      <c r="A9" s="66" t="s">
        <v>138</v>
      </c>
      <c r="B9" s="44">
        <f>'Wholesale Price'!B5</f>
        <v>4.3899999999999997</v>
      </c>
      <c r="C9" s="44">
        <f>'Wholesale Price'!C5</f>
        <v>4.2699999999999996</v>
      </c>
      <c r="D9" s="44">
        <f>'Wholesale Price'!D5</f>
        <v>4.2699999999999996</v>
      </c>
      <c r="E9" s="44">
        <f>'Wholesale Price'!E5</f>
        <v>4.32</v>
      </c>
      <c r="F9" s="44">
        <f>'Wholesale Price'!F5</f>
        <v>4.3899999999999997</v>
      </c>
      <c r="G9" s="44">
        <f>'Wholesale Price'!G5</f>
        <v>4.47</v>
      </c>
      <c r="H9" s="44">
        <f>'Wholesale Price'!H5</f>
        <v>4.66</v>
      </c>
      <c r="I9" s="44">
        <f>'Wholesale Price'!I5</f>
        <v>4.75</v>
      </c>
      <c r="J9" s="44">
        <f>'Wholesale Price'!J5</f>
        <v>4.8499999999999996</v>
      </c>
      <c r="K9" s="44">
        <f>'Wholesale Price'!K5</f>
        <v>4.95</v>
      </c>
      <c r="L9" s="44">
        <f>'Wholesale Price'!L5</f>
        <v>5.04</v>
      </c>
      <c r="M9" s="44">
        <f>'Wholesale Price'!M5</f>
        <v>5.27</v>
      </c>
      <c r="N9" s="44">
        <f>'Wholesale Price'!N5</f>
        <v>5.4</v>
      </c>
      <c r="O9" s="44">
        <f>'Wholesale Price'!O5</f>
        <v>5.53</v>
      </c>
      <c r="P9" s="44">
        <f>'Wholesale Price'!P5</f>
        <v>5.67</v>
      </c>
      <c r="Q9" s="44">
        <f>'Wholesale Price'!Q5</f>
        <v>5.81</v>
      </c>
      <c r="R9" s="44">
        <f>'Wholesale Price'!R5</f>
        <v>6.06</v>
      </c>
      <c r="S9" s="44">
        <f>'Wholesale Price'!S5</f>
        <v>6.21</v>
      </c>
      <c r="T9" s="44">
        <f>'Wholesale Price'!T5</f>
        <v>6.36</v>
      </c>
      <c r="U9" s="44">
        <f>'Wholesale Price'!U5</f>
        <v>6.52</v>
      </c>
      <c r="V9" s="44">
        <f>'Wholesale Price'!V5</f>
        <v>6.69</v>
      </c>
      <c r="W9" s="44">
        <f>'Wholesale Price'!W5</f>
        <v>6.85</v>
      </c>
      <c r="X9" s="44"/>
      <c r="Y9" s="44"/>
    </row>
    <row r="10" spans="1:25">
      <c r="A10" s="56" t="s">
        <v>139</v>
      </c>
      <c r="B10" s="157">
        <f>B8*B9</f>
        <v>0</v>
      </c>
      <c r="C10" s="157">
        <f>C8*C9</f>
        <v>-1.3103175058602902E-2</v>
      </c>
      <c r="D10" s="157">
        <f t="shared" ref="D10:W10" si="0">D8*D9</f>
        <v>-2.5293718330771459E-2</v>
      </c>
      <c r="E10" s="157">
        <f t="shared" si="0"/>
        <v>-3.7065759225019444E-2</v>
      </c>
      <c r="F10" s="157">
        <f t="shared" si="0"/>
        <v>-4.8519025075880844E-2</v>
      </c>
      <c r="G10" s="157">
        <f t="shared" si="0"/>
        <v>-5.968851742135832E-2</v>
      </c>
      <c r="H10" s="157">
        <f t="shared" si="0"/>
        <v>-7.2207376742699197E-2</v>
      </c>
      <c r="I10" s="157">
        <f t="shared" si="0"/>
        <v>-8.3075289976864128E-2</v>
      </c>
      <c r="J10" s="157">
        <f t="shared" si="0"/>
        <v>-9.3832129894788466E-2</v>
      </c>
      <c r="K10" s="157">
        <f t="shared" si="0"/>
        <v>-0.10433019772803113</v>
      </c>
      <c r="L10" s="157">
        <f t="shared" si="0"/>
        <v>-0.11435024107769766</v>
      </c>
      <c r="M10" s="157">
        <f t="shared" si="0"/>
        <v>-0.1274836915707116</v>
      </c>
      <c r="N10" s="157">
        <f t="shared" si="0"/>
        <v>-0.13818801340275286</v>
      </c>
      <c r="O10" s="157">
        <f t="shared" si="0"/>
        <v>-0.14873245222502199</v>
      </c>
      <c r="P10" s="157">
        <f t="shared" si="0"/>
        <v>-0.15939936380219388</v>
      </c>
      <c r="Q10" s="157">
        <f t="shared" si="0"/>
        <v>-0.16993227183466586</v>
      </c>
      <c r="R10" s="157">
        <f t="shared" si="0"/>
        <v>-0.18366530350723273</v>
      </c>
      <c r="S10" s="157">
        <f t="shared" si="0"/>
        <v>-0.19435349696453097</v>
      </c>
      <c r="T10" s="157">
        <f t="shared" si="0"/>
        <v>-0.20492181959166014</v>
      </c>
      <c r="U10" s="157">
        <f t="shared" si="0"/>
        <v>-0.21570191795992877</v>
      </c>
      <c r="V10" s="157">
        <f t="shared" si="0"/>
        <v>-0.22671936638305723</v>
      </c>
      <c r="W10" s="157">
        <f t="shared" si="0"/>
        <v>-0.23730421495924151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11</vt:i4>
      </vt:variant>
    </vt:vector>
  </HeadingPairs>
  <TitlesOfParts>
    <vt:vector size="35" baseType="lpstr">
      <vt:lpstr>Summary-Charts</vt:lpstr>
      <vt:lpstr>Summary-Results</vt:lpstr>
      <vt:lpstr>Input Assumptions</vt:lpstr>
      <vt:lpstr>Non-Price Factors</vt:lpstr>
      <vt:lpstr>Retail Rates</vt:lpstr>
      <vt:lpstr>Wholesale Price</vt:lpstr>
      <vt:lpstr>Inflation</vt:lpstr>
      <vt:lpstr>Total Resource Cost</vt:lpstr>
      <vt:lpstr>Utility Cost</vt:lpstr>
      <vt:lpstr>Consumer Cost</vt:lpstr>
      <vt:lpstr>Net Reduction in Gas</vt:lpstr>
      <vt:lpstr>Energy Usage</vt:lpstr>
      <vt:lpstr>Water Heater Stock</vt:lpstr>
      <vt:lpstr>Water Heaters Retired</vt:lpstr>
      <vt:lpstr>Water Heaters Purchased</vt:lpstr>
      <vt:lpstr>Average Market Share</vt:lpstr>
      <vt:lpstr>Marginal Market Share</vt:lpstr>
      <vt:lpstr>Total Allocation Weight</vt:lpstr>
      <vt:lpstr>Marginal Allocation Weight</vt:lpstr>
      <vt:lpstr>Levelized Costs</vt:lpstr>
      <vt:lpstr>Fuel Cost</vt:lpstr>
      <vt:lpstr>Device Energy Use</vt:lpstr>
      <vt:lpstr>Capital Cost</vt:lpstr>
      <vt:lpstr>O&amp;M Cost</vt:lpstr>
      <vt:lpstr>CapitalChargeRate</vt:lpstr>
      <vt:lpstr>ConvertMMBTU</vt:lpstr>
      <vt:lpstr>DiscountRate</vt:lpstr>
      <vt:lpstr>HeatRate</vt:lpstr>
      <vt:lpstr>Households</vt:lpstr>
      <vt:lpstr>Lifetime</vt:lpstr>
      <vt:lpstr>SpaceHeat</vt:lpstr>
      <vt:lpstr>StartWH</vt:lpstr>
      <vt:lpstr>State</vt:lpstr>
      <vt:lpstr>TankSize</vt:lpstr>
      <vt:lpstr>VarianceFactor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Massoud Jourabchi</cp:lastModifiedBy>
  <dcterms:created xsi:type="dcterms:W3CDTF">2014-08-12T20:22:43Z</dcterms:created>
  <dcterms:modified xsi:type="dcterms:W3CDTF">2015-01-14T19:00:33Z</dcterms:modified>
</cp:coreProperties>
</file>