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120" windowWidth="13890" windowHeight="6225" activeTab="4"/>
  </bookViews>
  <sheets>
    <sheet name="Summary-Charts" sheetId="39" r:id="rId1"/>
    <sheet name="Summary-Results" sheetId="40" r:id="rId2"/>
    <sheet name="Input Assumptions" sheetId="30" r:id="rId3"/>
    <sheet name="Non-Price Factors" sheetId="45" r:id="rId4"/>
    <sheet name="Retail Rates" sheetId="16" r:id="rId5"/>
    <sheet name="Wholesale Price" sheetId="50" r:id="rId6"/>
    <sheet name="Inflation" sheetId="37" r:id="rId7"/>
    <sheet name="Total Resource Cost" sheetId="51" r:id="rId8"/>
    <sheet name="Utility Cost" sheetId="49" r:id="rId9"/>
    <sheet name="Consumer Cost" sheetId="29" r:id="rId10"/>
    <sheet name="Net Reduction in Gas" sheetId="48" r:id="rId11"/>
    <sheet name="Energy Usage" sheetId="25" r:id="rId12"/>
    <sheet name="Water Heater Stock" sheetId="21" r:id="rId13"/>
    <sheet name="Water Heaters Retired" sheetId="34" r:id="rId14"/>
    <sheet name="Water Heaters Purchased" sheetId="33" r:id="rId15"/>
    <sheet name="Average Market Share" sheetId="46" r:id="rId16"/>
    <sheet name="Marginal Market Share" sheetId="23" r:id="rId17"/>
    <sheet name="Total Allocation Weight" sheetId="32" r:id="rId18"/>
    <sheet name="Marginal Allocation Weight" sheetId="31" r:id="rId19"/>
    <sheet name="Levelized Costs" sheetId="14" r:id="rId20"/>
    <sheet name="Fuel Cost" sheetId="15" r:id="rId21"/>
    <sheet name="Device Energy Use" sheetId="4" r:id="rId22"/>
    <sheet name="Capital Cost" sheetId="42" r:id="rId23"/>
    <sheet name="O&amp;M Cost" sheetId="43" r:id="rId24"/>
  </sheets>
  <definedNames>
    <definedName name="_Order1" hidden="1">255</definedName>
    <definedName name="CapitalChargeRate">'Input Assumptions'!$B$16</definedName>
    <definedName name="CBWorkbookPriority" hidden="1">-1631902449</definedName>
    <definedName name="ConvertMMBTU">'Input Assumptions'!$B$18</definedName>
    <definedName name="DiscountRate">'Input Assumptions'!$B$15</definedName>
    <definedName name="HeatRate">'Input Assumptions'!$B$17</definedName>
    <definedName name="Households">'Input Assumptions'!$B$13</definedName>
    <definedName name="Lifetime">'Input Assumptions'!$B$14</definedName>
    <definedName name="SpaceHeat">'Input Assumptions'!$B$10</definedName>
    <definedName name="StartWH">'Input Assumptions'!$B$11</definedName>
    <definedName name="State">'Input Assumptions'!$B$9</definedName>
    <definedName name="TankSize">'Input Assumptions'!$B$12</definedName>
    <definedName name="VarianceFactor">'Input Assumptions'!$B$19</definedName>
  </definedNames>
  <calcPr calcId="125725" calcOnSave="0"/>
</workbook>
</file>

<file path=xl/calcChain.xml><?xml version="1.0" encoding="utf-8"?>
<calcChain xmlns="http://schemas.openxmlformats.org/spreadsheetml/2006/main">
  <c r="A1" i="30"/>
  <c r="A1" i="43" l="1"/>
  <c r="A1" i="42"/>
  <c r="A1" i="4"/>
  <c r="A1" i="15"/>
  <c r="A1" i="14"/>
  <c r="A1" i="31"/>
  <c r="A1" i="32"/>
  <c r="A1" i="23"/>
  <c r="A1" i="46"/>
  <c r="A1" i="33"/>
  <c r="A1" i="34"/>
  <c r="A1" i="21"/>
  <c r="A1" i="25"/>
  <c r="A1" i="48"/>
  <c r="A1" i="29"/>
  <c r="A1" i="49"/>
  <c r="A1" i="51"/>
  <c r="A1" i="37"/>
  <c r="A1" i="50"/>
  <c r="A1" i="16"/>
  <c r="A1" i="45"/>
  <c r="B41" i="40"/>
  <c r="B35"/>
  <c r="B27"/>
  <c r="B19"/>
  <c r="B11"/>
  <c r="B3"/>
  <c r="A1"/>
  <c r="B57" i="39"/>
  <c r="B21"/>
  <c r="B39"/>
  <c r="B3"/>
  <c r="A1"/>
  <c r="D9" i="49" l="1"/>
  <c r="E9"/>
  <c r="F9"/>
  <c r="G9"/>
  <c r="H9"/>
  <c r="I9"/>
  <c r="J9"/>
  <c r="K9"/>
  <c r="L9"/>
  <c r="M9"/>
  <c r="N9"/>
  <c r="O9"/>
  <c r="P9"/>
  <c r="Q9"/>
  <c r="R9"/>
  <c r="S9"/>
  <c r="T9"/>
  <c r="U9"/>
  <c r="V9"/>
  <c r="W9"/>
  <c r="D12" i="48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B75" i="39" l="1"/>
  <c r="B45" i="40"/>
  <c r="B44"/>
  <c r="B43"/>
  <c r="W11" i="5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W4" i="48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B9" i="49"/>
  <c r="C9"/>
  <c r="M7"/>
  <c r="N7"/>
  <c r="U7"/>
  <c r="V7"/>
  <c r="W7"/>
  <c r="B7"/>
  <c r="C12" i="48"/>
  <c r="B12"/>
  <c r="J10"/>
  <c r="J7" i="49" s="1"/>
  <c r="K10" i="48"/>
  <c r="K7" i="49" s="1"/>
  <c r="L10" i="48"/>
  <c r="L7" i="49" s="1"/>
  <c r="M10" i="48"/>
  <c r="N10"/>
  <c r="O10"/>
  <c r="O7" i="49" s="1"/>
  <c r="P10" i="48"/>
  <c r="P7" i="49" s="1"/>
  <c r="Q10" i="48"/>
  <c r="Q7" i="49" s="1"/>
  <c r="R10" i="48"/>
  <c r="R7" i="49" s="1"/>
  <c r="S10" i="48"/>
  <c r="S7" i="49" s="1"/>
  <c r="T10" i="48"/>
  <c r="T7" i="49" s="1"/>
  <c r="U10" i="48"/>
  <c r="V10"/>
  <c r="W10"/>
  <c r="B10"/>
  <c r="C10"/>
  <c r="C7" i="49" s="1"/>
  <c r="D10" i="48"/>
  <c r="D7" i="49" s="1"/>
  <c r="E10" i="48"/>
  <c r="E7" i="49" s="1"/>
  <c r="F10" i="48"/>
  <c r="F7" i="49" s="1"/>
  <c r="G10" i="48"/>
  <c r="G7" i="49" s="1"/>
  <c r="H10" i="48"/>
  <c r="H7" i="49" s="1"/>
  <c r="I10" i="48"/>
  <c r="I7" i="49" s="1"/>
  <c r="C16" i="34"/>
  <c r="C17"/>
  <c r="C18"/>
  <c r="C19"/>
  <c r="C7"/>
  <c r="C8"/>
  <c r="C9"/>
  <c r="C10"/>
  <c r="B6" i="21"/>
  <c r="C6" i="34" s="1"/>
  <c r="B15" i="21"/>
  <c r="C15" i="34" s="1"/>
  <c r="A25" i="30" l="1"/>
  <c r="A34"/>
  <c r="C42" i="40"/>
  <c r="D20" i="45" l="1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C20"/>
  <c r="B22"/>
  <c r="B23"/>
  <c r="B24"/>
  <c r="B21"/>
  <c r="B20"/>
  <c r="A18" l="1"/>
  <c r="A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A12" i="46" l="1"/>
  <c r="A4"/>
  <c r="C14" i="45"/>
  <c r="C24" s="1"/>
  <c r="C13"/>
  <c r="C23" s="1"/>
  <c r="C12"/>
  <c r="C22" s="1"/>
  <c r="C11"/>
  <c r="C21" s="1"/>
  <c r="D14" l="1"/>
  <c r="D24" s="1"/>
  <c r="D13"/>
  <c r="D23" s="1"/>
  <c r="D12"/>
  <c r="D22" s="1"/>
  <c r="D11"/>
  <c r="D21" s="1"/>
  <c r="A9"/>
  <c r="A19" s="1"/>
  <c r="E11" l="1"/>
  <c r="E21" s="1"/>
  <c r="E12"/>
  <c r="E22" s="1"/>
  <c r="E13"/>
  <c r="E23" s="1"/>
  <c r="E14"/>
  <c r="E24" s="1"/>
  <c r="F14" l="1"/>
  <c r="F24" s="1"/>
  <c r="F13"/>
  <c r="F23" s="1"/>
  <c r="F12"/>
  <c r="F22" s="1"/>
  <c r="F11"/>
  <c r="F21" s="1"/>
  <c r="D9" i="42"/>
  <c r="C9"/>
  <c r="B9"/>
  <c r="D8"/>
  <c r="C8"/>
  <c r="B8"/>
  <c r="D7"/>
  <c r="C7"/>
  <c r="B7"/>
  <c r="D6"/>
  <c r="C6"/>
  <c r="B6"/>
  <c r="D5"/>
  <c r="C5"/>
  <c r="B5"/>
  <c r="C4"/>
  <c r="B4"/>
  <c r="C9" i="43"/>
  <c r="B9"/>
  <c r="C8"/>
  <c r="B8"/>
  <c r="C7"/>
  <c r="B7"/>
  <c r="C6"/>
  <c r="B6"/>
  <c r="D6" s="1"/>
  <c r="C5"/>
  <c r="B5"/>
  <c r="B4"/>
  <c r="B4" i="4"/>
  <c r="C4"/>
  <c r="B5"/>
  <c r="C5"/>
  <c r="B6"/>
  <c r="C6"/>
  <c r="B7"/>
  <c r="C7"/>
  <c r="B8"/>
  <c r="C8"/>
  <c r="B9"/>
  <c r="C9"/>
  <c r="D6"/>
  <c r="D7"/>
  <c r="D8"/>
  <c r="D9"/>
  <c r="D5"/>
  <c r="A9" i="43"/>
  <c r="A8"/>
  <c r="A7"/>
  <c r="A6"/>
  <c r="A5"/>
  <c r="A9" i="42"/>
  <c r="A8"/>
  <c r="A7"/>
  <c r="A6"/>
  <c r="A5"/>
  <c r="D5" i="43" l="1"/>
  <c r="B31" i="29" s="1"/>
  <c r="D9" i="43"/>
  <c r="B72" i="29" s="1"/>
  <c r="E6" i="42"/>
  <c r="B23" i="29" s="1"/>
  <c r="D8" i="43"/>
  <c r="B71" i="29" s="1"/>
  <c r="B69"/>
  <c r="B32"/>
  <c r="G11" i="45"/>
  <c r="G21" s="1"/>
  <c r="G12"/>
  <c r="G22" s="1"/>
  <c r="G13"/>
  <c r="G23" s="1"/>
  <c r="G14"/>
  <c r="G24" s="1"/>
  <c r="E8" i="42"/>
  <c r="E5"/>
  <c r="E9"/>
  <c r="D7" i="43"/>
  <c r="E7" i="42"/>
  <c r="B60" i="29" l="1"/>
  <c r="B35"/>
  <c r="B68"/>
  <c r="B34"/>
  <c r="B25"/>
  <c r="B62"/>
  <c r="B59"/>
  <c r="B22"/>
  <c r="B26"/>
  <c r="B63"/>
  <c r="B24"/>
  <c r="B61"/>
  <c r="B70"/>
  <c r="B33"/>
  <c r="H14" i="45"/>
  <c r="H24" s="1"/>
  <c r="H13"/>
  <c r="H23" s="1"/>
  <c r="H12"/>
  <c r="H22" s="1"/>
  <c r="H11"/>
  <c r="H21" s="1"/>
  <c r="E9" i="4"/>
  <c r="A9"/>
  <c r="E8"/>
  <c r="A8"/>
  <c r="E7"/>
  <c r="A7"/>
  <c r="E6"/>
  <c r="A6"/>
  <c r="E5"/>
  <c r="A5"/>
  <c r="E4"/>
  <c r="A4" i="15"/>
  <c r="A4" i="14"/>
  <c r="A4" i="31"/>
  <c r="A4" i="32"/>
  <c r="A12" i="23"/>
  <c r="A4"/>
  <c r="W13" i="33"/>
  <c r="V13"/>
  <c r="V57" i="29" s="1"/>
  <c r="V48" s="1"/>
  <c r="U13" i="33"/>
  <c r="U57" i="29" s="1"/>
  <c r="U48" s="1"/>
  <c r="T13" i="33"/>
  <c r="T57" i="29" s="1"/>
  <c r="T48" s="1"/>
  <c r="S13" i="33"/>
  <c r="S57" i="29" s="1"/>
  <c r="S48" s="1"/>
  <c r="R13" i="33"/>
  <c r="R57" i="29" s="1"/>
  <c r="R48" s="1"/>
  <c r="Q13" i="33"/>
  <c r="Q57" i="29" s="1"/>
  <c r="Q48" s="1"/>
  <c r="P13" i="33"/>
  <c r="O13"/>
  <c r="O57" i="29" s="1"/>
  <c r="O48" s="1"/>
  <c r="N13" i="33"/>
  <c r="N57" i="29" s="1"/>
  <c r="N48" s="1"/>
  <c r="M13" i="33"/>
  <c r="M57" i="29" s="1"/>
  <c r="M48" s="1"/>
  <c r="L13" i="33"/>
  <c r="L57" i="29" s="1"/>
  <c r="L48" s="1"/>
  <c r="K13" i="33"/>
  <c r="K57" i="29" s="1"/>
  <c r="K48" s="1"/>
  <c r="J13" i="33"/>
  <c r="J57" i="29" s="1"/>
  <c r="J48" s="1"/>
  <c r="I13" i="33"/>
  <c r="I57" i="29" s="1"/>
  <c r="I48" s="1"/>
  <c r="H13" i="33"/>
  <c r="G13"/>
  <c r="G57" i="29" s="1"/>
  <c r="G48" s="1"/>
  <c r="F13" i="33"/>
  <c r="F57" i="29" s="1"/>
  <c r="F48" s="1"/>
  <c r="E13" i="33"/>
  <c r="E57" i="29" s="1"/>
  <c r="E48" s="1"/>
  <c r="D13" i="33"/>
  <c r="D57" i="29" s="1"/>
  <c r="D48" s="1"/>
  <c r="C13" i="33"/>
  <c r="C57" i="29" s="1"/>
  <c r="C48" s="1"/>
  <c r="B13" i="33"/>
  <c r="B57" i="29" s="1"/>
  <c r="B48" s="1"/>
  <c r="A13" i="33"/>
  <c r="A57" i="29" s="1"/>
  <c r="A48" s="1"/>
  <c r="W4" i="33"/>
  <c r="W20" i="29" s="1"/>
  <c r="W11" s="1"/>
  <c r="V4" i="33"/>
  <c r="V20" i="29" s="1"/>
  <c r="V11" s="1"/>
  <c r="U4" i="33"/>
  <c r="U20" i="29" s="1"/>
  <c r="U11" s="1"/>
  <c r="T4" i="33"/>
  <c r="T20" i="29" s="1"/>
  <c r="T11" s="1"/>
  <c r="S4" i="33"/>
  <c r="S20" i="29" s="1"/>
  <c r="S11" s="1"/>
  <c r="R4" i="33"/>
  <c r="R20" i="29" s="1"/>
  <c r="R11" s="1"/>
  <c r="Q4" i="33"/>
  <c r="Q20" i="29" s="1"/>
  <c r="Q11" s="1"/>
  <c r="P4" i="33"/>
  <c r="P20" i="29" s="1"/>
  <c r="P11" s="1"/>
  <c r="O4" i="33"/>
  <c r="O20" i="29" s="1"/>
  <c r="O11" s="1"/>
  <c r="N4" i="33"/>
  <c r="N20" i="29" s="1"/>
  <c r="N11" s="1"/>
  <c r="M4" i="33"/>
  <c r="M20" i="29" s="1"/>
  <c r="M11" s="1"/>
  <c r="L4" i="33"/>
  <c r="L20" i="29" s="1"/>
  <c r="L11" s="1"/>
  <c r="K4" i="33"/>
  <c r="K20" i="29" s="1"/>
  <c r="K11" s="1"/>
  <c r="J4" i="33"/>
  <c r="J20" i="29" s="1"/>
  <c r="J11" s="1"/>
  <c r="I4" i="33"/>
  <c r="I20" i="29" s="1"/>
  <c r="I11" s="1"/>
  <c r="H4" i="33"/>
  <c r="H20" i="29" s="1"/>
  <c r="H11" s="1"/>
  <c r="G4" i="33"/>
  <c r="G20" i="29" s="1"/>
  <c r="G11" s="1"/>
  <c r="F4" i="33"/>
  <c r="F20" i="29" s="1"/>
  <c r="F11" s="1"/>
  <c r="E4" i="33"/>
  <c r="E20" i="29" s="1"/>
  <c r="E11" s="1"/>
  <c r="D4" i="33"/>
  <c r="D20" i="29" s="1"/>
  <c r="D11" s="1"/>
  <c r="C4" i="33"/>
  <c r="C20" i="29" s="1"/>
  <c r="C11" s="1"/>
  <c r="B4" i="33"/>
  <c r="B20" i="29" s="1"/>
  <c r="B11" s="1"/>
  <c r="A4" i="33"/>
  <c r="A20" i="29" s="1"/>
  <c r="A11" s="1"/>
  <c r="W13" i="3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13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4"/>
  <c r="A13" i="21"/>
  <c r="A66" i="29" s="1"/>
  <c r="A4" i="21"/>
  <c r="W62" i="25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62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53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44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35"/>
  <c r="W25"/>
  <c r="W75" i="29" s="1"/>
  <c r="V25" i="25"/>
  <c r="V38" i="29" s="1"/>
  <c r="U25" i="25"/>
  <c r="U75" i="29" s="1"/>
  <c r="T25" i="25"/>
  <c r="T38" i="29" s="1"/>
  <c r="S25" i="25"/>
  <c r="R25"/>
  <c r="R38" i="29" s="1"/>
  <c r="Q25" i="25"/>
  <c r="P25"/>
  <c r="O25"/>
  <c r="O75" i="29" s="1"/>
  <c r="N25" i="25"/>
  <c r="M25"/>
  <c r="L25"/>
  <c r="L75" i="29" s="1"/>
  <c r="K25" i="25"/>
  <c r="K38" i="29" s="1"/>
  <c r="J25" i="25"/>
  <c r="J75" i="29" s="1"/>
  <c r="I25" i="25"/>
  <c r="H25"/>
  <c r="G25"/>
  <c r="G75" i="29" s="1"/>
  <c r="F25" i="25"/>
  <c r="F75" i="29" s="1"/>
  <c r="E25" i="25"/>
  <c r="D25"/>
  <c r="D38" i="29" s="1"/>
  <c r="C25" i="25"/>
  <c r="B25"/>
  <c r="B75" i="29" s="1"/>
  <c r="A25" i="25"/>
  <c r="A75" i="29" s="1"/>
  <c r="W16" i="25"/>
  <c r="W4" s="1"/>
  <c r="V16"/>
  <c r="V4" s="1"/>
  <c r="U16"/>
  <c r="U4" s="1"/>
  <c r="T16"/>
  <c r="T4" s="1"/>
  <c r="S16"/>
  <c r="S4" s="1"/>
  <c r="R16"/>
  <c r="R4" s="1"/>
  <c r="Q16"/>
  <c r="Q4" s="1"/>
  <c r="P16"/>
  <c r="P4" s="1"/>
  <c r="O16"/>
  <c r="O4" s="1"/>
  <c r="N16"/>
  <c r="N4" s="1"/>
  <c r="N5" s="1"/>
  <c r="M16"/>
  <c r="M4" s="1"/>
  <c r="L16"/>
  <c r="L4" s="1"/>
  <c r="K16"/>
  <c r="K4" s="1"/>
  <c r="J16"/>
  <c r="J4" s="1"/>
  <c r="I16"/>
  <c r="I4" s="1"/>
  <c r="H16"/>
  <c r="H4" s="1"/>
  <c r="G16"/>
  <c r="G4" s="1"/>
  <c r="G5" s="1"/>
  <c r="F16"/>
  <c r="F4" s="1"/>
  <c r="E16"/>
  <c r="E4" s="1"/>
  <c r="D16"/>
  <c r="D4" s="1"/>
  <c r="C16"/>
  <c r="C4" s="1"/>
  <c r="B16"/>
  <c r="B4" s="1"/>
  <c r="A16"/>
  <c r="W66" i="29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W57"/>
  <c r="W48" s="1"/>
  <c r="P57"/>
  <c r="P48" s="1"/>
  <c r="H57"/>
  <c r="H48" s="1"/>
  <c r="A4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W4" i="15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B4" i="14" s="1"/>
  <c r="B12" i="46" s="1"/>
  <c r="A3" i="16"/>
  <c r="A29" i="29" l="1"/>
  <c r="A13" i="45"/>
  <c r="A23" s="1"/>
  <c r="A8" i="46"/>
  <c r="B24" i="40" s="1"/>
  <c r="A16" i="46"/>
  <c r="B32" i="40" s="1"/>
  <c r="A12" i="45"/>
  <c r="A22" s="1"/>
  <c r="A15" i="46"/>
  <c r="B31" i="40" s="1"/>
  <c r="A7" i="46"/>
  <c r="B23" i="40" s="1"/>
  <c r="A10" i="45"/>
  <c r="A20" s="1"/>
  <c r="A13" i="46"/>
  <c r="B29" i="40" s="1"/>
  <c r="A5" i="46"/>
  <c r="B21" i="40" s="1"/>
  <c r="A11" i="45"/>
  <c r="A21" s="1"/>
  <c r="A14" i="46"/>
  <c r="B30" i="40" s="1"/>
  <c r="A6" i="46"/>
  <c r="B22" i="40" s="1"/>
  <c r="A14" i="45"/>
  <c r="A24" s="1"/>
  <c r="A9" i="46"/>
  <c r="B25" i="40" s="1"/>
  <c r="A17" i="46"/>
  <c r="B33" i="40" s="1"/>
  <c r="A21" i="25"/>
  <c r="A34" i="29" s="1"/>
  <c r="B21"/>
  <c r="A38"/>
  <c r="I11" i="45"/>
  <c r="I21" s="1"/>
  <c r="I12"/>
  <c r="I22" s="1"/>
  <c r="I13"/>
  <c r="I23" s="1"/>
  <c r="I14"/>
  <c r="I24" s="1"/>
  <c r="B4" i="31"/>
  <c r="B4" i="23" s="1"/>
  <c r="B12"/>
  <c r="L5" i="15"/>
  <c r="E5"/>
  <c r="E5" i="14" s="1"/>
  <c r="E5" i="31" s="1"/>
  <c r="M5" i="15"/>
  <c r="U5"/>
  <c r="U5" i="14" s="1"/>
  <c r="U5" i="31" s="1"/>
  <c r="V4" i="14"/>
  <c r="V4" i="31" s="1"/>
  <c r="P4" i="14"/>
  <c r="P12" i="46" s="1"/>
  <c r="I4" i="14"/>
  <c r="Q4"/>
  <c r="Q12" i="46" s="1"/>
  <c r="G4" i="14"/>
  <c r="J4"/>
  <c r="J12" i="46" s="1"/>
  <c r="R4" i="14"/>
  <c r="U4"/>
  <c r="F4"/>
  <c r="H4"/>
  <c r="M10" i="25"/>
  <c r="B38" i="29"/>
  <c r="U38"/>
  <c r="T10" i="25"/>
  <c r="B5"/>
  <c r="J38" i="29"/>
  <c r="A49" i="25"/>
  <c r="A6" i="15"/>
  <c r="A20" i="25"/>
  <c r="A33" i="29" s="1"/>
  <c r="A58" i="25"/>
  <c r="A67"/>
  <c r="I5" i="15"/>
  <c r="I5" i="14" s="1"/>
  <c r="I5" i="31" s="1"/>
  <c r="A18" i="21"/>
  <c r="A18" i="34" s="1"/>
  <c r="A7" i="21"/>
  <c r="A7" i="33" s="1"/>
  <c r="A23" i="29" s="1"/>
  <c r="A14" s="1"/>
  <c r="A8" i="23"/>
  <c r="B8" i="40" s="1"/>
  <c r="A16" i="23"/>
  <c r="A30" i="25"/>
  <c r="A43" i="29" s="1"/>
  <c r="A19" i="25"/>
  <c r="A32" i="29" s="1"/>
  <c r="A40" i="25"/>
  <c r="A9" i="21"/>
  <c r="A9" i="33" s="1"/>
  <c r="A25" i="29" s="1"/>
  <c r="A16" s="1"/>
  <c r="A15" i="23"/>
  <c r="A16" i="21"/>
  <c r="A69" i="29" s="1"/>
  <c r="J5" i="15"/>
  <c r="J5" i="14" s="1"/>
  <c r="J5" i="31" s="1"/>
  <c r="Q5" i="15"/>
  <c r="Q5" i="14" s="1"/>
  <c r="Q5" i="31" s="1"/>
  <c r="G38" i="29"/>
  <c r="F38"/>
  <c r="A28" i="25"/>
  <c r="A38"/>
  <c r="A6" i="23"/>
  <c r="A6" i="14"/>
  <c r="A56" i="25"/>
  <c r="A14" i="23"/>
  <c r="A47" i="25"/>
  <c r="R75" i="29"/>
  <c r="A65" i="25"/>
  <c r="O38" i="29"/>
  <c r="W38"/>
  <c r="V75"/>
  <c r="D5" i="15"/>
  <c r="D5" i="14" s="1"/>
  <c r="D5" i="31" s="1"/>
  <c r="U5" i="25"/>
  <c r="U10"/>
  <c r="K75" i="29"/>
  <c r="A41" i="25"/>
  <c r="L38" i="29"/>
  <c r="N4" i="14"/>
  <c r="A9"/>
  <c r="D5" i="25"/>
  <c r="F10"/>
  <c r="R5" i="15"/>
  <c r="R5" i="14" s="1"/>
  <c r="R5" i="31" s="1"/>
  <c r="R10" i="25"/>
  <c r="B5" i="15"/>
  <c r="T5"/>
  <c r="T5" i="14" s="1"/>
  <c r="T5" i="31" s="1"/>
  <c r="J5" i="25"/>
  <c r="J10"/>
  <c r="D4" i="14"/>
  <c r="L4"/>
  <c r="L12" i="46" s="1"/>
  <c r="T4" i="14"/>
  <c r="A15" i="21"/>
  <c r="A27" i="25"/>
  <c r="A18"/>
  <c r="A31" i="29" s="1"/>
  <c r="A5" i="15"/>
  <c r="A5" i="14"/>
  <c r="A5" i="23"/>
  <c r="B5" i="40" s="1"/>
  <c r="A64" i="25"/>
  <c r="A13" i="23"/>
  <c r="A46" i="25"/>
  <c r="A17" i="23"/>
  <c r="A22" i="25"/>
  <c r="A35" i="29" s="1"/>
  <c r="A10" i="21"/>
  <c r="A10" i="33" s="1"/>
  <c r="A26" i="29" s="1"/>
  <c r="A17" s="1"/>
  <c r="A19" i="21"/>
  <c r="A68" i="25"/>
  <c r="A59"/>
  <c r="A9" i="15"/>
  <c r="A9" i="23"/>
  <c r="W4" i="14"/>
  <c r="D75" i="29"/>
  <c r="R5" i="25"/>
  <c r="B10"/>
  <c r="C75" i="29"/>
  <c r="C38"/>
  <c r="S75"/>
  <c r="S38"/>
  <c r="A55" i="25"/>
  <c r="A50"/>
  <c r="F5"/>
  <c r="O4" i="14"/>
  <c r="I38" i="29"/>
  <c r="I75"/>
  <c r="A6" i="21"/>
  <c r="A6" i="33" s="1"/>
  <c r="A22" i="29" s="1"/>
  <c r="A13" s="1"/>
  <c r="A37" i="25"/>
  <c r="A7" i="23"/>
  <c r="A57" i="25"/>
  <c r="A48"/>
  <c r="A39"/>
  <c r="A29"/>
  <c r="A17" i="21"/>
  <c r="A17" i="33" s="1"/>
  <c r="A61" i="29" s="1"/>
  <c r="A52" s="1"/>
  <c r="V10" i="25"/>
  <c r="A66"/>
  <c r="T75" i="29"/>
  <c r="Q10" i="25"/>
  <c r="P75" i="29"/>
  <c r="P38"/>
  <c r="A31" i="25"/>
  <c r="M4" i="14"/>
  <c r="E4"/>
  <c r="W10" i="25"/>
  <c r="W5"/>
  <c r="G10"/>
  <c r="H75" i="29"/>
  <c r="H38"/>
  <c r="U8" i="15"/>
  <c r="U8" i="14" s="1"/>
  <c r="O8" i="15"/>
  <c r="O8" i="14" s="1"/>
  <c r="H8" i="15"/>
  <c r="H8" i="14" s="1"/>
  <c r="T8" i="15"/>
  <c r="T8" i="14" s="1"/>
  <c r="P8" i="15"/>
  <c r="P8" i="14" s="1"/>
  <c r="G8" i="15"/>
  <c r="G8" i="14" s="1"/>
  <c r="E5" i="25"/>
  <c r="E10"/>
  <c r="Q5"/>
  <c r="H10"/>
  <c r="H5"/>
  <c r="I10"/>
  <c r="I5"/>
  <c r="P5"/>
  <c r="P10"/>
  <c r="L5"/>
  <c r="L10"/>
  <c r="T5"/>
  <c r="O10"/>
  <c r="T9" i="15"/>
  <c r="T9" i="14" s="1"/>
  <c r="L9" i="15"/>
  <c r="L9" i="14" s="1"/>
  <c r="D9" i="15"/>
  <c r="D9" i="14" s="1"/>
  <c r="S9" i="15"/>
  <c r="S9" i="14" s="1"/>
  <c r="K9" i="15"/>
  <c r="K9" i="14" s="1"/>
  <c r="C9" i="15"/>
  <c r="C9" i="14" s="1"/>
  <c r="R9" i="15"/>
  <c r="R9" i="14" s="1"/>
  <c r="R9" i="31" s="1"/>
  <c r="J9" i="15"/>
  <c r="J9" i="14" s="1"/>
  <c r="B9" i="15"/>
  <c r="W9"/>
  <c r="W9" i="14" s="1"/>
  <c r="O9" i="15"/>
  <c r="O9" i="14" s="1"/>
  <c r="G9" i="15"/>
  <c r="G9" i="14" s="1"/>
  <c r="M9" i="15"/>
  <c r="M9" i="14" s="1"/>
  <c r="I9" i="15"/>
  <c r="I9" i="14" s="1"/>
  <c r="H9" i="15"/>
  <c r="H9" i="14" s="1"/>
  <c r="F9" i="15"/>
  <c r="F9" i="14" s="1"/>
  <c r="E9" i="15"/>
  <c r="E9" i="14" s="1"/>
  <c r="Q9" i="15"/>
  <c r="Q9" i="14" s="1"/>
  <c r="V9" i="15"/>
  <c r="V9" i="14" s="1"/>
  <c r="U9" i="15"/>
  <c r="U9" i="14" s="1"/>
  <c r="P9" i="15"/>
  <c r="P9" i="14" s="1"/>
  <c r="N9" i="15"/>
  <c r="N9" i="14" s="1"/>
  <c r="S10" i="25"/>
  <c r="S5"/>
  <c r="E75" i="29"/>
  <c r="E38"/>
  <c r="M38"/>
  <c r="M75"/>
  <c r="O5" i="25"/>
  <c r="C10"/>
  <c r="C5"/>
  <c r="K10"/>
  <c r="K5"/>
  <c r="D10"/>
  <c r="N38" i="29"/>
  <c r="N75"/>
  <c r="N10" i="25"/>
  <c r="V5"/>
  <c r="Q38" i="29"/>
  <c r="Q75"/>
  <c r="C4" i="14"/>
  <c r="S4"/>
  <c r="M5" i="25"/>
  <c r="K4" i="14"/>
  <c r="A8" i="15"/>
  <c r="A7"/>
  <c r="A8" i="21"/>
  <c r="S8" i="15"/>
  <c r="S8" i="14" s="1"/>
  <c r="K8" i="15"/>
  <c r="K8" i="14" s="1"/>
  <c r="C8" i="15"/>
  <c r="C8" i="14" s="1"/>
  <c r="R8" i="15"/>
  <c r="R8" i="14" s="1"/>
  <c r="R8" i="31" s="1"/>
  <c r="J8" i="15"/>
  <c r="J8" i="14" s="1"/>
  <c r="B8" i="15"/>
  <c r="Q8"/>
  <c r="Q8" i="14" s="1"/>
  <c r="I8" i="15"/>
  <c r="I8" i="14" s="1"/>
  <c r="I8" i="31" s="1"/>
  <c r="V8" i="15"/>
  <c r="V8" i="14" s="1"/>
  <c r="N8" i="15"/>
  <c r="N8" i="14" s="1"/>
  <c r="F8" i="15"/>
  <c r="F8" i="14" s="1"/>
  <c r="M8" i="15"/>
  <c r="M8" i="14" s="1"/>
  <c r="L8" i="15"/>
  <c r="L8" i="14" s="1"/>
  <c r="A7"/>
  <c r="A8"/>
  <c r="D8" i="15"/>
  <c r="D8" i="14" s="1"/>
  <c r="W8" i="15"/>
  <c r="W8" i="14" s="1"/>
  <c r="E8" i="15"/>
  <c r="E8" i="14" s="1"/>
  <c r="P5" i="15"/>
  <c r="P5" i="14" s="1"/>
  <c r="P5" i="31" s="1"/>
  <c r="H5" i="15"/>
  <c r="H5" i="14" s="1"/>
  <c r="H5" i="31" s="1"/>
  <c r="W5" i="15"/>
  <c r="W5" i="14" s="1"/>
  <c r="W5" i="31" s="1"/>
  <c r="O5" i="15"/>
  <c r="O5" i="14" s="1"/>
  <c r="O5" i="31" s="1"/>
  <c r="G5" i="15"/>
  <c r="G5" i="14" s="1"/>
  <c r="G5" i="31" s="1"/>
  <c r="V5" i="15"/>
  <c r="V5" i="14" s="1"/>
  <c r="V5" i="31" s="1"/>
  <c r="N5" i="15"/>
  <c r="N5" i="14" s="1"/>
  <c r="N5" i="31" s="1"/>
  <c r="F5" i="15"/>
  <c r="F5" i="14" s="1"/>
  <c r="F5" i="31" s="1"/>
  <c r="S5" i="15"/>
  <c r="S5" i="14" s="1"/>
  <c r="S5" i="31" s="1"/>
  <c r="K5" i="15"/>
  <c r="K5" i="14" s="1"/>
  <c r="K5" i="31" s="1"/>
  <c r="C5" i="15"/>
  <c r="C5" i="14" s="1"/>
  <c r="C5" i="31" s="1"/>
  <c r="D8" l="1"/>
  <c r="D9"/>
  <c r="J8"/>
  <c r="J9"/>
  <c r="E8"/>
  <c r="E9"/>
  <c r="T9"/>
  <c r="T8"/>
  <c r="N8"/>
  <c r="P9"/>
  <c r="G8"/>
  <c r="K8"/>
  <c r="V9"/>
  <c r="H9"/>
  <c r="O9"/>
  <c r="K9"/>
  <c r="O8"/>
  <c r="W8"/>
  <c r="F8"/>
  <c r="V8"/>
  <c r="Q8"/>
  <c r="C8"/>
  <c r="S8"/>
  <c r="N9"/>
  <c r="U9"/>
  <c r="Q9"/>
  <c r="F9"/>
  <c r="I9"/>
  <c r="G9"/>
  <c r="W9"/>
  <c r="C9"/>
  <c r="S9"/>
  <c r="P8"/>
  <c r="H8"/>
  <c r="U8"/>
  <c r="L5" i="14"/>
  <c r="L5" i="31" s="1"/>
  <c r="B8" i="14"/>
  <c r="B9"/>
  <c r="M5"/>
  <c r="M5" i="31" s="1"/>
  <c r="B5" i="14"/>
  <c r="B5" i="31" s="1"/>
  <c r="J13" i="45"/>
  <c r="J23" s="1"/>
  <c r="J14"/>
  <c r="J24" s="1"/>
  <c r="J12"/>
  <c r="J22" s="1"/>
  <c r="J11"/>
  <c r="J21" s="1"/>
  <c r="V4" i="46"/>
  <c r="U12" i="23"/>
  <c r="U12" i="46"/>
  <c r="R12" i="23"/>
  <c r="R12" i="46"/>
  <c r="O12" i="23"/>
  <c r="O12" i="46"/>
  <c r="G12" i="23"/>
  <c r="G12" i="46"/>
  <c r="M12" i="23"/>
  <c r="M12" i="46"/>
  <c r="D12" i="23"/>
  <c r="D12" i="46"/>
  <c r="S12" i="23"/>
  <c r="S12" i="46"/>
  <c r="N12" i="23"/>
  <c r="N12" i="46"/>
  <c r="C12" i="23"/>
  <c r="C12" i="46"/>
  <c r="E12" i="23"/>
  <c r="E12" i="46"/>
  <c r="I12" i="23"/>
  <c r="I12" i="46"/>
  <c r="K12" i="23"/>
  <c r="K12" i="46"/>
  <c r="W12" i="23"/>
  <c r="W12" i="46"/>
  <c r="T12" i="23"/>
  <c r="T12" i="46"/>
  <c r="H12" i="23"/>
  <c r="H12" i="46"/>
  <c r="B4"/>
  <c r="F12" i="23"/>
  <c r="F12" i="46"/>
  <c r="V12" i="23"/>
  <c r="V12" i="46"/>
  <c r="G4" i="31"/>
  <c r="U4"/>
  <c r="U4" i="23" s="1"/>
  <c r="A7" i="34"/>
  <c r="L4" i="31"/>
  <c r="L12" i="23"/>
  <c r="J4" i="31"/>
  <c r="J12" i="23"/>
  <c r="Q4" i="31"/>
  <c r="Q12" i="23"/>
  <c r="P4" i="31"/>
  <c r="P12" i="23"/>
  <c r="F4" i="31"/>
  <c r="H4"/>
  <c r="I4"/>
  <c r="R4"/>
  <c r="A16" i="34"/>
  <c r="A18" i="33"/>
  <c r="A62" i="29" s="1"/>
  <c r="A53" s="1"/>
  <c r="A71"/>
  <c r="A16" i="33"/>
  <c r="A60" i="29" s="1"/>
  <c r="A51" s="1"/>
  <c r="A70"/>
  <c r="A9" i="34"/>
  <c r="A80" i="29"/>
  <c r="B13" i="40"/>
  <c r="B14"/>
  <c r="B16"/>
  <c r="B15"/>
  <c r="B17"/>
  <c r="A5" i="32"/>
  <c r="A5" i="31" s="1"/>
  <c r="A8" i="32"/>
  <c r="A8" i="31" s="1"/>
  <c r="B4" i="32"/>
  <c r="A17" i="34"/>
  <c r="V4" i="23"/>
  <c r="A6" i="32"/>
  <c r="A6" i="31" s="1"/>
  <c r="B6" i="40"/>
  <c r="A78" i="29"/>
  <c r="A41"/>
  <c r="N4" i="31"/>
  <c r="A6" i="34"/>
  <c r="A10"/>
  <c r="A72" i="29"/>
  <c r="A19" i="34"/>
  <c r="A19" i="33"/>
  <c r="A63" i="29" s="1"/>
  <c r="A54" s="1"/>
  <c r="D4" i="31"/>
  <c r="M4"/>
  <c r="W4"/>
  <c r="A77" i="29"/>
  <c r="A40"/>
  <c r="A81"/>
  <c r="A44"/>
  <c r="O4" i="31"/>
  <c r="A9" i="32"/>
  <c r="A9" i="31" s="1"/>
  <c r="B9" i="40"/>
  <c r="A15" i="33"/>
  <c r="A59" i="29" s="1"/>
  <c r="A50" s="1"/>
  <c r="A68"/>
  <c r="A67" s="1"/>
  <c r="A15" i="34"/>
  <c r="T4" i="31"/>
  <c r="E4"/>
  <c r="A7" i="32"/>
  <c r="A7" i="31" s="1"/>
  <c r="B7" i="40"/>
  <c r="A79" i="29"/>
  <c r="A42"/>
  <c r="K4" i="31"/>
  <c r="A8" i="34"/>
  <c r="A8" i="33"/>
  <c r="A24" i="29" s="1"/>
  <c r="A15" s="1"/>
  <c r="Q6" i="15"/>
  <c r="Q6" i="14" s="1"/>
  <c r="Q6" i="31" s="1"/>
  <c r="I6" i="15"/>
  <c r="I6" i="14" s="1"/>
  <c r="I6" i="31" s="1"/>
  <c r="P6" i="15"/>
  <c r="P6" i="14" s="1"/>
  <c r="P6" i="31" s="1"/>
  <c r="H6" i="15"/>
  <c r="H6" i="14" s="1"/>
  <c r="H6" i="31" s="1"/>
  <c r="W6" i="15"/>
  <c r="W6" i="14" s="1"/>
  <c r="W6" i="31" s="1"/>
  <c r="O6" i="15"/>
  <c r="O6" i="14" s="1"/>
  <c r="O6" i="31" s="1"/>
  <c r="G6" i="15"/>
  <c r="G6" i="14" s="1"/>
  <c r="G6" i="31" s="1"/>
  <c r="T6" i="15"/>
  <c r="T6" i="14" s="1"/>
  <c r="T6" i="31" s="1"/>
  <c r="L6" i="15"/>
  <c r="L6" i="14" s="1"/>
  <c r="D6" i="15"/>
  <c r="D6" i="14" s="1"/>
  <c r="D6" i="31" s="1"/>
  <c r="S6" i="15"/>
  <c r="S6" i="14" s="1"/>
  <c r="S6" i="31" s="1"/>
  <c r="C6" i="15"/>
  <c r="C6" i="14" s="1"/>
  <c r="C6" i="31" s="1"/>
  <c r="R6" i="15"/>
  <c r="R6" i="14" s="1"/>
  <c r="R6" i="31" s="1"/>
  <c r="B6" i="15"/>
  <c r="M6"/>
  <c r="M6" i="14" s="1"/>
  <c r="M6" i="31" s="1"/>
  <c r="K6" i="15"/>
  <c r="K6" i="14" s="1"/>
  <c r="K6" i="31" s="1"/>
  <c r="J6" i="15"/>
  <c r="J6" i="14" s="1"/>
  <c r="J6" i="31" s="1"/>
  <c r="V6" i="15"/>
  <c r="V6" i="14" s="1"/>
  <c r="V6" i="31" s="1"/>
  <c r="N6" i="15"/>
  <c r="N6" i="14" s="1"/>
  <c r="N6" i="31" s="1"/>
  <c r="U6" i="15"/>
  <c r="U6" i="14" s="1"/>
  <c r="U6" i="31" s="1"/>
  <c r="F6" i="15"/>
  <c r="F6" i="14" s="1"/>
  <c r="F6" i="31" s="1"/>
  <c r="E6" i="15"/>
  <c r="E6" i="14" s="1"/>
  <c r="E6" i="31" s="1"/>
  <c r="S4"/>
  <c r="R7" i="15"/>
  <c r="R7" i="14" s="1"/>
  <c r="R7" i="31" s="1"/>
  <c r="J7" i="15"/>
  <c r="J7" i="14" s="1"/>
  <c r="J7" i="31" s="1"/>
  <c r="B7" i="15"/>
  <c r="Q7"/>
  <c r="Q7" i="14" s="1"/>
  <c r="Q7" i="31" s="1"/>
  <c r="I7" i="15"/>
  <c r="I7" i="14" s="1"/>
  <c r="I7" i="31" s="1"/>
  <c r="P7" i="15"/>
  <c r="P7" i="14" s="1"/>
  <c r="P7" i="31" s="1"/>
  <c r="H7" i="15"/>
  <c r="H7" i="14" s="1"/>
  <c r="H7" i="31" s="1"/>
  <c r="U7" i="15"/>
  <c r="U7" i="14" s="1"/>
  <c r="U7" i="31" s="1"/>
  <c r="M7" i="15"/>
  <c r="M7" i="14" s="1"/>
  <c r="E7" i="15"/>
  <c r="E7" i="14" s="1"/>
  <c r="E7" i="31" s="1"/>
  <c r="T7" i="15"/>
  <c r="T7" i="14" s="1"/>
  <c r="T7" i="31" s="1"/>
  <c r="D7" i="15"/>
  <c r="D7" i="14" s="1"/>
  <c r="D7" i="31" s="1"/>
  <c r="S7" i="15"/>
  <c r="S7" i="14" s="1"/>
  <c r="S7" i="31" s="1"/>
  <c r="C7" i="15"/>
  <c r="C7" i="14" s="1"/>
  <c r="C7" i="31" s="1"/>
  <c r="F7" i="15"/>
  <c r="F7" i="14" s="1"/>
  <c r="F7" i="31" s="1"/>
  <c r="W7" i="15"/>
  <c r="W7" i="14" s="1"/>
  <c r="W7" i="31" s="1"/>
  <c r="V7" i="15"/>
  <c r="V7" i="14" s="1"/>
  <c r="V7" i="31" s="1"/>
  <c r="L7" i="15"/>
  <c r="L7" i="14" s="1"/>
  <c r="N7" i="15"/>
  <c r="N7" i="14" s="1"/>
  <c r="N7" i="31" s="1"/>
  <c r="O7" i="15"/>
  <c r="O7" i="14" s="1"/>
  <c r="O7" i="31" s="1"/>
  <c r="K7" i="15"/>
  <c r="K7" i="14" s="1"/>
  <c r="K7" i="31" s="1"/>
  <c r="G7" i="15"/>
  <c r="G7" i="14" s="1"/>
  <c r="G7" i="31" s="1"/>
  <c r="C4"/>
  <c r="M7" l="1"/>
  <c r="M9"/>
  <c r="M8"/>
  <c r="B9"/>
  <c r="L9"/>
  <c r="L7"/>
  <c r="L6"/>
  <c r="B8"/>
  <c r="L8"/>
  <c r="B7" i="14"/>
  <c r="B7" i="31" s="1"/>
  <c r="B6" i="14"/>
  <c r="B6" i="31" s="1"/>
  <c r="K11" i="45"/>
  <c r="K21" s="1"/>
  <c r="K12"/>
  <c r="K22" s="1"/>
  <c r="K14"/>
  <c r="K13"/>
  <c r="W4" i="46"/>
  <c r="I4"/>
  <c r="Q4" i="23"/>
  <c r="Q4" i="32" s="1"/>
  <c r="Q4" i="46"/>
  <c r="J4"/>
  <c r="U4"/>
  <c r="E4"/>
  <c r="G4"/>
  <c r="K4"/>
  <c r="G4" i="23"/>
  <c r="G4" i="32" s="1"/>
  <c r="F4" i="46"/>
  <c r="L4"/>
  <c r="C4"/>
  <c r="S4"/>
  <c r="T4"/>
  <c r="H4"/>
  <c r="O4"/>
  <c r="M4"/>
  <c r="N4"/>
  <c r="P4"/>
  <c r="R4"/>
  <c r="D4"/>
  <c r="P4" i="23"/>
  <c r="L4"/>
  <c r="L4" i="32" s="1"/>
  <c r="I4" i="23"/>
  <c r="I4" i="32" s="1"/>
  <c r="R4" i="23"/>
  <c r="R4" i="32" s="1"/>
  <c r="J4" i="23"/>
  <c r="H4"/>
  <c r="H4" i="32" s="1"/>
  <c r="F4" i="23"/>
  <c r="F4" i="32" s="1"/>
  <c r="V4"/>
  <c r="U4"/>
  <c r="S4" i="23"/>
  <c r="W4"/>
  <c r="D4"/>
  <c r="E4"/>
  <c r="O4"/>
  <c r="C4"/>
  <c r="T4"/>
  <c r="M4"/>
  <c r="K4"/>
  <c r="N4"/>
  <c r="B13" i="14" l="1"/>
  <c r="K24" i="45"/>
  <c r="K23"/>
  <c r="P4" i="32"/>
  <c r="L13" i="45"/>
  <c r="L14"/>
  <c r="L12"/>
  <c r="L11"/>
  <c r="J4" i="32"/>
  <c r="I13" i="14"/>
  <c r="I16" i="23" s="1"/>
  <c r="O13" i="14"/>
  <c r="O17" i="23" s="1"/>
  <c r="R13" i="14"/>
  <c r="R15" i="23" s="1"/>
  <c r="N13" i="14"/>
  <c r="N16" i="23" s="1"/>
  <c r="H13" i="14"/>
  <c r="H17" i="23" s="1"/>
  <c r="V13" i="14"/>
  <c r="V15" i="23" s="1"/>
  <c r="W13" i="14"/>
  <c r="W16" i="23" s="1"/>
  <c r="P13" i="14"/>
  <c r="P13" i="23" s="1"/>
  <c r="C13" i="14"/>
  <c r="C15" i="23" s="1"/>
  <c r="C17" i="33" s="1"/>
  <c r="T13" i="14"/>
  <c r="M13"/>
  <c r="M15" i="23" s="1"/>
  <c r="Q13" i="14"/>
  <c r="D7" i="32"/>
  <c r="D7" i="23" s="1"/>
  <c r="D13" i="14"/>
  <c r="U13"/>
  <c r="U14" i="23" s="1"/>
  <c r="S13" i="14"/>
  <c r="S15" i="23" s="1"/>
  <c r="L13" i="14"/>
  <c r="L15" i="23" s="1"/>
  <c r="F13" i="14"/>
  <c r="F14" i="23" s="1"/>
  <c r="K13" i="14"/>
  <c r="K15" i="23" s="1"/>
  <c r="J13" i="14"/>
  <c r="J14" i="23" s="1"/>
  <c r="E13" i="14"/>
  <c r="E15" i="23" s="1"/>
  <c r="F6" i="32"/>
  <c r="F6" i="23" s="1"/>
  <c r="G13" i="14"/>
  <c r="G15" i="23" s="1"/>
  <c r="E4" i="32"/>
  <c r="T4"/>
  <c r="N4"/>
  <c r="C4"/>
  <c r="D4"/>
  <c r="S4"/>
  <c r="K4"/>
  <c r="O4"/>
  <c r="W4"/>
  <c r="M4"/>
  <c r="B9"/>
  <c r="B9" i="23" s="1"/>
  <c r="B7" i="32"/>
  <c r="B7" i="23" s="1"/>
  <c r="B5" i="32"/>
  <c r="B5" i="23" s="1"/>
  <c r="B6" i="32"/>
  <c r="B6" i="23" s="1"/>
  <c r="B8" i="32"/>
  <c r="B8" i="23" s="1"/>
  <c r="C61" i="29" l="1"/>
  <c r="L23" i="45"/>
  <c r="L21"/>
  <c r="L22"/>
  <c r="L24"/>
  <c r="M14"/>
  <c r="M11"/>
  <c r="M13"/>
  <c r="M12"/>
  <c r="C7" i="32"/>
  <c r="C7" i="23" s="1"/>
  <c r="C8" i="33" s="1"/>
  <c r="C9" i="40"/>
  <c r="C5"/>
  <c r="C7"/>
  <c r="C8"/>
  <c r="C6"/>
  <c r="C17" i="23"/>
  <c r="C19" i="33" s="1"/>
  <c r="C16" i="23"/>
  <c r="C18" i="33" s="1"/>
  <c r="C13" i="23"/>
  <c r="C15" i="33" s="1"/>
  <c r="C14" i="23"/>
  <c r="C16" i="33" s="1"/>
  <c r="O14" i="23"/>
  <c r="O15"/>
  <c r="R17"/>
  <c r="P14"/>
  <c r="O13"/>
  <c r="C8" i="32"/>
  <c r="C8" i="23" s="1"/>
  <c r="C5" i="32"/>
  <c r="C5" i="23" s="1"/>
  <c r="I13"/>
  <c r="I17"/>
  <c r="I15"/>
  <c r="I14"/>
  <c r="P17"/>
  <c r="N17"/>
  <c r="R14"/>
  <c r="O16"/>
  <c r="R13"/>
  <c r="C6" i="32"/>
  <c r="C6" i="23" s="1"/>
  <c r="C7" i="33" s="1"/>
  <c r="R16" i="23"/>
  <c r="C9" i="32"/>
  <c r="C9" i="23" s="1"/>
  <c r="C10" i="33" s="1"/>
  <c r="N13" i="23"/>
  <c r="E8" i="32"/>
  <c r="E8" i="23" s="1"/>
  <c r="D8" i="32"/>
  <c r="D8" i="23" s="1"/>
  <c r="F15"/>
  <c r="V17"/>
  <c r="H13"/>
  <c r="D9" i="32"/>
  <c r="D9" i="23" s="1"/>
  <c r="U15"/>
  <c r="N15"/>
  <c r="H16"/>
  <c r="V13"/>
  <c r="H14"/>
  <c r="N14"/>
  <c r="H15"/>
  <c r="V16"/>
  <c r="V14"/>
  <c r="P15"/>
  <c r="P16"/>
  <c r="W15"/>
  <c r="F7" i="32"/>
  <c r="F7" i="23" s="1"/>
  <c r="D5" i="32"/>
  <c r="D5" i="23" s="1"/>
  <c r="W13"/>
  <c r="F9" i="32"/>
  <c r="F9" i="23" s="1"/>
  <c r="D6" i="32"/>
  <c r="D6" i="23" s="1"/>
  <c r="W14"/>
  <c r="W17"/>
  <c r="E5" i="32"/>
  <c r="E5" i="23" s="1"/>
  <c r="K14"/>
  <c r="E7" i="32"/>
  <c r="E7" i="23" s="1"/>
  <c r="E6" i="32"/>
  <c r="E6" i="23" s="1"/>
  <c r="E9" i="32"/>
  <c r="E9" i="23" s="1"/>
  <c r="D16"/>
  <c r="D13"/>
  <c r="D17"/>
  <c r="Q17"/>
  <c r="Q13"/>
  <c r="Q16"/>
  <c r="G17"/>
  <c r="G16"/>
  <c r="G13"/>
  <c r="K17"/>
  <c r="K16"/>
  <c r="K13"/>
  <c r="G14"/>
  <c r="T13"/>
  <c r="T17"/>
  <c r="T16"/>
  <c r="L13"/>
  <c r="L17"/>
  <c r="L16"/>
  <c r="E13"/>
  <c r="E17"/>
  <c r="E16"/>
  <c r="Q15"/>
  <c r="F13"/>
  <c r="F16"/>
  <c r="F17"/>
  <c r="S13"/>
  <c r="S17"/>
  <c r="S16"/>
  <c r="D15"/>
  <c r="T15"/>
  <c r="D14"/>
  <c r="M14"/>
  <c r="F5" i="32"/>
  <c r="F5" i="23" s="1"/>
  <c r="E14"/>
  <c r="M13"/>
  <c r="M16"/>
  <c r="M17"/>
  <c r="J16"/>
  <c r="J17"/>
  <c r="J13"/>
  <c r="L14"/>
  <c r="Q14"/>
  <c r="F8" i="32"/>
  <c r="F8" i="23" s="1"/>
  <c r="S14"/>
  <c r="U13"/>
  <c r="U17"/>
  <c r="U16"/>
  <c r="J15"/>
  <c r="T14"/>
  <c r="G8" i="32"/>
  <c r="G8" i="23" s="1"/>
  <c r="G6" i="32"/>
  <c r="G6" i="23" s="1"/>
  <c r="G5" i="32"/>
  <c r="G5" i="23" s="1"/>
  <c r="G9" i="32"/>
  <c r="G9" i="23" s="1"/>
  <c r="G7" i="32"/>
  <c r="G7" i="23" s="1"/>
  <c r="C26" i="29" l="1"/>
  <c r="C23"/>
  <c r="C59"/>
  <c r="C63"/>
  <c r="C24"/>
  <c r="C60"/>
  <c r="C62"/>
  <c r="M22" i="45"/>
  <c r="M23"/>
  <c r="M21"/>
  <c r="M24"/>
  <c r="N12"/>
  <c r="N13"/>
  <c r="N11"/>
  <c r="N14"/>
  <c r="C14" i="33"/>
  <c r="C6"/>
  <c r="C9"/>
  <c r="H9" i="32"/>
  <c r="H9" i="23" s="1"/>
  <c r="H8" i="32"/>
  <c r="H8" i="23" s="1"/>
  <c r="H6" i="32"/>
  <c r="H6" i="23" s="1"/>
  <c r="H7" i="32"/>
  <c r="H7" i="23" s="1"/>
  <c r="H5" i="32"/>
  <c r="H5" i="23" s="1"/>
  <c r="C25" i="29" l="1"/>
  <c r="C22"/>
  <c r="C58"/>
  <c r="N24" i="45"/>
  <c r="N21"/>
  <c r="N23"/>
  <c r="N22"/>
  <c r="O14"/>
  <c r="O11"/>
  <c r="O13"/>
  <c r="O12"/>
  <c r="C5" i="33"/>
  <c r="B14" i="34"/>
  <c r="B5"/>
  <c r="I9" i="32"/>
  <c r="I9" i="23" s="1"/>
  <c r="I6" i="32"/>
  <c r="I6" i="23" s="1"/>
  <c r="I8" i="32"/>
  <c r="I8" i="23" s="1"/>
  <c r="I7" i="32"/>
  <c r="I7" i="23" s="1"/>
  <c r="I5" i="32"/>
  <c r="I5" i="23" s="1"/>
  <c r="C21" i="29" l="1"/>
  <c r="O22" i="45"/>
  <c r="O23"/>
  <c r="O21"/>
  <c r="O24"/>
  <c r="P12"/>
  <c r="P13"/>
  <c r="P11"/>
  <c r="P14"/>
  <c r="B58" i="29"/>
  <c r="B14" i="33"/>
  <c r="B5"/>
  <c r="J8" i="32"/>
  <c r="J8" i="23" s="1"/>
  <c r="J9" i="32"/>
  <c r="J9" i="23" s="1"/>
  <c r="J5" i="32"/>
  <c r="J5" i="23" s="1"/>
  <c r="J7" i="32"/>
  <c r="J7" i="23" s="1"/>
  <c r="J6" i="32"/>
  <c r="J6" i="23" s="1"/>
  <c r="P22" i="45" l="1"/>
  <c r="Q14"/>
  <c r="P24"/>
  <c r="Q11"/>
  <c r="P21"/>
  <c r="Q13"/>
  <c r="P23"/>
  <c r="Q12"/>
  <c r="B67" i="25"/>
  <c r="B50"/>
  <c r="B27"/>
  <c r="B77" i="29" s="1"/>
  <c r="B64" i="25"/>
  <c r="B46"/>
  <c r="B29"/>
  <c r="B48"/>
  <c r="B66"/>
  <c r="B30"/>
  <c r="B80" i="29" s="1"/>
  <c r="B28" i="25"/>
  <c r="B78" i="29" s="1"/>
  <c r="B65" i="25"/>
  <c r="B47"/>
  <c r="B49"/>
  <c r="B31"/>
  <c r="B81" i="29" s="1"/>
  <c r="B68" i="25"/>
  <c r="B14" i="21"/>
  <c r="B41" i="25"/>
  <c r="B22"/>
  <c r="B44" i="29" s="1"/>
  <c r="B59" i="25"/>
  <c r="B56"/>
  <c r="B38"/>
  <c r="B19"/>
  <c r="B41" i="29" s="1"/>
  <c r="B55" i="25"/>
  <c r="B37"/>
  <c r="B18"/>
  <c r="B40" i="29" s="1"/>
  <c r="B5" i="21"/>
  <c r="B40" i="25"/>
  <c r="B58"/>
  <c r="B21"/>
  <c r="B43" i="29" s="1"/>
  <c r="B20" i="25"/>
  <c r="B42" i="29" s="1"/>
  <c r="B57" i="25"/>
  <c r="B39"/>
  <c r="K6" i="32"/>
  <c r="K6" i="23" s="1"/>
  <c r="K8" i="32"/>
  <c r="K8" i="23" s="1"/>
  <c r="K7" i="32"/>
  <c r="K7" i="23" s="1"/>
  <c r="K9" i="32"/>
  <c r="K9" i="23" s="1"/>
  <c r="K5" i="32"/>
  <c r="K5" i="23" s="1"/>
  <c r="B16" i="29" l="1"/>
  <c r="B13"/>
  <c r="B15"/>
  <c r="B14"/>
  <c r="B17"/>
  <c r="R12" i="45"/>
  <c r="Q22"/>
  <c r="B79" i="29"/>
  <c r="B14" i="46"/>
  <c r="B15"/>
  <c r="B16"/>
  <c r="B17"/>
  <c r="B13"/>
  <c r="B8"/>
  <c r="C16" i="40" s="1"/>
  <c r="B9" i="46"/>
  <c r="C17" i="40" s="1"/>
  <c r="B6" i="46"/>
  <c r="C14" i="40" s="1"/>
  <c r="B7" i="46"/>
  <c r="C15" i="40" s="1"/>
  <c r="B5" i="46"/>
  <c r="C13" i="40" s="1"/>
  <c r="R13" i="45"/>
  <c r="Q23"/>
  <c r="Q21"/>
  <c r="R11"/>
  <c r="Q24"/>
  <c r="R14"/>
  <c r="R21"/>
  <c r="C15" i="21"/>
  <c r="C16"/>
  <c r="B54" i="29"/>
  <c r="B53"/>
  <c r="B67"/>
  <c r="C14" i="34"/>
  <c r="C19" i="21"/>
  <c r="B7" i="25"/>
  <c r="B36"/>
  <c r="B63"/>
  <c r="B45"/>
  <c r="B30" i="29"/>
  <c r="B26" i="25"/>
  <c r="B51" i="29"/>
  <c r="B50"/>
  <c r="B17" i="25"/>
  <c r="B6"/>
  <c r="B54"/>
  <c r="C5" i="34"/>
  <c r="L7" i="32"/>
  <c r="L7" i="23" s="1"/>
  <c r="L6" i="32"/>
  <c r="L6" i="23" s="1"/>
  <c r="L9" i="32"/>
  <c r="L9" i="23" s="1"/>
  <c r="L8" i="32"/>
  <c r="L8" i="23" s="1"/>
  <c r="L5" i="32"/>
  <c r="L5" i="23" s="1"/>
  <c r="B52" i="29" l="1"/>
  <c r="C69"/>
  <c r="D16" i="34"/>
  <c r="C68" i="29"/>
  <c r="D15" i="34"/>
  <c r="C72" i="29"/>
  <c r="D19" i="34"/>
  <c r="S13" i="45"/>
  <c r="S23" s="1"/>
  <c r="R23"/>
  <c r="S14"/>
  <c r="S11"/>
  <c r="S12"/>
  <c r="R22"/>
  <c r="B11" i="25"/>
  <c r="B76" i="29"/>
  <c r="R24" i="45"/>
  <c r="B12" i="25"/>
  <c r="B12" i="29"/>
  <c r="C17" i="21"/>
  <c r="C18"/>
  <c r="B49" i="29"/>
  <c r="C64" i="25"/>
  <c r="C46"/>
  <c r="C27"/>
  <c r="C65"/>
  <c r="C28"/>
  <c r="C47"/>
  <c r="C50"/>
  <c r="C68"/>
  <c r="C31"/>
  <c r="B39" i="29"/>
  <c r="C6" i="21"/>
  <c r="C10"/>
  <c r="C9"/>
  <c r="C7"/>
  <c r="B8" i="25"/>
  <c r="C8" i="21"/>
  <c r="M6" i="32"/>
  <c r="M6" i="23" s="1"/>
  <c r="M7" i="32"/>
  <c r="M7" i="23" s="1"/>
  <c r="M9" i="32"/>
  <c r="M9" i="23" s="1"/>
  <c r="M5" i="32"/>
  <c r="M5" i="23" s="1"/>
  <c r="M8" i="32"/>
  <c r="M8" i="23" s="1"/>
  <c r="B13" i="51" l="1"/>
  <c r="C81" i="29"/>
  <c r="C54" s="1"/>
  <c r="C78"/>
  <c r="C77"/>
  <c r="B11" i="48"/>
  <c r="B13" s="1"/>
  <c r="C34" i="29"/>
  <c r="D9" i="34"/>
  <c r="C35" i="29"/>
  <c r="D10" i="34"/>
  <c r="C31" i="29"/>
  <c r="D6" i="34"/>
  <c r="C33" i="29"/>
  <c r="D8" i="34"/>
  <c r="C71" i="29"/>
  <c r="D18" i="34"/>
  <c r="C32" i="29"/>
  <c r="D7" i="34"/>
  <c r="C70" i="29"/>
  <c r="D17" i="34"/>
  <c r="T12" i="45"/>
  <c r="S22"/>
  <c r="T11"/>
  <c r="S21"/>
  <c r="T14"/>
  <c r="S24"/>
  <c r="T13"/>
  <c r="B13" i="25"/>
  <c r="B5" i="48" s="1"/>
  <c r="T21" i="45"/>
  <c r="C29" i="25"/>
  <c r="C66"/>
  <c r="C49"/>
  <c r="C48"/>
  <c r="C30"/>
  <c r="C67"/>
  <c r="C14" i="21"/>
  <c r="C51" i="29"/>
  <c r="C5" i="21"/>
  <c r="C7" i="46" s="1"/>
  <c r="C57" i="25"/>
  <c r="C39"/>
  <c r="C20"/>
  <c r="C59"/>
  <c r="C22"/>
  <c r="C41"/>
  <c r="C56"/>
  <c r="C19"/>
  <c r="C38"/>
  <c r="C21"/>
  <c r="C40"/>
  <c r="C58"/>
  <c r="C55"/>
  <c r="C18"/>
  <c r="C37"/>
  <c r="N5" i="32"/>
  <c r="N5" i="23" s="1"/>
  <c r="N7" i="32"/>
  <c r="N7" i="23" s="1"/>
  <c r="N9" i="32"/>
  <c r="N9" i="23" s="1"/>
  <c r="N6" i="32"/>
  <c r="N6" i="23" s="1"/>
  <c r="N8" i="32"/>
  <c r="N8" i="23" s="1"/>
  <c r="C80" i="29" l="1"/>
  <c r="C53" s="1"/>
  <c r="C79"/>
  <c r="C52" s="1"/>
  <c r="C40"/>
  <c r="C43"/>
  <c r="C41"/>
  <c r="C14" s="1"/>
  <c r="C44"/>
  <c r="C17" s="1"/>
  <c r="C42"/>
  <c r="C15" s="1"/>
  <c r="B8" i="49"/>
  <c r="B10" s="1"/>
  <c r="B6" i="48"/>
  <c r="B7" s="1"/>
  <c r="C67" i="29"/>
  <c r="C16"/>
  <c r="C30"/>
  <c r="U13" i="45"/>
  <c r="U12"/>
  <c r="T22"/>
  <c r="U14"/>
  <c r="T23"/>
  <c r="T24"/>
  <c r="U11"/>
  <c r="U21" s="1"/>
  <c r="C23" i="40"/>
  <c r="U23" i="45"/>
  <c r="C8" i="46"/>
  <c r="C9"/>
  <c r="C5"/>
  <c r="C6"/>
  <c r="C63" i="25"/>
  <c r="C14" i="46"/>
  <c r="C30" i="40" s="1"/>
  <c r="C13" i="46"/>
  <c r="C29" i="40" s="1"/>
  <c r="C17" i="46"/>
  <c r="C33" i="40" s="1"/>
  <c r="C16" i="46"/>
  <c r="C32" i="40" s="1"/>
  <c r="C15" i="46"/>
  <c r="C31" i="40" s="1"/>
  <c r="D15" i="33"/>
  <c r="D18"/>
  <c r="D16"/>
  <c r="D14" i="34"/>
  <c r="D17" i="33"/>
  <c r="D19"/>
  <c r="C26" i="25"/>
  <c r="C45"/>
  <c r="C7"/>
  <c r="C36"/>
  <c r="C54"/>
  <c r="C17"/>
  <c r="C6"/>
  <c r="D6" i="33"/>
  <c r="D10"/>
  <c r="D9"/>
  <c r="D8"/>
  <c r="D7"/>
  <c r="C50" i="29"/>
  <c r="D5" i="34"/>
  <c r="O5" i="32"/>
  <c r="O5" i="23" s="1"/>
  <c r="O9" i="32"/>
  <c r="O9" i="23" s="1"/>
  <c r="O7" i="32"/>
  <c r="O7" i="23" s="1"/>
  <c r="O8" i="32"/>
  <c r="O8" i="23" s="1"/>
  <c r="O6" i="32"/>
  <c r="O6" i="23" s="1"/>
  <c r="C39" i="29" l="1"/>
  <c r="C13"/>
  <c r="C12" s="1"/>
  <c r="C76"/>
  <c r="B12" i="51"/>
  <c r="D23" i="29"/>
  <c r="D25"/>
  <c r="D22"/>
  <c r="D61"/>
  <c r="D60"/>
  <c r="D62"/>
  <c r="D24"/>
  <c r="D26"/>
  <c r="D63"/>
  <c r="D59"/>
  <c r="V14" i="45"/>
  <c r="U24"/>
  <c r="V12"/>
  <c r="U22"/>
  <c r="V11"/>
  <c r="V13"/>
  <c r="C11" i="25"/>
  <c r="C24" i="40"/>
  <c r="C25"/>
  <c r="C22"/>
  <c r="C21"/>
  <c r="C12" i="25"/>
  <c r="V24" i="45"/>
  <c r="V23"/>
  <c r="D15" i="21"/>
  <c r="D18"/>
  <c r="D16"/>
  <c r="D19"/>
  <c r="D14" i="33"/>
  <c r="D17" i="21"/>
  <c r="C49" i="29"/>
  <c r="D8" i="21"/>
  <c r="D9"/>
  <c r="C8" i="25"/>
  <c r="C11" i="48" s="1"/>
  <c r="D10" i="21"/>
  <c r="D7"/>
  <c r="D6"/>
  <c r="D5" i="33"/>
  <c r="P5" i="32"/>
  <c r="P5" i="23" s="1"/>
  <c r="P9" i="32"/>
  <c r="P9" i="23" s="1"/>
  <c r="P8" i="32"/>
  <c r="P8" i="23" s="1"/>
  <c r="P6" i="32"/>
  <c r="P6" i="23" s="1"/>
  <c r="P7" i="32"/>
  <c r="P7" i="23" s="1"/>
  <c r="C13" i="48" l="1"/>
  <c r="C8" i="49" s="1"/>
  <c r="B14" i="51"/>
  <c r="D21" i="29"/>
  <c r="E15" i="34"/>
  <c r="E18"/>
  <c r="D58" i="29"/>
  <c r="C13" i="51"/>
  <c r="D34" i="29"/>
  <c r="E9" i="34"/>
  <c r="D33" i="29"/>
  <c r="E8" i="34"/>
  <c r="D31" i="29"/>
  <c r="E6" i="34"/>
  <c r="D32" i="29"/>
  <c r="E7" i="34"/>
  <c r="D35" i="29"/>
  <c r="E10" i="34"/>
  <c r="D70" i="29"/>
  <c r="E17" i="34"/>
  <c r="D72" i="29"/>
  <c r="E19" i="34"/>
  <c r="D69" i="29"/>
  <c r="E16" i="34"/>
  <c r="W11" i="45"/>
  <c r="V21"/>
  <c r="W12"/>
  <c r="V22"/>
  <c r="W13"/>
  <c r="W14"/>
  <c r="C13" i="25"/>
  <c r="C5" i="48" s="1"/>
  <c r="D49" i="25"/>
  <c r="D71" i="29"/>
  <c r="D64" i="25"/>
  <c r="D68" i="29"/>
  <c r="D27" i="25"/>
  <c r="D46"/>
  <c r="W24" i="45"/>
  <c r="W21"/>
  <c r="D30" i="25"/>
  <c r="D67"/>
  <c r="D47"/>
  <c r="D28"/>
  <c r="D65"/>
  <c r="D29"/>
  <c r="D31"/>
  <c r="D50"/>
  <c r="D68"/>
  <c r="D66"/>
  <c r="D14" i="21"/>
  <c r="D13" i="46" s="1"/>
  <c r="D48" i="25"/>
  <c r="D56"/>
  <c r="D19"/>
  <c r="D38"/>
  <c r="D22"/>
  <c r="D59"/>
  <c r="D41"/>
  <c r="D20"/>
  <c r="D57"/>
  <c r="D39"/>
  <c r="D55"/>
  <c r="D37"/>
  <c r="D18"/>
  <c r="D5" i="21"/>
  <c r="D9" i="46" s="1"/>
  <c r="D21" i="25"/>
  <c r="D40"/>
  <c r="D58"/>
  <c r="Q5" i="32"/>
  <c r="Q5" i="23" s="1"/>
  <c r="Q9" i="32"/>
  <c r="Q9" i="23" s="1"/>
  <c r="Q6" i="32"/>
  <c r="Q6" i="23" s="1"/>
  <c r="Q7" i="32"/>
  <c r="Q7" i="23" s="1"/>
  <c r="Q8" i="32"/>
  <c r="Q8" i="23" s="1"/>
  <c r="C6" i="48" l="1"/>
  <c r="C37" i="40"/>
  <c r="C10" i="49"/>
  <c r="D43" i="29"/>
  <c r="D40"/>
  <c r="D13" s="1"/>
  <c r="D44"/>
  <c r="D17" s="1"/>
  <c r="D41"/>
  <c r="D79"/>
  <c r="D78"/>
  <c r="D51" s="1"/>
  <c r="D42"/>
  <c r="D15" s="1"/>
  <c r="D81"/>
  <c r="D80"/>
  <c r="D77"/>
  <c r="D50" s="1"/>
  <c r="D14"/>
  <c r="D16"/>
  <c r="D30"/>
  <c r="W22" i="45"/>
  <c r="W23"/>
  <c r="D67" i="29"/>
  <c r="D5" i="46"/>
  <c r="D54" i="29"/>
  <c r="D16" i="46"/>
  <c r="D7"/>
  <c r="D53" i="29"/>
  <c r="D15" i="46"/>
  <c r="D6"/>
  <c r="D8"/>
  <c r="D17"/>
  <c r="D14"/>
  <c r="E16" i="33"/>
  <c r="D45" i="25"/>
  <c r="D26"/>
  <c r="D63"/>
  <c r="E17" i="33"/>
  <c r="E15"/>
  <c r="D7" i="25"/>
  <c r="E19" i="33"/>
  <c r="E14" i="34"/>
  <c r="E18" i="33"/>
  <c r="D36" i="25"/>
  <c r="D54"/>
  <c r="D17"/>
  <c r="D6"/>
  <c r="E10" i="33"/>
  <c r="E9"/>
  <c r="E8"/>
  <c r="E7"/>
  <c r="E5" i="34"/>
  <c r="E6" i="33"/>
  <c r="R5" i="32"/>
  <c r="R5" i="23" s="1"/>
  <c r="R8" i="32"/>
  <c r="R8" i="23" s="1"/>
  <c r="R7" i="32"/>
  <c r="R7" i="23" s="1"/>
  <c r="R9" i="32"/>
  <c r="R9" i="23" s="1"/>
  <c r="R6" i="32"/>
  <c r="R6" i="23" s="1"/>
  <c r="D39" i="29" l="1"/>
  <c r="D76"/>
  <c r="D52"/>
  <c r="E22"/>
  <c r="E23"/>
  <c r="E25"/>
  <c r="E62"/>
  <c r="E63"/>
  <c r="E59"/>
  <c r="E24"/>
  <c r="E26"/>
  <c r="E61"/>
  <c r="E60"/>
  <c r="C7" i="48"/>
  <c r="C38" i="40"/>
  <c r="C12" i="51"/>
  <c r="D11" i="25"/>
  <c r="D12"/>
  <c r="D12" i="29"/>
  <c r="D49"/>
  <c r="E16" i="21"/>
  <c r="E17"/>
  <c r="E15"/>
  <c r="E19"/>
  <c r="E18"/>
  <c r="E14" i="33"/>
  <c r="E6" i="21"/>
  <c r="D8" i="25"/>
  <c r="D11" i="48" s="1"/>
  <c r="E9" i="21"/>
  <c r="E5" i="33"/>
  <c r="E7" i="21"/>
  <c r="E10"/>
  <c r="E8"/>
  <c r="S9" i="32"/>
  <c r="S9" i="23" s="1"/>
  <c r="S7" i="32"/>
  <c r="S7" i="23" s="1"/>
  <c r="S5" i="32"/>
  <c r="S5" i="23" s="1"/>
  <c r="S8" i="32"/>
  <c r="S8" i="23" s="1"/>
  <c r="S6" i="32"/>
  <c r="S6" i="23" s="1"/>
  <c r="E58" i="29" l="1"/>
  <c r="C14" i="51"/>
  <c r="C39" i="40"/>
  <c r="D13" i="48"/>
  <c r="D6" s="1"/>
  <c r="E21" i="29"/>
  <c r="D13" i="51"/>
  <c r="E71" i="29"/>
  <c r="F18" i="34"/>
  <c r="E72" i="29"/>
  <c r="F19" i="34"/>
  <c r="E68" i="29"/>
  <c r="F15" i="34"/>
  <c r="E70" i="29"/>
  <c r="F17" i="34"/>
  <c r="E69" i="29"/>
  <c r="F16" i="34"/>
  <c r="E31" i="29"/>
  <c r="F6" i="34"/>
  <c r="E33" i="29"/>
  <c r="F8" i="34"/>
  <c r="E35" i="29"/>
  <c r="F10" i="34"/>
  <c r="E32" i="29"/>
  <c r="F7" i="34"/>
  <c r="E34" i="29"/>
  <c r="F9" i="34"/>
  <c r="D13" i="25"/>
  <c r="D5" i="48" s="1"/>
  <c r="E47" i="25"/>
  <c r="E65"/>
  <c r="E28"/>
  <c r="E29"/>
  <c r="E30"/>
  <c r="E48"/>
  <c r="E66"/>
  <c r="E49"/>
  <c r="E67"/>
  <c r="E64"/>
  <c r="E46"/>
  <c r="E27"/>
  <c r="E31"/>
  <c r="E50"/>
  <c r="E68"/>
  <c r="E14" i="21"/>
  <c r="E16" i="46" s="1"/>
  <c r="E37" i="25"/>
  <c r="E18"/>
  <c r="E55"/>
  <c r="E58"/>
  <c r="E5" i="21"/>
  <c r="E5" i="46" s="1"/>
  <c r="E21" i="25"/>
  <c r="E40"/>
  <c r="E22"/>
  <c r="E41"/>
  <c r="E59"/>
  <c r="E38"/>
  <c r="E56"/>
  <c r="E19"/>
  <c r="E20"/>
  <c r="E39"/>
  <c r="E57"/>
  <c r="T8" i="32"/>
  <c r="T8" i="23" s="1"/>
  <c r="T5" i="32"/>
  <c r="T5" i="23" s="1"/>
  <c r="T6" i="32"/>
  <c r="T6" i="23" s="1"/>
  <c r="T9" i="32"/>
  <c r="T9" i="23" s="1"/>
  <c r="T7" i="32"/>
  <c r="T7" i="23" s="1"/>
  <c r="D8" i="49" l="1"/>
  <c r="D10" s="1"/>
  <c r="E41" i="29"/>
  <c r="E14" s="1"/>
  <c r="E81"/>
  <c r="E80"/>
  <c r="E53" s="1"/>
  <c r="E78"/>
  <c r="E51" s="1"/>
  <c r="E42"/>
  <c r="E15" s="1"/>
  <c r="E44"/>
  <c r="E17" s="1"/>
  <c r="E43"/>
  <c r="E16" s="1"/>
  <c r="E40"/>
  <c r="E39" s="1"/>
  <c r="E77"/>
  <c r="E50" s="1"/>
  <c r="E79"/>
  <c r="E52" s="1"/>
  <c r="D7" i="48"/>
  <c r="E13" i="29"/>
  <c r="E67"/>
  <c r="E30"/>
  <c r="E54"/>
  <c r="E6" i="46"/>
  <c r="E9"/>
  <c r="E7"/>
  <c r="E8"/>
  <c r="E14"/>
  <c r="E15"/>
  <c r="E13"/>
  <c r="E17"/>
  <c r="E45" i="25"/>
  <c r="F18" i="33"/>
  <c r="F19"/>
  <c r="F17"/>
  <c r="E63" i="25"/>
  <c r="F16" i="33"/>
  <c r="F14" i="34"/>
  <c r="F15" i="33"/>
  <c r="E7" i="25"/>
  <c r="E26"/>
  <c r="F10" i="33"/>
  <c r="E36" i="25"/>
  <c r="E54"/>
  <c r="F6" i="33"/>
  <c r="F5" i="34"/>
  <c r="E17" i="25"/>
  <c r="F9" i="33"/>
  <c r="F7"/>
  <c r="F8"/>
  <c r="E6" i="25"/>
  <c r="U9" i="32"/>
  <c r="U9" i="23" s="1"/>
  <c r="U6" i="32"/>
  <c r="U6" i="23" s="1"/>
  <c r="U8" i="32"/>
  <c r="U8" i="23" s="1"/>
  <c r="U5" i="32"/>
  <c r="U5" i="23" s="1"/>
  <c r="U7" i="32"/>
  <c r="U7" i="23" s="1"/>
  <c r="E76" i="29" l="1"/>
  <c r="F24"/>
  <c r="F25"/>
  <c r="F26"/>
  <c r="F63"/>
  <c r="F23"/>
  <c r="F22"/>
  <c r="F59"/>
  <c r="F60"/>
  <c r="F61"/>
  <c r="F62"/>
  <c r="D12" i="51"/>
  <c r="E11" i="25"/>
  <c r="E12"/>
  <c r="E49" i="29"/>
  <c r="E12"/>
  <c r="F18" i="21"/>
  <c r="F16"/>
  <c r="F15"/>
  <c r="F19"/>
  <c r="F17"/>
  <c r="F14" i="33"/>
  <c r="F10" i="21"/>
  <c r="F9"/>
  <c r="F5" i="33"/>
  <c r="F8" i="21"/>
  <c r="E8" i="25"/>
  <c r="E11" i="48" s="1"/>
  <c r="F7" i="21"/>
  <c r="F6"/>
  <c r="V6" i="32"/>
  <c r="V6" i="23" s="1"/>
  <c r="V8" i="32"/>
  <c r="V8" i="23" s="1"/>
  <c r="V7" i="32"/>
  <c r="V7" i="23" s="1"/>
  <c r="V5" i="32"/>
  <c r="V5" i="23" s="1"/>
  <c r="V9" i="32"/>
  <c r="V9" i="23" s="1"/>
  <c r="E13" i="48" l="1"/>
  <c r="E6" s="1"/>
  <c r="D14" i="51"/>
  <c r="F58" i="29"/>
  <c r="G18" i="34"/>
  <c r="F21" i="29"/>
  <c r="E13" i="51"/>
  <c r="F70" i="29"/>
  <c r="G17" i="34"/>
  <c r="F72" i="29"/>
  <c r="G19" i="34"/>
  <c r="F68" i="29"/>
  <c r="G15" i="34"/>
  <c r="F69" i="29"/>
  <c r="G16" i="34"/>
  <c r="F35" i="29"/>
  <c r="G10" i="34"/>
  <c r="F31" i="29"/>
  <c r="G6" i="34"/>
  <c r="F32" i="29"/>
  <c r="G7" i="34"/>
  <c r="F33" i="29"/>
  <c r="G8" i="34"/>
  <c r="F34" i="29"/>
  <c r="G9" i="34"/>
  <c r="E13" i="25"/>
  <c r="E5" i="48" s="1"/>
  <c r="F49" i="25"/>
  <c r="F71" i="29"/>
  <c r="F67" i="25"/>
  <c r="F28"/>
  <c r="F47"/>
  <c r="F30"/>
  <c r="F65"/>
  <c r="F27"/>
  <c r="F64"/>
  <c r="F46"/>
  <c r="F50"/>
  <c r="F14" i="21"/>
  <c r="F15" i="46" s="1"/>
  <c r="F31" i="25"/>
  <c r="F68"/>
  <c r="F29"/>
  <c r="F48"/>
  <c r="F66"/>
  <c r="F41"/>
  <c r="F22"/>
  <c r="F59"/>
  <c r="F38"/>
  <c r="F58"/>
  <c r="F21"/>
  <c r="F40"/>
  <c r="F56"/>
  <c r="F18"/>
  <c r="F55"/>
  <c r="F5" i="21"/>
  <c r="F5" i="46" s="1"/>
  <c r="F37" i="25"/>
  <c r="F19"/>
  <c r="F20"/>
  <c r="F39"/>
  <c r="F57"/>
  <c r="W9" i="32"/>
  <c r="W9" i="23" s="1"/>
  <c r="W8" i="32"/>
  <c r="W8" i="23" s="1"/>
  <c r="W6" i="32"/>
  <c r="W6" i="23" s="1"/>
  <c r="W7" i="32"/>
  <c r="W7" i="23" s="1"/>
  <c r="W5" i="32"/>
  <c r="W5" i="23" s="1"/>
  <c r="E8" i="49" l="1"/>
  <c r="E10" s="1"/>
  <c r="E12" i="51" s="1"/>
  <c r="F41" i="29"/>
  <c r="F14" s="1"/>
  <c r="F40"/>
  <c r="F13" s="1"/>
  <c r="F77"/>
  <c r="F50" s="1"/>
  <c r="F80"/>
  <c r="F53" s="1"/>
  <c r="F78"/>
  <c r="F51" s="1"/>
  <c r="F42"/>
  <c r="F15" s="1"/>
  <c r="F43"/>
  <c r="F16" s="1"/>
  <c r="F44"/>
  <c r="F79"/>
  <c r="F81"/>
  <c r="F54" s="1"/>
  <c r="E7" i="48"/>
  <c r="F17" i="29"/>
  <c r="F30"/>
  <c r="F67"/>
  <c r="F14" i="46"/>
  <c r="F17"/>
  <c r="F7"/>
  <c r="F9"/>
  <c r="F6"/>
  <c r="F52" i="29"/>
  <c r="F13" i="46"/>
  <c r="F8"/>
  <c r="F16"/>
  <c r="G14" i="34"/>
  <c r="F63" i="25"/>
  <c r="F45"/>
  <c r="G17" i="33"/>
  <c r="G16"/>
  <c r="G18"/>
  <c r="G19"/>
  <c r="G15"/>
  <c r="F26" i="25"/>
  <c r="F7"/>
  <c r="G5" i="34"/>
  <c r="D7" i="40"/>
  <c r="D6"/>
  <c r="E5"/>
  <c r="D8"/>
  <c r="D9"/>
  <c r="D5"/>
  <c r="E8"/>
  <c r="E7"/>
  <c r="E6"/>
  <c r="E9"/>
  <c r="G9" i="33"/>
  <c r="F36" i="25"/>
  <c r="G8" i="33"/>
  <c r="G6"/>
  <c r="F17" i="25"/>
  <c r="G7" i="33"/>
  <c r="G10"/>
  <c r="F6" i="25"/>
  <c r="F54"/>
  <c r="F39" i="29" l="1"/>
  <c r="F76"/>
  <c r="E14" i="51"/>
  <c r="G26" i="29"/>
  <c r="G24"/>
  <c r="G25"/>
  <c r="G59"/>
  <c r="G62"/>
  <c r="G61"/>
  <c r="G23"/>
  <c r="G22"/>
  <c r="G63"/>
  <c r="G60"/>
  <c r="F11" i="25"/>
  <c r="F12"/>
  <c r="F49" i="29"/>
  <c r="G16" i="21"/>
  <c r="G17"/>
  <c r="G19"/>
  <c r="G14" i="33"/>
  <c r="G18" i="21"/>
  <c r="G15"/>
  <c r="F8" i="40"/>
  <c r="F9"/>
  <c r="F12" i="29"/>
  <c r="F5" i="40"/>
  <c r="F6"/>
  <c r="F7"/>
  <c r="G6" i="21"/>
  <c r="G8"/>
  <c r="G9"/>
  <c r="G10"/>
  <c r="G7"/>
  <c r="F8" i="25"/>
  <c r="F11" i="48" s="1"/>
  <c r="G5" i="33"/>
  <c r="F13" i="48" l="1"/>
  <c r="F6" s="1"/>
  <c r="G21" i="29"/>
  <c r="G58"/>
  <c r="F13" i="51"/>
  <c r="G68" i="29"/>
  <c r="H15" i="34"/>
  <c r="G71" i="29"/>
  <c r="H18" i="34"/>
  <c r="G72" i="29"/>
  <c r="H19" i="34"/>
  <c r="G70" i="29"/>
  <c r="H17" i="34"/>
  <c r="G69" i="29"/>
  <c r="H16" i="34"/>
  <c r="G35" i="29"/>
  <c r="H10" i="34"/>
  <c r="G34" i="29"/>
  <c r="H9" i="34"/>
  <c r="G33" i="29"/>
  <c r="H8" i="34"/>
  <c r="G31" i="29"/>
  <c r="H6" i="34"/>
  <c r="G32" i="29"/>
  <c r="H7" i="34"/>
  <c r="F13" i="25"/>
  <c r="F5" i="48" s="1"/>
  <c r="G21" i="25"/>
  <c r="G28"/>
  <c r="G47"/>
  <c r="G65"/>
  <c r="G67"/>
  <c r="G29"/>
  <c r="G66"/>
  <c r="G30"/>
  <c r="G49"/>
  <c r="G48"/>
  <c r="G68"/>
  <c r="G64"/>
  <c r="G31"/>
  <c r="G50"/>
  <c r="G27"/>
  <c r="G46"/>
  <c r="G14" i="21"/>
  <c r="G17" i="46" s="1"/>
  <c r="G40" i="25"/>
  <c r="G58"/>
  <c r="G39"/>
  <c r="G18"/>
  <c r="G22"/>
  <c r="G37"/>
  <c r="G57"/>
  <c r="G20"/>
  <c r="G55"/>
  <c r="G56"/>
  <c r="G41"/>
  <c r="G59"/>
  <c r="G5" i="21"/>
  <c r="G7" i="46" s="1"/>
  <c r="G19" i="25"/>
  <c r="G38"/>
  <c r="F8" i="49" l="1"/>
  <c r="F10" s="1"/>
  <c r="G41" i="29"/>
  <c r="G14" s="1"/>
  <c r="G44"/>
  <c r="G17" s="1"/>
  <c r="G80"/>
  <c r="G53" s="1"/>
  <c r="G79"/>
  <c r="G52" s="1"/>
  <c r="G78"/>
  <c r="G42"/>
  <c r="G15" s="1"/>
  <c r="G40"/>
  <c r="G13" s="1"/>
  <c r="G77"/>
  <c r="G76" s="1"/>
  <c r="G81"/>
  <c r="G54" s="1"/>
  <c r="G43"/>
  <c r="G16" s="1"/>
  <c r="F7" i="48"/>
  <c r="G67" i="29"/>
  <c r="G30"/>
  <c r="G16" i="46"/>
  <c r="G6"/>
  <c r="G15"/>
  <c r="G9"/>
  <c r="G13"/>
  <c r="G5"/>
  <c r="G8"/>
  <c r="G51" i="29"/>
  <c r="G14" i="46"/>
  <c r="G63" i="25"/>
  <c r="G26"/>
  <c r="H14" i="34"/>
  <c r="G45" i="25"/>
  <c r="H16" i="33"/>
  <c r="H15"/>
  <c r="H19"/>
  <c r="H18"/>
  <c r="G7" i="25"/>
  <c r="H17" i="33"/>
  <c r="G54" i="25"/>
  <c r="H9" i="33"/>
  <c r="H5" i="34"/>
  <c r="G36" i="25"/>
  <c r="G17"/>
  <c r="G6"/>
  <c r="H8" i="33"/>
  <c r="H7"/>
  <c r="H6"/>
  <c r="H10"/>
  <c r="G50" i="29" l="1"/>
  <c r="G39"/>
  <c r="H22"/>
  <c r="H24"/>
  <c r="H63"/>
  <c r="H60"/>
  <c r="H26"/>
  <c r="H23"/>
  <c r="H25"/>
  <c r="H61"/>
  <c r="H62"/>
  <c r="F12" i="51"/>
  <c r="G11" i="25"/>
  <c r="H15" i="21"/>
  <c r="H59" i="29"/>
  <c r="G12" i="25"/>
  <c r="G49" i="29"/>
  <c r="H16" i="21"/>
  <c r="H19"/>
  <c r="H17"/>
  <c r="H14" i="33"/>
  <c r="H18" i="21"/>
  <c r="G12" i="29"/>
  <c r="H9" i="21"/>
  <c r="H5" i="33"/>
  <c r="H6" i="21"/>
  <c r="H10"/>
  <c r="H7"/>
  <c r="H8"/>
  <c r="G8" i="25"/>
  <c r="G11" i="48" s="1"/>
  <c r="G13" l="1"/>
  <c r="G8" i="49" s="1"/>
  <c r="F14" i="51"/>
  <c r="H58" i="29"/>
  <c r="H21"/>
  <c r="G13" i="51"/>
  <c r="H71" i="29"/>
  <c r="I18" i="34"/>
  <c r="H68" i="29"/>
  <c r="I15" i="34"/>
  <c r="H70" i="29"/>
  <c r="I17" i="34"/>
  <c r="H72" i="29"/>
  <c r="I19" i="34"/>
  <c r="H69" i="29"/>
  <c r="I16" i="34"/>
  <c r="H34" i="29"/>
  <c r="I9" i="34"/>
  <c r="H33" i="29"/>
  <c r="I8" i="34"/>
  <c r="H32" i="29"/>
  <c r="I7" i="34"/>
  <c r="H35" i="29"/>
  <c r="I10" i="34"/>
  <c r="H31" i="29"/>
  <c r="I6" i="34"/>
  <c r="G13" i="25"/>
  <c r="G5" i="48" s="1"/>
  <c r="H64" i="25"/>
  <c r="H27"/>
  <c r="H46"/>
  <c r="H21"/>
  <c r="H47"/>
  <c r="H65"/>
  <c r="H28"/>
  <c r="H49"/>
  <c r="H30"/>
  <c r="H67"/>
  <c r="H29"/>
  <c r="H66"/>
  <c r="H50"/>
  <c r="H68"/>
  <c r="H31"/>
  <c r="H14" i="21"/>
  <c r="H13" i="46" s="1"/>
  <c r="D29" i="40" s="1"/>
  <c r="H48" i="25"/>
  <c r="H40"/>
  <c r="H58"/>
  <c r="H39"/>
  <c r="H56"/>
  <c r="H41"/>
  <c r="H18"/>
  <c r="H55"/>
  <c r="H38"/>
  <c r="H19"/>
  <c r="H20"/>
  <c r="H5" i="21"/>
  <c r="H7" i="46" s="1"/>
  <c r="H57" i="25"/>
  <c r="H22"/>
  <c r="H59"/>
  <c r="H37"/>
  <c r="G6" i="48" l="1"/>
  <c r="G10" i="49"/>
  <c r="H44" i="29"/>
  <c r="H41"/>
  <c r="H43"/>
  <c r="H77"/>
  <c r="H50" s="1"/>
  <c r="H42"/>
  <c r="H15" s="1"/>
  <c r="H40"/>
  <c r="H13" s="1"/>
  <c r="H81"/>
  <c r="H54" s="1"/>
  <c r="H79"/>
  <c r="H80"/>
  <c r="H78"/>
  <c r="G7" i="48"/>
  <c r="H30" i="29"/>
  <c r="H14"/>
  <c r="H67"/>
  <c r="H14" i="46"/>
  <c r="D30" i="40" s="1"/>
  <c r="D23"/>
  <c r="H5" i="46"/>
  <c r="H16"/>
  <c r="D32" i="40" s="1"/>
  <c r="H8" i="46"/>
  <c r="H6"/>
  <c r="H17"/>
  <c r="D33" i="40" s="1"/>
  <c r="H9" i="46"/>
  <c r="H52" i="29"/>
  <c r="H15" i="46"/>
  <c r="D31" i="40" s="1"/>
  <c r="H45" i="25"/>
  <c r="I19" i="33"/>
  <c r="H26" i="25"/>
  <c r="H63"/>
  <c r="H7"/>
  <c r="I17" i="33"/>
  <c r="I15"/>
  <c r="I16"/>
  <c r="I14" i="34"/>
  <c r="I18" i="33"/>
  <c r="H36" i="25"/>
  <c r="H17"/>
  <c r="H54"/>
  <c r="I7" i="33"/>
  <c r="H6" i="25"/>
  <c r="I5" i="34"/>
  <c r="I10" i="33"/>
  <c r="I9"/>
  <c r="I8"/>
  <c r="I6"/>
  <c r="H51" i="29"/>
  <c r="H76" l="1"/>
  <c r="H53"/>
  <c r="H49" s="1"/>
  <c r="H39"/>
  <c r="H16"/>
  <c r="H17"/>
  <c r="I25"/>
  <c r="I24"/>
  <c r="I26"/>
  <c r="I59"/>
  <c r="I22"/>
  <c r="I23"/>
  <c r="I62"/>
  <c r="I60"/>
  <c r="I61"/>
  <c r="I63"/>
  <c r="G12" i="51"/>
  <c r="H11" i="25"/>
  <c r="D25" i="40"/>
  <c r="D22"/>
  <c r="D24"/>
  <c r="D21"/>
  <c r="H12" i="25"/>
  <c r="I16" i="21"/>
  <c r="I19"/>
  <c r="I17"/>
  <c r="I15"/>
  <c r="I18"/>
  <c r="I14" i="33"/>
  <c r="I10" i="21"/>
  <c r="I7"/>
  <c r="H8" i="25"/>
  <c r="H11" i="48" s="1"/>
  <c r="I6" i="21"/>
  <c r="I5" i="33"/>
  <c r="I9" i="21"/>
  <c r="I8"/>
  <c r="H12" i="29" l="1"/>
  <c r="H13" i="51" s="1"/>
  <c r="H13" i="48"/>
  <c r="H8" i="49" s="1"/>
  <c r="I58" i="29"/>
  <c r="G14" i="51"/>
  <c r="I21" i="29"/>
  <c r="I70"/>
  <c r="J17" i="34"/>
  <c r="I72" i="29"/>
  <c r="J19" i="34"/>
  <c r="I69" i="29"/>
  <c r="J16" i="34"/>
  <c r="I71" i="29"/>
  <c r="J18" i="34"/>
  <c r="I68" i="29"/>
  <c r="J15" i="34"/>
  <c r="I31" i="29"/>
  <c r="J6" i="34"/>
  <c r="I32" i="29"/>
  <c r="J7" i="34"/>
  <c r="I35" i="29"/>
  <c r="J10" i="34"/>
  <c r="I33" i="29"/>
  <c r="J8" i="34"/>
  <c r="I34" i="29"/>
  <c r="J9" i="34"/>
  <c r="H13" i="25"/>
  <c r="H5" i="48" s="1"/>
  <c r="I68" i="25"/>
  <c r="I65"/>
  <c r="I47"/>
  <c r="I28"/>
  <c r="I46"/>
  <c r="I50"/>
  <c r="I48"/>
  <c r="I31"/>
  <c r="I29"/>
  <c r="I67"/>
  <c r="I66"/>
  <c r="I30"/>
  <c r="I49"/>
  <c r="I27"/>
  <c r="I64"/>
  <c r="I14" i="21"/>
  <c r="I17" i="46" s="1"/>
  <c r="I38" i="25"/>
  <c r="I55"/>
  <c r="I22"/>
  <c r="I59"/>
  <c r="I41"/>
  <c r="I37"/>
  <c r="I56"/>
  <c r="I19"/>
  <c r="I18"/>
  <c r="I21"/>
  <c r="I5" i="21"/>
  <c r="I6" i="46" s="1"/>
  <c r="I40" i="25"/>
  <c r="I58"/>
  <c r="I57"/>
  <c r="I39"/>
  <c r="I20"/>
  <c r="H6" i="48" l="1"/>
  <c r="D37" i="40"/>
  <c r="H10" i="49"/>
  <c r="H12" i="51" s="1"/>
  <c r="I44" i="29"/>
  <c r="I17" s="1"/>
  <c r="I79"/>
  <c r="I52" s="1"/>
  <c r="I40"/>
  <c r="I13" s="1"/>
  <c r="I42"/>
  <c r="I43"/>
  <c r="I16" s="1"/>
  <c r="I41"/>
  <c r="I14" s="1"/>
  <c r="I77"/>
  <c r="I50" s="1"/>
  <c r="I80"/>
  <c r="I81"/>
  <c r="I54" s="1"/>
  <c r="I78"/>
  <c r="I51" s="1"/>
  <c r="I30"/>
  <c r="I67"/>
  <c r="I14" i="46"/>
  <c r="I8"/>
  <c r="I5"/>
  <c r="I7"/>
  <c r="I9"/>
  <c r="I13"/>
  <c r="I16"/>
  <c r="I15"/>
  <c r="J18" i="33"/>
  <c r="I45" i="25"/>
  <c r="J16" i="33"/>
  <c r="J14" i="34"/>
  <c r="J15" i="33"/>
  <c r="I63" i="25"/>
  <c r="I26"/>
  <c r="I7"/>
  <c r="J17" i="33"/>
  <c r="J19"/>
  <c r="J10"/>
  <c r="J6"/>
  <c r="J8"/>
  <c r="J5" i="34"/>
  <c r="I36" i="25"/>
  <c r="I54"/>
  <c r="I6"/>
  <c r="I17"/>
  <c r="J7" i="33"/>
  <c r="J9"/>
  <c r="I76" i="29" l="1"/>
  <c r="I53"/>
  <c r="I49" s="1"/>
  <c r="I39"/>
  <c r="I15"/>
  <c r="H14" i="51"/>
  <c r="J25" i="29"/>
  <c r="J22"/>
  <c r="J63"/>
  <c r="J62"/>
  <c r="J23"/>
  <c r="J24"/>
  <c r="J26"/>
  <c r="J61"/>
  <c r="J59"/>
  <c r="J60"/>
  <c r="H7" i="48"/>
  <c r="D38" i="40"/>
  <c r="I11" i="25"/>
  <c r="I12"/>
  <c r="J19" i="21"/>
  <c r="J18"/>
  <c r="J16"/>
  <c r="J15"/>
  <c r="J17"/>
  <c r="J14" i="33"/>
  <c r="I12" i="29"/>
  <c r="J10" i="21"/>
  <c r="J6"/>
  <c r="J9"/>
  <c r="J8"/>
  <c r="I8" i="25"/>
  <c r="I11" i="48" s="1"/>
  <c r="J7" i="21"/>
  <c r="J5" i="33"/>
  <c r="J21" i="29" l="1"/>
  <c r="D39" i="40"/>
  <c r="I13" i="48"/>
  <c r="I8" i="49" s="1"/>
  <c r="J58" i="29"/>
  <c r="I6" i="48"/>
  <c r="I13" i="51"/>
  <c r="J70" i="29"/>
  <c r="K17" i="34"/>
  <c r="J68" i="29"/>
  <c r="K15" i="34"/>
  <c r="J69" i="29"/>
  <c r="K16" i="34"/>
  <c r="J71" i="29"/>
  <c r="K18" i="34"/>
  <c r="J72" i="29"/>
  <c r="K19" i="34"/>
  <c r="J32" i="29"/>
  <c r="K7" i="34"/>
  <c r="J33" i="29"/>
  <c r="K8" i="34"/>
  <c r="J34" i="29"/>
  <c r="K9" i="34"/>
  <c r="J31" i="29"/>
  <c r="K6" i="34"/>
  <c r="J35" i="29"/>
  <c r="K10" i="34"/>
  <c r="I13" i="25"/>
  <c r="I5" i="48" s="1"/>
  <c r="J31" i="25"/>
  <c r="J50"/>
  <c r="J68"/>
  <c r="J28"/>
  <c r="J47"/>
  <c r="J65"/>
  <c r="J67"/>
  <c r="J30"/>
  <c r="J49"/>
  <c r="J46"/>
  <c r="J64"/>
  <c r="J27"/>
  <c r="J48"/>
  <c r="J29"/>
  <c r="J14" i="21"/>
  <c r="J16" i="46" s="1"/>
  <c r="J66" i="25"/>
  <c r="J41"/>
  <c r="J22"/>
  <c r="J59"/>
  <c r="J20"/>
  <c r="J58"/>
  <c r="J19"/>
  <c r="J21"/>
  <c r="J55"/>
  <c r="J40"/>
  <c r="J18"/>
  <c r="J37"/>
  <c r="J39"/>
  <c r="J57"/>
  <c r="J56"/>
  <c r="J5" i="21"/>
  <c r="J7" i="46" s="1"/>
  <c r="J38" i="25"/>
  <c r="I10" i="49" l="1"/>
  <c r="I12" i="51" s="1"/>
  <c r="J81" i="29"/>
  <c r="J54" s="1"/>
  <c r="J43"/>
  <c r="J40"/>
  <c r="J41"/>
  <c r="J39" s="1"/>
  <c r="J42"/>
  <c r="J15" s="1"/>
  <c r="J44"/>
  <c r="J79"/>
  <c r="J77"/>
  <c r="J50" s="1"/>
  <c r="J80"/>
  <c r="J53" s="1"/>
  <c r="J78"/>
  <c r="J51" s="1"/>
  <c r="I7" i="48"/>
  <c r="J30" i="29"/>
  <c r="J67"/>
  <c r="J13"/>
  <c r="J6" i="46"/>
  <c r="J52" i="29"/>
  <c r="J9" i="46"/>
  <c r="J14"/>
  <c r="J5"/>
  <c r="J8"/>
  <c r="J13"/>
  <c r="J17"/>
  <c r="J15"/>
  <c r="K19" i="33"/>
  <c r="J63" i="25"/>
  <c r="J45"/>
  <c r="K17" i="33"/>
  <c r="K14" i="34"/>
  <c r="K18" i="33"/>
  <c r="K15"/>
  <c r="K16"/>
  <c r="J26" i="25"/>
  <c r="J7"/>
  <c r="J6"/>
  <c r="K7" i="33"/>
  <c r="J36" i="25"/>
  <c r="J17"/>
  <c r="J54"/>
  <c r="K10" i="33"/>
  <c r="K5" i="34"/>
  <c r="K8" i="33"/>
  <c r="K6"/>
  <c r="K9"/>
  <c r="J14" i="29" l="1"/>
  <c r="I14" i="51"/>
  <c r="J76" i="29"/>
  <c r="J17"/>
  <c r="J16"/>
  <c r="K22"/>
  <c r="K59"/>
  <c r="K63"/>
  <c r="K25"/>
  <c r="K24"/>
  <c r="K26"/>
  <c r="K23"/>
  <c r="K60"/>
  <c r="K62"/>
  <c r="K61"/>
  <c r="J11" i="25"/>
  <c r="J12"/>
  <c r="J49" i="29"/>
  <c r="K19" i="21"/>
  <c r="K15"/>
  <c r="K17"/>
  <c r="K14" i="33"/>
  <c r="K16" i="21"/>
  <c r="K18"/>
  <c r="J8" i="25"/>
  <c r="J11" i="48" s="1"/>
  <c r="K6" i="21"/>
  <c r="K8"/>
  <c r="K7"/>
  <c r="J12" i="29"/>
  <c r="K10" i="21"/>
  <c r="K5" i="33"/>
  <c r="K9" i="21"/>
  <c r="K21" i="29" l="1"/>
  <c r="J13" i="48"/>
  <c r="J6" s="1"/>
  <c r="L19" i="34"/>
  <c r="K58" i="29"/>
  <c r="J13" i="51"/>
  <c r="K71" i="29"/>
  <c r="L18" i="34"/>
  <c r="K69" i="29"/>
  <c r="L16" i="34"/>
  <c r="K70" i="29"/>
  <c r="L17" i="34"/>
  <c r="K68" i="29"/>
  <c r="L15" i="34"/>
  <c r="K34" i="29"/>
  <c r="L9" i="34"/>
  <c r="K35" i="29"/>
  <c r="L10" i="34"/>
  <c r="K32" i="29"/>
  <c r="L7" i="34"/>
  <c r="K33" i="29"/>
  <c r="L8" i="34"/>
  <c r="K31" i="29"/>
  <c r="L6" i="34"/>
  <c r="J13" i="25"/>
  <c r="J5" i="48" s="1"/>
  <c r="K31" i="25"/>
  <c r="K72" i="29"/>
  <c r="K59" i="25"/>
  <c r="K68"/>
  <c r="K29"/>
  <c r="K46"/>
  <c r="K27"/>
  <c r="K50"/>
  <c r="K67"/>
  <c r="K30"/>
  <c r="K66"/>
  <c r="K14" i="21"/>
  <c r="K16" i="46" s="1"/>
  <c r="K28" i="25"/>
  <c r="K64"/>
  <c r="K48"/>
  <c r="K65"/>
  <c r="K47"/>
  <c r="K49"/>
  <c r="K57"/>
  <c r="K56"/>
  <c r="K38"/>
  <c r="K19"/>
  <c r="K39"/>
  <c r="K18"/>
  <c r="K55"/>
  <c r="K37"/>
  <c r="K22"/>
  <c r="K20"/>
  <c r="K41"/>
  <c r="K5" i="21"/>
  <c r="K5" i="46" s="1"/>
  <c r="K21" i="25"/>
  <c r="K58"/>
  <c r="K40"/>
  <c r="J8" i="49" l="1"/>
  <c r="J10" s="1"/>
  <c r="J12" i="51" s="1"/>
  <c r="K43" i="29"/>
  <c r="K16" s="1"/>
  <c r="K42"/>
  <c r="K15" s="1"/>
  <c r="K40"/>
  <c r="K13" s="1"/>
  <c r="K41"/>
  <c r="K14" s="1"/>
  <c r="K44"/>
  <c r="K78"/>
  <c r="K51" s="1"/>
  <c r="K77"/>
  <c r="K79"/>
  <c r="K52" s="1"/>
  <c r="K81"/>
  <c r="K54" s="1"/>
  <c r="J7" i="48"/>
  <c r="K30" i="29"/>
  <c r="K17"/>
  <c r="K67"/>
  <c r="K80"/>
  <c r="K13" i="46"/>
  <c r="K6"/>
  <c r="K7"/>
  <c r="K9"/>
  <c r="K15"/>
  <c r="K8"/>
  <c r="K14"/>
  <c r="K17"/>
  <c r="K26" i="25"/>
  <c r="K63"/>
  <c r="K7"/>
  <c r="L15" i="33"/>
  <c r="L14" i="34"/>
  <c r="L19" i="33"/>
  <c r="L17"/>
  <c r="K45" i="25"/>
  <c r="L16" i="33"/>
  <c r="L18"/>
  <c r="K54" i="25"/>
  <c r="L6" i="33"/>
  <c r="K36" i="25"/>
  <c r="L8" i="33"/>
  <c r="L5" i="34"/>
  <c r="L10" i="33"/>
  <c r="L9"/>
  <c r="K6" i="25"/>
  <c r="K17"/>
  <c r="L7" i="33"/>
  <c r="K39" i="29" l="1"/>
  <c r="J14" i="51"/>
  <c r="L23" i="29"/>
  <c r="L26"/>
  <c r="L25"/>
  <c r="L60"/>
  <c r="L61"/>
  <c r="K76"/>
  <c r="L24"/>
  <c r="L22"/>
  <c r="L62"/>
  <c r="L63"/>
  <c r="L59"/>
  <c r="K11" i="25"/>
  <c r="K53" i="29"/>
  <c r="K12" i="25"/>
  <c r="L18" i="21"/>
  <c r="L15"/>
  <c r="L16"/>
  <c r="K50" i="29"/>
  <c r="L17" i="21"/>
  <c r="L19"/>
  <c r="L14" i="33"/>
  <c r="K12" i="29"/>
  <c r="L8" i="21"/>
  <c r="L9"/>
  <c r="L6"/>
  <c r="L5" i="33"/>
  <c r="K8" i="25"/>
  <c r="K11" i="48" s="1"/>
  <c r="L10" i="21"/>
  <c r="L7"/>
  <c r="K13" i="48" l="1"/>
  <c r="K8" i="49" s="1"/>
  <c r="L58" i="29"/>
  <c r="L21"/>
  <c r="L69"/>
  <c r="M16" i="34"/>
  <c r="L68" i="29"/>
  <c r="M15" i="34"/>
  <c r="L71" i="29"/>
  <c r="M18" i="34"/>
  <c r="L72" i="29"/>
  <c r="M19" i="34"/>
  <c r="L70" i="29"/>
  <c r="M17" i="34"/>
  <c r="L34" i="29"/>
  <c r="M9" i="34"/>
  <c r="L32" i="29"/>
  <c r="M7" i="34"/>
  <c r="L35" i="29"/>
  <c r="M10" i="34"/>
  <c r="L31" i="29"/>
  <c r="M6" i="34"/>
  <c r="L33" i="29"/>
  <c r="M8" i="34"/>
  <c r="K13" i="25"/>
  <c r="K5" i="48" s="1"/>
  <c r="K49" i="29"/>
  <c r="K13" i="51" s="1"/>
  <c r="L49" i="25"/>
  <c r="L67"/>
  <c r="L30"/>
  <c r="L64"/>
  <c r="L65"/>
  <c r="L28"/>
  <c r="L27"/>
  <c r="L46"/>
  <c r="L47"/>
  <c r="L50"/>
  <c r="L29"/>
  <c r="L14" i="21"/>
  <c r="L15" i="46" s="1"/>
  <c r="L48" i="25"/>
  <c r="L68"/>
  <c r="L66"/>
  <c r="L31"/>
  <c r="L55"/>
  <c r="L57"/>
  <c r="L37"/>
  <c r="L39"/>
  <c r="L20"/>
  <c r="L18"/>
  <c r="L21"/>
  <c r="L58"/>
  <c r="L40"/>
  <c r="L56"/>
  <c r="L59"/>
  <c r="L41"/>
  <c r="L22"/>
  <c r="L5" i="21"/>
  <c r="L7" i="46" s="1"/>
  <c r="L38" i="25"/>
  <c r="L19"/>
  <c r="K6" i="48" l="1"/>
  <c r="K7" s="1"/>
  <c r="K10" i="49"/>
  <c r="K12" i="51" s="1"/>
  <c r="L40" i="29"/>
  <c r="L81"/>
  <c r="L78"/>
  <c r="L51" s="1"/>
  <c r="L41"/>
  <c r="L14" s="1"/>
  <c r="L44"/>
  <c r="L43"/>
  <c r="L16" s="1"/>
  <c r="L42"/>
  <c r="L39" s="1"/>
  <c r="L79"/>
  <c r="L52" s="1"/>
  <c r="L77"/>
  <c r="L80"/>
  <c r="L53" s="1"/>
  <c r="L17"/>
  <c r="L67"/>
  <c r="L30"/>
  <c r="L13"/>
  <c r="L13" i="46"/>
  <c r="L9"/>
  <c r="L6"/>
  <c r="L17"/>
  <c r="L5"/>
  <c r="L8"/>
  <c r="L54" i="29"/>
  <c r="L14" i="46"/>
  <c r="L16"/>
  <c r="L45" i="25"/>
  <c r="L63"/>
  <c r="M17" i="33"/>
  <c r="M16"/>
  <c r="L7" i="25"/>
  <c r="M19" i="33"/>
  <c r="M14" i="34"/>
  <c r="M18" i="33"/>
  <c r="M15"/>
  <c r="L26" i="25"/>
  <c r="M5" i="34"/>
  <c r="L54" i="25"/>
  <c r="M8" i="33"/>
  <c r="M10"/>
  <c r="M9"/>
  <c r="M7"/>
  <c r="M6"/>
  <c r="L36" i="25"/>
  <c r="L6"/>
  <c r="L17"/>
  <c r="L50" i="29"/>
  <c r="L15" l="1"/>
  <c r="L12" s="1"/>
  <c r="L76"/>
  <c r="K14" i="51"/>
  <c r="M22" i="29"/>
  <c r="M25"/>
  <c r="M24"/>
  <c r="M59"/>
  <c r="M61"/>
  <c r="M23"/>
  <c r="M26"/>
  <c r="M62"/>
  <c r="M63"/>
  <c r="M60"/>
  <c r="L11" i="25"/>
  <c r="L12"/>
  <c r="L49" i="29"/>
  <c r="M16" i="21"/>
  <c r="M19"/>
  <c r="M17"/>
  <c r="M18"/>
  <c r="M15"/>
  <c r="M14" i="33"/>
  <c r="M9" i="21"/>
  <c r="M10"/>
  <c r="M6"/>
  <c r="M7"/>
  <c r="M8"/>
  <c r="M5" i="33"/>
  <c r="L8" i="25"/>
  <c r="L11" i="48" s="1"/>
  <c r="M21" i="29" l="1"/>
  <c r="L13" i="48"/>
  <c r="L8" i="49" s="1"/>
  <c r="M58" i="29"/>
  <c r="N16" i="34"/>
  <c r="L13" i="51"/>
  <c r="M68" i="29"/>
  <c r="N15" i="34"/>
  <c r="M71" i="29"/>
  <c r="N18" i="34"/>
  <c r="M70" i="29"/>
  <c r="N17" i="34"/>
  <c r="M72" i="29"/>
  <c r="N19" i="34"/>
  <c r="M34" i="29"/>
  <c r="N9" i="34"/>
  <c r="M33" i="29"/>
  <c r="N8" i="34"/>
  <c r="M32" i="29"/>
  <c r="N7" i="34"/>
  <c r="M31" i="29"/>
  <c r="N6" i="34"/>
  <c r="M35" i="29"/>
  <c r="N10" i="34"/>
  <c r="L13" i="25"/>
  <c r="L5" i="48" s="1"/>
  <c r="M47" i="25"/>
  <c r="M69" i="29"/>
  <c r="M65" i="25"/>
  <c r="M28"/>
  <c r="M27"/>
  <c r="M68"/>
  <c r="M31"/>
  <c r="M50"/>
  <c r="M67"/>
  <c r="M30"/>
  <c r="M66"/>
  <c r="M29"/>
  <c r="M48"/>
  <c r="M22"/>
  <c r="M46"/>
  <c r="M49"/>
  <c r="M14" i="21"/>
  <c r="M15" i="46" s="1"/>
  <c r="E31" i="40" s="1"/>
  <c r="M64" i="25"/>
  <c r="M59"/>
  <c r="M41"/>
  <c r="M40"/>
  <c r="M58"/>
  <c r="M39"/>
  <c r="M5" i="21"/>
  <c r="M6" i="46" s="1"/>
  <c r="M57" i="25"/>
  <c r="M20"/>
  <c r="M21"/>
  <c r="M37"/>
  <c r="M55"/>
  <c r="M18"/>
  <c r="M19"/>
  <c r="M56"/>
  <c r="M38"/>
  <c r="L6" i="48" l="1"/>
  <c r="L7" s="1"/>
  <c r="L10" i="49"/>
  <c r="L12" i="51" s="1"/>
  <c r="M41" i="29"/>
  <c r="M43"/>
  <c r="M40"/>
  <c r="M13" s="1"/>
  <c r="M42"/>
  <c r="M15" s="1"/>
  <c r="M44"/>
  <c r="M80"/>
  <c r="M78"/>
  <c r="M51" s="1"/>
  <c r="M77"/>
  <c r="M50" s="1"/>
  <c r="M17"/>
  <c r="M16"/>
  <c r="M67"/>
  <c r="M30"/>
  <c r="M14"/>
  <c r="M81"/>
  <c r="M79"/>
  <c r="E22" i="40"/>
  <c r="M5" i="46"/>
  <c r="M8"/>
  <c r="M9"/>
  <c r="M7"/>
  <c r="M16"/>
  <c r="E32" i="40" s="1"/>
  <c r="M13" i="46"/>
  <c r="E29" i="40" s="1"/>
  <c r="M17" i="46"/>
  <c r="E33" i="40" s="1"/>
  <c r="M53" i="29"/>
  <c r="M14" i="46"/>
  <c r="E30" i="40" s="1"/>
  <c r="N17" i="33"/>
  <c r="M45" i="25"/>
  <c r="N15" i="33"/>
  <c r="N18"/>
  <c r="M63" i="25"/>
  <c r="M26"/>
  <c r="N14" i="34"/>
  <c r="M7" i="25"/>
  <c r="N16" i="33"/>
  <c r="N19"/>
  <c r="N6"/>
  <c r="M36" i="25"/>
  <c r="N10" i="33"/>
  <c r="N7"/>
  <c r="M54" i="25"/>
  <c r="N8" i="33"/>
  <c r="N5" i="34"/>
  <c r="N9" i="33"/>
  <c r="M6" i="25"/>
  <c r="M17"/>
  <c r="M39" i="29" l="1"/>
  <c r="L14" i="51"/>
  <c r="N26" i="29"/>
  <c r="N60"/>
  <c r="N59"/>
  <c r="N61"/>
  <c r="M54"/>
  <c r="N25"/>
  <c r="N24"/>
  <c r="N23"/>
  <c r="N63"/>
  <c r="N62"/>
  <c r="M52"/>
  <c r="M49" s="1"/>
  <c r="M11" i="25"/>
  <c r="N17" i="21"/>
  <c r="M76" i="29"/>
  <c r="N6" i="21"/>
  <c r="N22" i="29"/>
  <c r="E23" i="40"/>
  <c r="E25"/>
  <c r="E24"/>
  <c r="E21"/>
  <c r="M12" i="25"/>
  <c r="M12" i="29"/>
  <c r="N19" i="21"/>
  <c r="N15"/>
  <c r="N16"/>
  <c r="M8" i="25"/>
  <c r="M11" i="48" s="1"/>
  <c r="N18" i="21"/>
  <c r="N14" i="33"/>
  <c r="N10" i="21"/>
  <c r="N7"/>
  <c r="N8"/>
  <c r="N9"/>
  <c r="N5" i="33"/>
  <c r="N58" i="29" l="1"/>
  <c r="M13" i="48"/>
  <c r="M8" i="49" s="1"/>
  <c r="M13" i="51"/>
  <c r="N72" i="29"/>
  <c r="O19" i="34"/>
  <c r="N71" i="29"/>
  <c r="O18" i="34"/>
  <c r="N70" i="29"/>
  <c r="O17" i="34"/>
  <c r="N69" i="29"/>
  <c r="O16" i="34"/>
  <c r="N68" i="29"/>
  <c r="O15" i="34"/>
  <c r="N33" i="29"/>
  <c r="O8" i="34"/>
  <c r="N32" i="29"/>
  <c r="O7" i="34"/>
  <c r="N31" i="29"/>
  <c r="O6" i="34"/>
  <c r="N35" i="29"/>
  <c r="O10" i="34"/>
  <c r="N34" i="29"/>
  <c r="O9" i="34"/>
  <c r="M13" i="25"/>
  <c r="M5" i="48" s="1"/>
  <c r="N55" i="25"/>
  <c r="N18"/>
  <c r="N48"/>
  <c r="N66"/>
  <c r="N29"/>
  <c r="N37"/>
  <c r="N21" i="29"/>
  <c r="N67" i="25"/>
  <c r="N27"/>
  <c r="N49"/>
  <c r="N64"/>
  <c r="N46"/>
  <c r="N50"/>
  <c r="N31"/>
  <c r="N68"/>
  <c r="N47"/>
  <c r="N65"/>
  <c r="N14" i="21"/>
  <c r="N15" i="46" s="1"/>
  <c r="N28" i="25"/>
  <c r="N30"/>
  <c r="N22"/>
  <c r="N59"/>
  <c r="N41"/>
  <c r="N56"/>
  <c r="N19"/>
  <c r="N38"/>
  <c r="N21"/>
  <c r="N39"/>
  <c r="N20"/>
  <c r="N5" i="21"/>
  <c r="N5" i="46" s="1"/>
  <c r="N57" i="25"/>
  <c r="N40"/>
  <c r="N58"/>
  <c r="M6" i="48" l="1"/>
  <c r="M10" i="49"/>
  <c r="E37" i="40"/>
  <c r="N80" i="29"/>
  <c r="N81"/>
  <c r="N54" s="1"/>
  <c r="N40"/>
  <c r="N13" s="1"/>
  <c r="N42"/>
  <c r="N43"/>
  <c r="N16" s="1"/>
  <c r="N41"/>
  <c r="N44"/>
  <c r="N17" s="1"/>
  <c r="N78"/>
  <c r="N51" s="1"/>
  <c r="N77"/>
  <c r="N79"/>
  <c r="N52" s="1"/>
  <c r="N15"/>
  <c r="N30"/>
  <c r="N67"/>
  <c r="N6" i="46"/>
  <c r="N7"/>
  <c r="N8"/>
  <c r="N9"/>
  <c r="N17"/>
  <c r="N16"/>
  <c r="N53" i="29"/>
  <c r="N14" i="46"/>
  <c r="N13"/>
  <c r="O17" i="33"/>
  <c r="N7" i="25"/>
  <c r="N45"/>
  <c r="N63"/>
  <c r="O15" i="33"/>
  <c r="N26" i="25"/>
  <c r="O19" i="33"/>
  <c r="O14" i="34"/>
  <c r="O16" i="33"/>
  <c r="O18"/>
  <c r="O7"/>
  <c r="N54" i="25"/>
  <c r="N36"/>
  <c r="O5" i="34"/>
  <c r="N17" i="25"/>
  <c r="O8" i="33"/>
  <c r="N6" i="25"/>
  <c r="O6" i="33"/>
  <c r="O10"/>
  <c r="O9"/>
  <c r="N76" i="29" l="1"/>
  <c r="N50"/>
  <c r="N49" s="1"/>
  <c r="N39"/>
  <c r="N14"/>
  <c r="N12" s="1"/>
  <c r="M12" i="51"/>
  <c r="O26" i="29"/>
  <c r="O25"/>
  <c r="O22"/>
  <c r="O24"/>
  <c r="O62"/>
  <c r="O23"/>
  <c r="O60"/>
  <c r="O63"/>
  <c r="O59"/>
  <c r="O61"/>
  <c r="M7" i="48"/>
  <c r="E38" i="40"/>
  <c r="N11" i="25"/>
  <c r="O17" i="21"/>
  <c r="N12" i="25"/>
  <c r="O18" i="21"/>
  <c r="O16"/>
  <c r="O19"/>
  <c r="O15"/>
  <c r="O14" i="33"/>
  <c r="O8" i="21"/>
  <c r="O7"/>
  <c r="O10"/>
  <c r="N8" i="25"/>
  <c r="N11" i="48" s="1"/>
  <c r="O6" i="21"/>
  <c r="O5" i="33"/>
  <c r="O9" i="21"/>
  <c r="N13" i="48" l="1"/>
  <c r="N8" i="49" s="1"/>
  <c r="O58" i="29"/>
  <c r="E39" i="40"/>
  <c r="M14" i="51"/>
  <c r="O21" i="29"/>
  <c r="P18" i="34"/>
  <c r="N13" i="51"/>
  <c r="O68" i="29"/>
  <c r="P15" i="34"/>
  <c r="O72" i="29"/>
  <c r="P19" i="34"/>
  <c r="O70" i="29"/>
  <c r="P17" i="34"/>
  <c r="O69" i="29"/>
  <c r="P16" i="34"/>
  <c r="O33" i="29"/>
  <c r="P8" i="34"/>
  <c r="O34" i="29"/>
  <c r="P9" i="34"/>
  <c r="O31" i="29"/>
  <c r="P6" i="34"/>
  <c r="O35" i="29"/>
  <c r="P10" i="34"/>
  <c r="O32" i="29"/>
  <c r="P7" i="34"/>
  <c r="N13" i="25"/>
  <c r="N5" i="48" s="1"/>
  <c r="O29" i="25"/>
  <c r="O48"/>
  <c r="O66"/>
  <c r="O30"/>
  <c r="O71" i="29"/>
  <c r="O49" i="25"/>
  <c r="O67"/>
  <c r="O31"/>
  <c r="O68"/>
  <c r="O50"/>
  <c r="O46"/>
  <c r="O65"/>
  <c r="O47"/>
  <c r="O28"/>
  <c r="O14" i="21"/>
  <c r="O15" i="46" s="1"/>
  <c r="O27" i="25"/>
  <c r="O64"/>
  <c r="O39"/>
  <c r="O20"/>
  <c r="O57"/>
  <c r="O38"/>
  <c r="O56"/>
  <c r="O19"/>
  <c r="O55"/>
  <c r="O37"/>
  <c r="O22"/>
  <c r="O59"/>
  <c r="O41"/>
  <c r="O18"/>
  <c r="O58"/>
  <c r="O40"/>
  <c r="O5" i="21"/>
  <c r="O5" i="46" s="1"/>
  <c r="O21" i="25"/>
  <c r="N6" i="48" l="1"/>
  <c r="N7" s="1"/>
  <c r="N10" i="49"/>
  <c r="N12" i="51" s="1"/>
  <c r="O40" i="29"/>
  <c r="O44"/>
  <c r="O17" s="1"/>
  <c r="O77"/>
  <c r="O50" s="1"/>
  <c r="O78"/>
  <c r="O81"/>
  <c r="O80"/>
  <c r="O43"/>
  <c r="O16" s="1"/>
  <c r="O41"/>
  <c r="O14" s="1"/>
  <c r="O42"/>
  <c r="O79"/>
  <c r="O52"/>
  <c r="O15"/>
  <c r="O30"/>
  <c r="O13"/>
  <c r="O67"/>
  <c r="O53"/>
  <c r="O54"/>
  <c r="O13" i="46"/>
  <c r="O6"/>
  <c r="O9"/>
  <c r="O7"/>
  <c r="O8"/>
  <c r="O16"/>
  <c r="O17"/>
  <c r="O14"/>
  <c r="P17" i="33"/>
  <c r="O45" i="25"/>
  <c r="O63"/>
  <c r="O26"/>
  <c r="O7"/>
  <c r="P18" i="33"/>
  <c r="P14" i="34"/>
  <c r="P15" i="33"/>
  <c r="P16"/>
  <c r="P19"/>
  <c r="P7"/>
  <c r="P9"/>
  <c r="P6"/>
  <c r="O36" i="25"/>
  <c r="O54"/>
  <c r="P5" i="34"/>
  <c r="O17" i="25"/>
  <c r="P10" i="33"/>
  <c r="O6" i="25"/>
  <c r="P8" i="33"/>
  <c r="O39" i="29" l="1"/>
  <c r="O76"/>
  <c r="O51"/>
  <c r="O49" s="1"/>
  <c r="N14" i="51"/>
  <c r="P22" i="29"/>
  <c r="P23"/>
  <c r="P60"/>
  <c r="P61"/>
  <c r="P24"/>
  <c r="P26"/>
  <c r="P25"/>
  <c r="P63"/>
  <c r="P59"/>
  <c r="P62"/>
  <c r="O11" i="25"/>
  <c r="O12"/>
  <c r="O12" i="29"/>
  <c r="P17" i="21"/>
  <c r="P18"/>
  <c r="P14" i="33"/>
  <c r="P16" i="21"/>
  <c r="P19"/>
  <c r="P15"/>
  <c r="P7"/>
  <c r="P9"/>
  <c r="P6"/>
  <c r="P10"/>
  <c r="P8"/>
  <c r="O8" i="25"/>
  <c r="O11" i="48" s="1"/>
  <c r="P5" i="33"/>
  <c r="P21" i="29" l="1"/>
  <c r="O13" i="48"/>
  <c r="O6" s="1"/>
  <c r="P58" i="29"/>
  <c r="Q17" i="34"/>
  <c r="O13" i="51"/>
  <c r="P68" i="29"/>
  <c r="Q15" i="34"/>
  <c r="P69" i="29"/>
  <c r="Q16" i="34"/>
  <c r="P71" i="29"/>
  <c r="Q18" i="34"/>
  <c r="P72" i="29"/>
  <c r="Q19" i="34"/>
  <c r="P34" i="29"/>
  <c r="Q9" i="34"/>
  <c r="P32" i="29"/>
  <c r="Q7" i="34"/>
  <c r="P33" i="29"/>
  <c r="Q8" i="34"/>
  <c r="P35" i="29"/>
  <c r="Q10" i="34"/>
  <c r="P31" i="29"/>
  <c r="Q6" i="34"/>
  <c r="O13" i="25"/>
  <c r="O5" i="48" s="1"/>
  <c r="P29" i="25"/>
  <c r="P70" i="29"/>
  <c r="P48" i="25"/>
  <c r="P66"/>
  <c r="P67"/>
  <c r="P49"/>
  <c r="P30"/>
  <c r="P31"/>
  <c r="P64"/>
  <c r="P46"/>
  <c r="P68"/>
  <c r="P47"/>
  <c r="P14" i="21"/>
  <c r="P14" i="46" s="1"/>
  <c r="P65" i="25"/>
  <c r="P28"/>
  <c r="P27"/>
  <c r="P50"/>
  <c r="P19"/>
  <c r="P56"/>
  <c r="P38"/>
  <c r="P20"/>
  <c r="P57"/>
  <c r="P59"/>
  <c r="P41"/>
  <c r="P40"/>
  <c r="P58"/>
  <c r="P21"/>
  <c r="P22"/>
  <c r="P39"/>
  <c r="P55"/>
  <c r="P5" i="21"/>
  <c r="P6" i="46" s="1"/>
  <c r="P18" i="25"/>
  <c r="P37"/>
  <c r="O8" i="49" l="1"/>
  <c r="O10" s="1"/>
  <c r="O12" i="51" s="1"/>
  <c r="P40" i="29"/>
  <c r="P13" s="1"/>
  <c r="P44"/>
  <c r="P41"/>
  <c r="P14" s="1"/>
  <c r="P77"/>
  <c r="P81"/>
  <c r="P43"/>
  <c r="P42"/>
  <c r="P15" s="1"/>
  <c r="P78"/>
  <c r="P51" s="1"/>
  <c r="P80"/>
  <c r="P53" s="1"/>
  <c r="P79"/>
  <c r="O7" i="48"/>
  <c r="P16" i="29"/>
  <c r="P30"/>
  <c r="P17"/>
  <c r="P67"/>
  <c r="P52"/>
  <c r="P8" i="46"/>
  <c r="P5"/>
  <c r="P9"/>
  <c r="P17"/>
  <c r="P54" i="29"/>
  <c r="P7" i="46"/>
  <c r="P16"/>
  <c r="P13"/>
  <c r="P15"/>
  <c r="P7" i="25"/>
  <c r="P63"/>
  <c r="Q18" i="33"/>
  <c r="Q15"/>
  <c r="P45" i="25"/>
  <c r="Q14" i="34"/>
  <c r="Q17" i="33"/>
  <c r="P26" i="25"/>
  <c r="Q16" i="33"/>
  <c r="Q19"/>
  <c r="Q7"/>
  <c r="Q10"/>
  <c r="P36" i="25"/>
  <c r="Q9" i="33"/>
  <c r="Q6"/>
  <c r="Q5" i="34"/>
  <c r="Q8" i="33"/>
  <c r="P6" i="25"/>
  <c r="P54"/>
  <c r="P17"/>
  <c r="P76" i="29" l="1"/>
  <c r="P39"/>
  <c r="P50"/>
  <c r="P49" s="1"/>
  <c r="O14" i="51"/>
  <c r="Q24" i="29"/>
  <c r="Q22"/>
  <c r="Q23"/>
  <c r="Q60"/>
  <c r="Q61"/>
  <c r="Q62"/>
  <c r="Q25"/>
  <c r="Q26"/>
  <c r="Q63"/>
  <c r="Q59"/>
  <c r="P11" i="25"/>
  <c r="P12"/>
  <c r="P12" i="29"/>
  <c r="Q15" i="21"/>
  <c r="Q18"/>
  <c r="Q14" i="33"/>
  <c r="Q16" i="21"/>
  <c r="Q17"/>
  <c r="Q19"/>
  <c r="Q7"/>
  <c r="Q6"/>
  <c r="Q10"/>
  <c r="Q9"/>
  <c r="Q5" i="33"/>
  <c r="P8" i="25"/>
  <c r="P11" i="48" s="1"/>
  <c r="Q8" i="21"/>
  <c r="P13" i="48" l="1"/>
  <c r="P8" i="49" s="1"/>
  <c r="Q21" i="29"/>
  <c r="R15" i="34"/>
  <c r="R18"/>
  <c r="Q58" i="29"/>
  <c r="P13" i="51"/>
  <c r="Q72" i="29"/>
  <c r="R19" i="34"/>
  <c r="Q70" i="29"/>
  <c r="R17" i="34"/>
  <c r="Q69" i="29"/>
  <c r="R16" i="34"/>
  <c r="Q32" i="29"/>
  <c r="R7" i="34"/>
  <c r="Q35" i="29"/>
  <c r="R10" i="34"/>
  <c r="Q33" i="29"/>
  <c r="R8" i="34"/>
  <c r="Q34" i="29"/>
  <c r="R9" i="34"/>
  <c r="Q31" i="29"/>
  <c r="R6" i="34"/>
  <c r="P13" i="25"/>
  <c r="P5" i="48" s="1"/>
  <c r="Q49" i="25"/>
  <c r="Q71" i="29"/>
  <c r="Q46" i="25"/>
  <c r="Q68" i="29"/>
  <c r="Q64" i="25"/>
  <c r="Q67"/>
  <c r="Q27"/>
  <c r="Q30"/>
  <c r="Q65"/>
  <c r="Q28"/>
  <c r="Q47"/>
  <c r="Q50"/>
  <c r="Q31"/>
  <c r="Q68"/>
  <c r="Q14" i="21"/>
  <c r="Q15" i="46" s="1"/>
  <c r="Q29" i="25"/>
  <c r="Q48"/>
  <c r="Q66"/>
  <c r="Q18"/>
  <c r="Q41"/>
  <c r="Q56"/>
  <c r="Q22"/>
  <c r="Q59"/>
  <c r="Q39"/>
  <c r="Q57"/>
  <c r="Q55"/>
  <c r="Q40"/>
  <c r="Q38"/>
  <c r="Q19"/>
  <c r="Q21"/>
  <c r="Q58"/>
  <c r="Q37"/>
  <c r="Q20"/>
  <c r="Q5" i="21"/>
  <c r="Q8" i="46" s="1"/>
  <c r="P6" i="48" l="1"/>
  <c r="P7" s="1"/>
  <c r="P10" i="49"/>
  <c r="P12" i="51" s="1"/>
  <c r="Q42" i="29"/>
  <c r="Q15" s="1"/>
  <c r="Q43"/>
  <c r="Q44"/>
  <c r="Q17" s="1"/>
  <c r="Q79"/>
  <c r="Q52" s="1"/>
  <c r="Q78"/>
  <c r="Q80"/>
  <c r="Q41"/>
  <c r="Q14" s="1"/>
  <c r="Q40"/>
  <c r="Q13" s="1"/>
  <c r="Q77"/>
  <c r="Q30"/>
  <c r="Q16"/>
  <c r="Q67"/>
  <c r="Q81"/>
  <c r="Q7" i="46"/>
  <c r="Q5"/>
  <c r="Q9"/>
  <c r="Q51" i="29"/>
  <c r="Q17" i="46"/>
  <c r="Q6"/>
  <c r="Q53" i="29"/>
  <c r="Q16" i="46"/>
  <c r="Q14"/>
  <c r="Q13"/>
  <c r="R14" i="34"/>
  <c r="Q63" i="25"/>
  <c r="R18" i="33"/>
  <c r="R17"/>
  <c r="Q45" i="25"/>
  <c r="R19" i="33"/>
  <c r="R16"/>
  <c r="Q7" i="25"/>
  <c r="Q26"/>
  <c r="R15" i="33"/>
  <c r="R9"/>
  <c r="Q17" i="25"/>
  <c r="Q54"/>
  <c r="R8" i="33"/>
  <c r="R7"/>
  <c r="R5" i="34"/>
  <c r="R10" i="33"/>
  <c r="R6"/>
  <c r="Q36" i="25"/>
  <c r="Q6"/>
  <c r="Q50" i="29"/>
  <c r="Q39" l="1"/>
  <c r="P14" i="51"/>
  <c r="R22" i="29"/>
  <c r="R26"/>
  <c r="R23"/>
  <c r="R25"/>
  <c r="R60"/>
  <c r="R62"/>
  <c r="Q76"/>
  <c r="R24"/>
  <c r="R59"/>
  <c r="R63"/>
  <c r="R61"/>
  <c r="Q12"/>
  <c r="Q11" i="25"/>
  <c r="Q54" i="29"/>
  <c r="Q12" i="25"/>
  <c r="R17" i="21"/>
  <c r="R16"/>
  <c r="R18"/>
  <c r="Q8" i="25"/>
  <c r="Q11" i="48" s="1"/>
  <c r="R19" i="21"/>
  <c r="R15"/>
  <c r="R14" i="33"/>
  <c r="R9" i="21"/>
  <c r="R8"/>
  <c r="R7"/>
  <c r="R10"/>
  <c r="R5" i="33"/>
  <c r="R6" i="21"/>
  <c r="Q49" i="29" l="1"/>
  <c r="Q13" i="51" s="1"/>
  <c r="Q13" i="48"/>
  <c r="Q8" i="49" s="1"/>
  <c r="R58" i="29"/>
  <c r="R21"/>
  <c r="S17" i="34"/>
  <c r="R68" i="29"/>
  <c r="S15" i="34"/>
  <c r="R72" i="29"/>
  <c r="S19" i="34"/>
  <c r="R71" i="29"/>
  <c r="S18" i="34"/>
  <c r="R69" i="29"/>
  <c r="S16" i="34"/>
  <c r="R34" i="29"/>
  <c r="S9" i="34"/>
  <c r="R31" i="29"/>
  <c r="S6" i="34"/>
  <c r="R35" i="29"/>
  <c r="S10" i="34"/>
  <c r="R32" i="29"/>
  <c r="S7" i="34"/>
  <c r="R33" i="29"/>
  <c r="S8" i="34"/>
  <c r="Q13" i="25"/>
  <c r="Q5" i="48" s="1"/>
  <c r="R66" i="25"/>
  <c r="R70" i="29"/>
  <c r="R29" i="25"/>
  <c r="R48"/>
  <c r="R47"/>
  <c r="R28"/>
  <c r="R65"/>
  <c r="R30"/>
  <c r="R49"/>
  <c r="R67"/>
  <c r="R68"/>
  <c r="R50"/>
  <c r="R31"/>
  <c r="R38"/>
  <c r="R27"/>
  <c r="R64"/>
  <c r="R14" i="21"/>
  <c r="R17" i="46" s="1"/>
  <c r="F33" i="40" s="1"/>
  <c r="R46" i="25"/>
  <c r="R56"/>
  <c r="R22"/>
  <c r="R19"/>
  <c r="R58"/>
  <c r="R40"/>
  <c r="R21"/>
  <c r="R41"/>
  <c r="R37"/>
  <c r="R59"/>
  <c r="R57"/>
  <c r="R39"/>
  <c r="R20"/>
  <c r="R18"/>
  <c r="R55"/>
  <c r="R5" i="21"/>
  <c r="R9" i="46" s="1"/>
  <c r="Q6" i="48" l="1"/>
  <c r="Q7" s="1"/>
  <c r="Q10" i="49"/>
  <c r="Q12" i="51" s="1"/>
  <c r="R40" i="29"/>
  <c r="R13" s="1"/>
  <c r="R41"/>
  <c r="R77"/>
  <c r="R81"/>
  <c r="R54" s="1"/>
  <c r="R79"/>
  <c r="R42"/>
  <c r="R43"/>
  <c r="R16" s="1"/>
  <c r="R44"/>
  <c r="R17" s="1"/>
  <c r="R80"/>
  <c r="R53" s="1"/>
  <c r="R15"/>
  <c r="R67"/>
  <c r="R30"/>
  <c r="R14"/>
  <c r="R78"/>
  <c r="R52"/>
  <c r="F25" i="40"/>
  <c r="R7" i="46"/>
  <c r="R6"/>
  <c r="R5"/>
  <c r="R13"/>
  <c r="F29" i="40" s="1"/>
  <c r="R8" i="46"/>
  <c r="R14"/>
  <c r="F30" i="40" s="1"/>
  <c r="R16" i="46"/>
  <c r="F32" i="40" s="1"/>
  <c r="R15" i="46"/>
  <c r="F31" i="40" s="1"/>
  <c r="S17" i="33"/>
  <c r="R45" i="25"/>
  <c r="R63"/>
  <c r="S18" i="33"/>
  <c r="S16"/>
  <c r="R26" i="25"/>
  <c r="S15" i="33"/>
  <c r="S19"/>
  <c r="S14" i="34"/>
  <c r="R7" i="25"/>
  <c r="S10" i="33"/>
  <c r="R17" i="25"/>
  <c r="R36"/>
  <c r="R6"/>
  <c r="R54"/>
  <c r="S5" i="34"/>
  <c r="S7" i="33"/>
  <c r="S9"/>
  <c r="S8"/>
  <c r="S6"/>
  <c r="R39" i="29" l="1"/>
  <c r="Q14" i="51"/>
  <c r="S23" i="29"/>
  <c r="S21" s="1"/>
  <c r="S22"/>
  <c r="S25"/>
  <c r="S63"/>
  <c r="S62"/>
  <c r="S24"/>
  <c r="S26"/>
  <c r="S59"/>
  <c r="S60"/>
  <c r="S61"/>
  <c r="R51"/>
  <c r="R11" i="25"/>
  <c r="R76" i="29"/>
  <c r="F24" i="40"/>
  <c r="F21"/>
  <c r="F22"/>
  <c r="R12" i="29"/>
  <c r="F23" i="40"/>
  <c r="R12" i="25"/>
  <c r="S19" i="21"/>
  <c r="S15"/>
  <c r="S18"/>
  <c r="S17"/>
  <c r="S14" i="33"/>
  <c r="S16" i="21"/>
  <c r="R50" i="29"/>
  <c r="R8" i="25"/>
  <c r="R11" i="48" s="1"/>
  <c r="S7" i="21"/>
  <c r="S10"/>
  <c r="S9"/>
  <c r="S6"/>
  <c r="S5" i="33"/>
  <c r="S8" i="21"/>
  <c r="R13" i="48" l="1"/>
  <c r="R6" s="1"/>
  <c r="R49" i="29"/>
  <c r="R13" i="51" s="1"/>
  <c r="S58" i="29"/>
  <c r="T15" i="34"/>
  <c r="T19"/>
  <c r="S71" i="29"/>
  <c r="T18" i="34"/>
  <c r="S69" i="29"/>
  <c r="T16" i="34"/>
  <c r="S70" i="29"/>
  <c r="T17" i="34"/>
  <c r="S34" i="29"/>
  <c r="T9" i="34"/>
  <c r="S35" i="29"/>
  <c r="T10" i="34"/>
  <c r="S32" i="29"/>
  <c r="T7" i="34"/>
  <c r="S33" i="29"/>
  <c r="T8" i="34"/>
  <c r="S31" i="29"/>
  <c r="T6" i="34"/>
  <c r="R13" i="25"/>
  <c r="R5" i="48" s="1"/>
  <c r="S27" i="25"/>
  <c r="S68" i="29"/>
  <c r="S31" i="25"/>
  <c r="S72" i="29"/>
  <c r="S68" i="25"/>
  <c r="S50"/>
  <c r="S64"/>
  <c r="S28"/>
  <c r="S46"/>
  <c r="S49"/>
  <c r="S66"/>
  <c r="S29"/>
  <c r="S67"/>
  <c r="S48"/>
  <c r="S30"/>
  <c r="S14" i="21"/>
  <c r="S15" i="46" s="1"/>
  <c r="S65" i="25"/>
  <c r="S47"/>
  <c r="S38"/>
  <c r="S40"/>
  <c r="S58"/>
  <c r="S21"/>
  <c r="S19"/>
  <c r="S56"/>
  <c r="S41"/>
  <c r="S59"/>
  <c r="S22"/>
  <c r="S37"/>
  <c r="S39"/>
  <c r="S18"/>
  <c r="S55"/>
  <c r="S20"/>
  <c r="S57"/>
  <c r="S5" i="21"/>
  <c r="S5" i="46" s="1"/>
  <c r="R8" i="49" l="1"/>
  <c r="R10" s="1"/>
  <c r="R12" i="51" s="1"/>
  <c r="F37" i="40"/>
  <c r="S42" i="29"/>
  <c r="S40"/>
  <c r="S13" s="1"/>
  <c r="S44"/>
  <c r="S17" s="1"/>
  <c r="S41"/>
  <c r="S14" s="1"/>
  <c r="S80"/>
  <c r="S53" s="1"/>
  <c r="S81"/>
  <c r="S54" s="1"/>
  <c r="S77"/>
  <c r="S43"/>
  <c r="S16" s="1"/>
  <c r="S79"/>
  <c r="S52" s="1"/>
  <c r="S78"/>
  <c r="S51" s="1"/>
  <c r="S30"/>
  <c r="S15"/>
  <c r="S67"/>
  <c r="S7" i="46"/>
  <c r="T15" i="33"/>
  <c r="S9" i="46"/>
  <c r="S6"/>
  <c r="S8"/>
  <c r="S14"/>
  <c r="S13"/>
  <c r="S16"/>
  <c r="S17"/>
  <c r="T14" i="34"/>
  <c r="T17" i="33"/>
  <c r="T18"/>
  <c r="T16"/>
  <c r="S7" i="25"/>
  <c r="T19" i="33"/>
  <c r="S63" i="25"/>
  <c r="S45"/>
  <c r="S26"/>
  <c r="T9" i="33"/>
  <c r="S36" i="25"/>
  <c r="T7" i="33"/>
  <c r="T8"/>
  <c r="S6" i="25"/>
  <c r="T10" i="33"/>
  <c r="T5" i="34"/>
  <c r="S54" i="25"/>
  <c r="T6" i="33"/>
  <c r="S17" i="25"/>
  <c r="S76" i="29" l="1"/>
  <c r="S50"/>
  <c r="S49" s="1"/>
  <c r="S39"/>
  <c r="R14" i="51"/>
  <c r="T22" i="29"/>
  <c r="T23"/>
  <c r="T25"/>
  <c r="T63"/>
  <c r="T60"/>
  <c r="T61"/>
  <c r="T26"/>
  <c r="T24"/>
  <c r="T62"/>
  <c r="T59"/>
  <c r="R7" i="48"/>
  <c r="F38" i="40"/>
  <c r="S11" i="25"/>
  <c r="T15" i="21"/>
  <c r="T18"/>
  <c r="S12" i="25"/>
  <c r="S12" i="29"/>
  <c r="T17" i="21"/>
  <c r="T16"/>
  <c r="T19"/>
  <c r="S8" i="25"/>
  <c r="S11" i="48" s="1"/>
  <c r="T14" i="33"/>
  <c r="T9" i="21"/>
  <c r="T10"/>
  <c r="T8"/>
  <c r="T7"/>
  <c r="T5" i="33"/>
  <c r="T6" i="21"/>
  <c r="S13" i="48" l="1"/>
  <c r="S6" s="1"/>
  <c r="T58" i="29"/>
  <c r="F39" i="40"/>
  <c r="U16" i="34"/>
  <c r="U17"/>
  <c r="T21" i="29"/>
  <c r="S13" i="51"/>
  <c r="T30" i="25"/>
  <c r="U18" i="34"/>
  <c r="T72" i="29"/>
  <c r="U19" i="34"/>
  <c r="T68" i="29"/>
  <c r="U15" i="34"/>
  <c r="T31" i="29"/>
  <c r="U6" i="34"/>
  <c r="T32" i="29"/>
  <c r="U7" i="34"/>
  <c r="T33" i="29"/>
  <c r="U8" i="34"/>
  <c r="T35" i="29"/>
  <c r="U10" i="34"/>
  <c r="T34" i="29"/>
  <c r="U9" i="34"/>
  <c r="T64" i="25"/>
  <c r="T46"/>
  <c r="T27"/>
  <c r="T29"/>
  <c r="T70" i="29"/>
  <c r="T69"/>
  <c r="T49" i="25"/>
  <c r="T71" i="29"/>
  <c r="T67" i="25"/>
  <c r="S13"/>
  <c r="S5" i="48" s="1"/>
  <c r="T66" i="25"/>
  <c r="T47"/>
  <c r="T14" i="21"/>
  <c r="T17" i="46" s="1"/>
  <c r="T48" i="25"/>
  <c r="T68"/>
  <c r="T50"/>
  <c r="T65"/>
  <c r="T31"/>
  <c r="T28"/>
  <c r="T41"/>
  <c r="T22"/>
  <c r="T19"/>
  <c r="T56"/>
  <c r="T57"/>
  <c r="T40"/>
  <c r="T59"/>
  <c r="T58"/>
  <c r="T37"/>
  <c r="T21"/>
  <c r="T20"/>
  <c r="T5" i="21"/>
  <c r="T7" i="46" s="1"/>
  <c r="T38" i="25"/>
  <c r="T39"/>
  <c r="T55"/>
  <c r="T18"/>
  <c r="S8" i="49" l="1"/>
  <c r="S10" s="1"/>
  <c r="S12" i="51" s="1"/>
  <c r="T41" i="29"/>
  <c r="T14" s="1"/>
  <c r="T81"/>
  <c r="T54" s="1"/>
  <c r="T79"/>
  <c r="T52" s="1"/>
  <c r="T42"/>
  <c r="T15" s="1"/>
  <c r="T40"/>
  <c r="T39" s="1"/>
  <c r="T43"/>
  <c r="T16" s="1"/>
  <c r="T44"/>
  <c r="T78"/>
  <c r="T51" s="1"/>
  <c r="T77"/>
  <c r="T50" s="1"/>
  <c r="T80"/>
  <c r="T53" s="1"/>
  <c r="S7" i="48"/>
  <c r="T17" i="29"/>
  <c r="T30"/>
  <c r="U18" i="33"/>
  <c r="T67" i="29"/>
  <c r="T63" i="25"/>
  <c r="T12" s="1"/>
  <c r="T14" i="46"/>
  <c r="T16"/>
  <c r="T5"/>
  <c r="T15"/>
  <c r="T13"/>
  <c r="U17" i="33"/>
  <c r="T6" i="46"/>
  <c r="T9"/>
  <c r="T8"/>
  <c r="T45" i="25"/>
  <c r="U16" i="33"/>
  <c r="U15"/>
  <c r="U19"/>
  <c r="T26" i="25"/>
  <c r="U14" i="34"/>
  <c r="T7" i="25"/>
  <c r="U7" i="33"/>
  <c r="U10"/>
  <c r="T36" i="25"/>
  <c r="T54"/>
  <c r="U6" i="33"/>
  <c r="U8"/>
  <c r="U5" i="34"/>
  <c r="U9" i="33"/>
  <c r="T6" i="25"/>
  <c r="T17"/>
  <c r="T13" i="29" l="1"/>
  <c r="S14" i="51"/>
  <c r="T76" i="29"/>
  <c r="U24"/>
  <c r="U22"/>
  <c r="U23"/>
  <c r="U63"/>
  <c r="U60"/>
  <c r="U62"/>
  <c r="U25"/>
  <c r="U26"/>
  <c r="U61"/>
  <c r="T11" i="25"/>
  <c r="T13" s="1"/>
  <c r="T5" i="48" s="1"/>
  <c r="U18" i="21"/>
  <c r="U15"/>
  <c r="U59" i="29"/>
  <c r="U19" i="21"/>
  <c r="T12" i="29"/>
  <c r="U16" i="21"/>
  <c r="U17"/>
  <c r="T49" i="29"/>
  <c r="U14" i="33"/>
  <c r="U7" i="21"/>
  <c r="U10"/>
  <c r="U8"/>
  <c r="U6"/>
  <c r="U5" i="33"/>
  <c r="U9" i="21"/>
  <c r="T8" i="25"/>
  <c r="T11" i="48" s="1"/>
  <c r="T13" l="1"/>
  <c r="T6" s="1"/>
  <c r="U21" i="29"/>
  <c r="V17" i="34"/>
  <c r="U58" i="29"/>
  <c r="T13" i="51"/>
  <c r="U68" i="29"/>
  <c r="V15" i="34"/>
  <c r="U71" i="29"/>
  <c r="V18" i="34"/>
  <c r="U69" i="29"/>
  <c r="V16" i="34"/>
  <c r="U68" i="25"/>
  <c r="V19" i="34"/>
  <c r="U35" i="29"/>
  <c r="V10" i="34"/>
  <c r="U32" i="29"/>
  <c r="V7" i="34"/>
  <c r="U34" i="29"/>
  <c r="V9" i="34"/>
  <c r="U31" i="29"/>
  <c r="V6" i="34"/>
  <c r="U33" i="29"/>
  <c r="V8" i="34"/>
  <c r="U30" i="25"/>
  <c r="U67"/>
  <c r="U49"/>
  <c r="U48"/>
  <c r="U70" i="29"/>
  <c r="U46" i="25"/>
  <c r="U64"/>
  <c r="U27"/>
  <c r="U50"/>
  <c r="U72" i="29"/>
  <c r="U29" i="25"/>
  <c r="U31"/>
  <c r="U28"/>
  <c r="U14" i="21"/>
  <c r="U13" i="46" s="1"/>
  <c r="U66" i="25"/>
  <c r="U47"/>
  <c r="U65"/>
  <c r="U59"/>
  <c r="U41"/>
  <c r="U22"/>
  <c r="U39"/>
  <c r="U56"/>
  <c r="U58"/>
  <c r="U18"/>
  <c r="U40"/>
  <c r="U38"/>
  <c r="U19"/>
  <c r="U57"/>
  <c r="U20"/>
  <c r="U5" i="21"/>
  <c r="U8" i="46" s="1"/>
  <c r="U55" i="25"/>
  <c r="U21"/>
  <c r="U37"/>
  <c r="T8" i="49" l="1"/>
  <c r="T10" s="1"/>
  <c r="T12" i="51" s="1"/>
  <c r="U40" i="29"/>
  <c r="U44"/>
  <c r="U17" s="1"/>
  <c r="U77"/>
  <c r="U50" s="1"/>
  <c r="U43"/>
  <c r="U16" s="1"/>
  <c r="U42"/>
  <c r="U15" s="1"/>
  <c r="U41"/>
  <c r="U14" s="1"/>
  <c r="U79"/>
  <c r="U52" s="1"/>
  <c r="U80"/>
  <c r="T7" i="48"/>
  <c r="U30" i="29"/>
  <c r="U67"/>
  <c r="U45" i="25"/>
  <c r="U81" i="29"/>
  <c r="U78"/>
  <c r="U63" i="25"/>
  <c r="U12" s="1"/>
  <c r="V14" i="34"/>
  <c r="U15" i="46"/>
  <c r="U14"/>
  <c r="U16"/>
  <c r="U17"/>
  <c r="V17" i="33"/>
  <c r="U26" i="25"/>
  <c r="U7"/>
  <c r="V16" i="33"/>
  <c r="V19"/>
  <c r="V18"/>
  <c r="V15"/>
  <c r="U6" i="46"/>
  <c r="U5"/>
  <c r="U7"/>
  <c r="U9"/>
  <c r="U36" i="25"/>
  <c r="U54"/>
  <c r="U17"/>
  <c r="V9" i="33"/>
  <c r="V10"/>
  <c r="V5" i="34"/>
  <c r="V6" i="33"/>
  <c r="V7"/>
  <c r="U6" i="25"/>
  <c r="V8" i="33"/>
  <c r="U39" i="29" l="1"/>
  <c r="U13"/>
  <c r="U12" s="1"/>
  <c r="U53"/>
  <c r="T14" i="51"/>
  <c r="V22" i="29"/>
  <c r="V26"/>
  <c r="V62"/>
  <c r="V60"/>
  <c r="U54"/>
  <c r="V24"/>
  <c r="V23"/>
  <c r="V25"/>
  <c r="V59"/>
  <c r="V63"/>
  <c r="V61"/>
  <c r="U11" i="25"/>
  <c r="U13" s="1"/>
  <c r="U5" i="48" s="1"/>
  <c r="U76" i="29"/>
  <c r="U51"/>
  <c r="V17" i="21"/>
  <c r="V18"/>
  <c r="V19"/>
  <c r="V15"/>
  <c r="U8" i="25"/>
  <c r="U11" i="48" s="1"/>
  <c r="V14" i="33"/>
  <c r="V16" i="21"/>
  <c r="V6"/>
  <c r="V9"/>
  <c r="V10"/>
  <c r="V8"/>
  <c r="V5" i="33"/>
  <c r="V7" i="21"/>
  <c r="U13" i="48" l="1"/>
  <c r="U6" s="1"/>
  <c r="U49" i="29"/>
  <c r="U13" i="51" s="1"/>
  <c r="V21" i="29"/>
  <c r="W16" i="34"/>
  <c r="W15"/>
  <c r="V58" i="29"/>
  <c r="W19" i="34"/>
  <c r="V71" i="29"/>
  <c r="W18" i="34"/>
  <c r="V70" i="29"/>
  <c r="W17" i="34"/>
  <c r="V33" i="29"/>
  <c r="W8" i="34"/>
  <c r="V34" i="29"/>
  <c r="W9" i="34"/>
  <c r="V32" i="29"/>
  <c r="W7" i="34"/>
  <c r="V35" i="29"/>
  <c r="W10" i="34"/>
  <c r="V31" i="29"/>
  <c r="W6" i="34"/>
  <c r="V29" i="25"/>
  <c r="V48"/>
  <c r="V66"/>
  <c r="V68"/>
  <c r="V64"/>
  <c r="V68" i="29"/>
  <c r="V31" i="25"/>
  <c r="V72" i="29"/>
  <c r="V67" i="25"/>
  <c r="V47"/>
  <c r="V69" i="29"/>
  <c r="V49" i="25"/>
  <c r="V50"/>
  <c r="V30"/>
  <c r="V27"/>
  <c r="V46"/>
  <c r="V14" i="21"/>
  <c r="V13" i="46" s="1"/>
  <c r="V28" i="25"/>
  <c r="V65"/>
  <c r="V57"/>
  <c r="V40"/>
  <c r="V21"/>
  <c r="V37"/>
  <c r="V56"/>
  <c r="V55"/>
  <c r="V18"/>
  <c r="V58"/>
  <c r="V41"/>
  <c r="V19"/>
  <c r="V59"/>
  <c r="V38"/>
  <c r="V5" i="21"/>
  <c r="V8" i="46" s="1"/>
  <c r="V20" i="25"/>
  <c r="V22"/>
  <c r="V39"/>
  <c r="U8" i="49" l="1"/>
  <c r="U10" s="1"/>
  <c r="U12" i="51" s="1"/>
  <c r="V44" i="29"/>
  <c r="V40"/>
  <c r="V43"/>
  <c r="V78"/>
  <c r="V80"/>
  <c r="V42"/>
  <c r="V41"/>
  <c r="V14" s="1"/>
  <c r="V77"/>
  <c r="V76" s="1"/>
  <c r="V81"/>
  <c r="V54" s="1"/>
  <c r="V79"/>
  <c r="V16"/>
  <c r="U7" i="48"/>
  <c r="V53" i="29"/>
  <c r="V15"/>
  <c r="V30"/>
  <c r="V52"/>
  <c r="V17"/>
  <c r="W16" i="33"/>
  <c r="W14" i="34"/>
  <c r="V45" i="25"/>
  <c r="V67" i="29"/>
  <c r="V63" i="25"/>
  <c r="V12" s="1"/>
  <c r="W19" i="33"/>
  <c r="W15"/>
  <c r="W17"/>
  <c r="W18"/>
  <c r="V26" i="25"/>
  <c r="V51" i="29"/>
  <c r="V13"/>
  <c r="V17" i="46"/>
  <c r="V15"/>
  <c r="V7" i="25"/>
  <c r="V16" i="46"/>
  <c r="V14"/>
  <c r="V7"/>
  <c r="V6"/>
  <c r="V5"/>
  <c r="V9"/>
  <c r="V54" i="25"/>
  <c r="V36"/>
  <c r="W5" i="34"/>
  <c r="W9" i="33"/>
  <c r="W7"/>
  <c r="V6" i="25"/>
  <c r="V17"/>
  <c r="W10" i="33"/>
  <c r="W6"/>
  <c r="W8"/>
  <c r="V39" i="29" l="1"/>
  <c r="V50"/>
  <c r="U14" i="51"/>
  <c r="W26" i="29"/>
  <c r="W22"/>
  <c r="W23"/>
  <c r="W62"/>
  <c r="W59"/>
  <c r="W60"/>
  <c r="W58" s="1"/>
  <c r="W24"/>
  <c r="W25"/>
  <c r="W61"/>
  <c r="W63"/>
  <c r="W18" i="21"/>
  <c r="V11" i="25"/>
  <c r="V13" s="1"/>
  <c r="V5" i="48" s="1"/>
  <c r="W16" i="21"/>
  <c r="V49" i="29"/>
  <c r="W19" i="21"/>
  <c r="W15"/>
  <c r="W14" i="33"/>
  <c r="W17" i="21"/>
  <c r="W7"/>
  <c r="V12" i="29"/>
  <c r="V8" i="25"/>
  <c r="V11" i="48" s="1"/>
  <c r="W9" i="21"/>
  <c r="W10"/>
  <c r="W5" i="33"/>
  <c r="W8" i="21"/>
  <c r="W6"/>
  <c r="V13" i="48" l="1"/>
  <c r="V8" i="49" s="1"/>
  <c r="W33" i="29"/>
  <c r="W35"/>
  <c r="W32"/>
  <c r="W70"/>
  <c r="W68"/>
  <c r="W69"/>
  <c r="W71"/>
  <c r="W31"/>
  <c r="W34"/>
  <c r="W21"/>
  <c r="W72"/>
  <c r="V13" i="51"/>
  <c r="W30" i="25"/>
  <c r="W49"/>
  <c r="W67"/>
  <c r="W28"/>
  <c r="W47"/>
  <c r="W65"/>
  <c r="W46"/>
  <c r="W50"/>
  <c r="W48"/>
  <c r="W29"/>
  <c r="W68"/>
  <c r="W31"/>
  <c r="W14" i="21"/>
  <c r="W14" i="46" s="1"/>
  <c r="G30" i="40" s="1"/>
  <c r="W66" i="25"/>
  <c r="W27"/>
  <c r="W64"/>
  <c r="W59"/>
  <c r="W19"/>
  <c r="W38"/>
  <c r="W56"/>
  <c r="W40"/>
  <c r="W21"/>
  <c r="W57"/>
  <c r="W39"/>
  <c r="W20"/>
  <c r="W41"/>
  <c r="W58"/>
  <c r="W18"/>
  <c r="W55"/>
  <c r="W5" i="21"/>
  <c r="W6" i="46" s="1"/>
  <c r="W22" i="25"/>
  <c r="W37"/>
  <c r="W67" i="29" l="1"/>
  <c r="V6" i="48"/>
  <c r="V7" s="1"/>
  <c r="V10" i="49"/>
  <c r="V12" i="51" s="1"/>
  <c r="W44" i="29"/>
  <c r="W42"/>
  <c r="W77"/>
  <c r="W78"/>
  <c r="W51" s="1"/>
  <c r="W40"/>
  <c r="W43"/>
  <c r="W16" s="1"/>
  <c r="W41"/>
  <c r="W14" s="1"/>
  <c r="W81"/>
  <c r="W54" s="1"/>
  <c r="W79"/>
  <c r="W52" s="1"/>
  <c r="W80"/>
  <c r="W53" s="1"/>
  <c r="W30"/>
  <c r="W13"/>
  <c r="W17"/>
  <c r="W63" i="25"/>
  <c r="W12" s="1"/>
  <c r="W45"/>
  <c r="W16" i="46"/>
  <c r="G32" i="40" s="1"/>
  <c r="W15" i="46"/>
  <c r="G31" i="40" s="1"/>
  <c r="E14"/>
  <c r="W26" i="25"/>
  <c r="W7"/>
  <c r="W17" i="46"/>
  <c r="G33" i="40" s="1"/>
  <c r="W50" i="29"/>
  <c r="W13" i="46"/>
  <c r="G29" i="40" s="1"/>
  <c r="D14"/>
  <c r="G22"/>
  <c r="W9" i="46"/>
  <c r="W8"/>
  <c r="W5"/>
  <c r="W7"/>
  <c r="W17" i="25"/>
  <c r="W54"/>
  <c r="W6"/>
  <c r="W36"/>
  <c r="W76" i="29" l="1"/>
  <c r="W39"/>
  <c r="W15"/>
  <c r="W12" s="1"/>
  <c r="B5" s="1"/>
  <c r="W49"/>
  <c r="V14" i="51"/>
  <c r="B6" i="29"/>
  <c r="E16" i="40"/>
  <c r="E15"/>
  <c r="W11" i="25"/>
  <c r="W13" s="1"/>
  <c r="W5" i="48" s="1"/>
  <c r="F14" i="40"/>
  <c r="E17"/>
  <c r="E13"/>
  <c r="G25"/>
  <c r="D17"/>
  <c r="D16"/>
  <c r="G24"/>
  <c r="G21"/>
  <c r="D13"/>
  <c r="D15"/>
  <c r="G23"/>
  <c r="W8" i="25"/>
  <c r="W11" i="48" s="1"/>
  <c r="W13" l="1"/>
  <c r="W8" i="49" s="1"/>
  <c r="G37" i="40"/>
  <c r="W13" i="51"/>
  <c r="F16" i="40"/>
  <c r="F15"/>
  <c r="B7" i="29"/>
  <c r="F13" i="40"/>
  <c r="F17"/>
  <c r="W6" i="48" l="1"/>
  <c r="W10" i="49"/>
  <c r="B5" i="51"/>
  <c r="C43" i="40"/>
  <c r="C7" i="29"/>
  <c r="W7" i="48" l="1"/>
  <c r="G38" i="40"/>
  <c r="W12" i="51"/>
  <c r="B4" i="49"/>
  <c r="W14" i="51" l="1"/>
  <c r="G39" i="40"/>
  <c r="B6" i="51"/>
  <c r="C44" i="40"/>
  <c r="B7" i="51" l="1"/>
  <c r="C45" i="40" l="1"/>
</calcChain>
</file>

<file path=xl/sharedStrings.xml><?xml version="1.0" encoding="utf-8"?>
<sst xmlns="http://schemas.openxmlformats.org/spreadsheetml/2006/main" count="247" uniqueCount="172">
  <si>
    <t>Water Heat Ending</t>
  </si>
  <si>
    <t>Existing Market Segment Code</t>
  </si>
  <si>
    <t>2015 Baseline Existing SH</t>
  </si>
  <si>
    <t>2015 Baseline Existing WH</t>
  </si>
  <si>
    <t>Retro WH</t>
  </si>
  <si>
    <t>Water heater size (gals)</t>
  </si>
  <si>
    <t>Dwelling Type</t>
  </si>
  <si>
    <t>Gas FAF</t>
  </si>
  <si>
    <t>Electric Resistance</t>
  </si>
  <si>
    <t>X&lt;=55</t>
  </si>
  <si>
    <t>SF</t>
  </si>
  <si>
    <t>HPWH</t>
  </si>
  <si>
    <t>Gas Tank</t>
  </si>
  <si>
    <t>Instant Gas</t>
  </si>
  <si>
    <t>Condensing Gas</t>
  </si>
  <si>
    <t>Idaho</t>
  </si>
  <si>
    <t>State</t>
  </si>
  <si>
    <t>Energy (mmBtu/ device/Yr)</t>
  </si>
  <si>
    <t>Electric Technology</t>
  </si>
  <si>
    <t>Electric</t>
  </si>
  <si>
    <t>Natural Gas</t>
  </si>
  <si>
    <t>WH Capital Cost (2012$/ device)</t>
  </si>
  <si>
    <t>WH O&amp;M Cost (2012$/ device/Yr)</t>
  </si>
  <si>
    <t>Basement</t>
  </si>
  <si>
    <t>Gas Availability</t>
  </si>
  <si>
    <t>Yes</t>
  </si>
  <si>
    <t>Existing</t>
  </si>
  <si>
    <t>Segments of Interest in ENERGY 2020 Study of Direct Use of Natural Gas</t>
  </si>
  <si>
    <t>and return of principal and on investment (including risk premiums and inflation: 1+ROIN+DRISK+INSM).</t>
  </si>
  <si>
    <t>Note:  Capital charge rate is defined as the annualization of device capital expenses over the life of the device, accounting for taxes, tax credits,</t>
  </si>
  <si>
    <t>Source:  "NPCC_SF_Tables_2013-08-30 with data on market share and electricity and natural gas retail prices.xlsx" from M. Jourabchi.</t>
  </si>
  <si>
    <t>Levelized Costs (2012$/Device/Yr)</t>
  </si>
  <si>
    <t>Negative values indicate resistance to a specified technology independent of price.</t>
  </si>
  <si>
    <t>Positive values indicate a propensity toward purchasing the given device independent of price considerations.</t>
  </si>
  <si>
    <t>Assumptions:</t>
  </si>
  <si>
    <t>a. Heat pump water heaters (HPWH) &lt;=55 gallons - strong market resistance exists in 2012 that lessens in the future</t>
  </si>
  <si>
    <t>c. Instant gas (tankless gas) &lt;=55 gallons - strong market resistance in 2012 that lessens in the future</t>
  </si>
  <si>
    <t>d. Condensing gas water heaters &lt;=55 gallons - strong market resistance in 2012 that lessens in the future</t>
  </si>
  <si>
    <t>Note:  Non-price factors are parameters in the market share equation representing the impact of non-price factors on market share of a given technology.</t>
  </si>
  <si>
    <t>Annual Fuel Costs (2012$/Device/Yr)</t>
  </si>
  <si>
    <t>Input</t>
  </si>
  <si>
    <t>Description</t>
  </si>
  <si>
    <t>b. Gas tank water heaters &lt;=55 gallons - slight market resistance in 2012 that lessens in the future</t>
  </si>
  <si>
    <t>Variance factor - BAU forecast</t>
  </si>
  <si>
    <t>BAU Case</t>
  </si>
  <si>
    <r>
      <t>Marginal Allocation Weights ($/$) -</t>
    </r>
    <r>
      <rPr>
        <b/>
        <sz val="12"/>
        <color rgb="FF7030A0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</si>
  <si>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Total Allocation Weight ($/$) - </t>
    </r>
    <r>
      <rPr>
        <b/>
        <sz val="12"/>
        <color rgb="FFC00000"/>
        <rFont val="Calibri"/>
        <family val="2"/>
        <scheme val="minor"/>
      </rPr>
      <t>BAU Case</t>
    </r>
  </si>
  <si>
    <t>Device lifetime</t>
  </si>
  <si>
    <r>
      <t xml:space="preserve">Water Heating Energy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</si>
  <si>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Total</t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</si>
  <si>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</si>
  <si>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</si>
  <si>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Water Heating Energy Usage by Fuel and Scenario</t>
  </si>
  <si>
    <t>Discount rate (4% after-tax per M. Jourabchi)</t>
  </si>
  <si>
    <t>Source</t>
  </si>
  <si>
    <t>Source:  Technology usage and cost assumptions from:  "RevisedDUG_HVACDWH_CostUseData_090611.xlsx"</t>
  </si>
  <si>
    <t>2013$</t>
  </si>
  <si>
    <t>2011$</t>
  </si>
  <si>
    <t>2008$</t>
  </si>
  <si>
    <t>Source:  Per M. Jourabchi email (9-19-14) - FROM RTF Workbook: Res_HPWH_v1_3.xlsm, Tab: CostData, 50gal, 0.92EF, added estimated $200 for installation - (2008$)</t>
  </si>
  <si>
    <t>Source: Per M. Jourabchi email (9-19-14) - FROM RTF Workbook: Res_HPWH_v1_3.xlsm, Tab: CostData, Tier 1 50gal, added $200 for baseline installation - (2011$)</t>
  </si>
  <si>
    <t>Source:  Per M. Jourabchi email (9-19-14) - From ETO CPA (2013$)</t>
  </si>
  <si>
    <t>2006$</t>
  </si>
  <si>
    <t>Source:  "RevisedDUG_HVACDWH_CostUseData_090611.xlsx"</t>
  </si>
  <si>
    <t>Capital charge rate</t>
  </si>
  <si>
    <t>Source:  Calculated in ENERGY 2020</t>
  </si>
  <si>
    <t>Inflation</t>
  </si>
  <si>
    <t>Source:  M. Jourabchi input to ENERGY 2020 model</t>
  </si>
  <si>
    <t>Units of Dollars</t>
  </si>
  <si>
    <t>O&amp;M Cost Inflation Adjustment</t>
  </si>
  <si>
    <t>User Input - Assumptions</t>
  </si>
  <si>
    <t>Source:  M. Jourabchi email of September 15, 2014</t>
  </si>
  <si>
    <t>Non-Price Factor Assumptions ($/$)</t>
  </si>
  <si>
    <t>Source:  "Retail Rates_Northwest.xlsx"</t>
  </si>
  <si>
    <t>Starting water heating system</t>
  </si>
  <si>
    <t>Starting water heating tank size</t>
  </si>
  <si>
    <t>&lt;=55 Gallons</t>
  </si>
  <si>
    <t>Notes:  Variance factor is parameter in market share calculation indicating impact of price on probability of choosing a given technology.  Negative values increase sensitivity to price.</t>
  </si>
  <si>
    <t>Scenario</t>
  </si>
  <si>
    <t>Electricity Usage (tBtu/Yr)</t>
  </si>
  <si>
    <t>Natural Gas Usage (tBtu/Yr)</t>
  </si>
  <si>
    <t>Difference</t>
  </si>
  <si>
    <t>Change  in Market Share</t>
  </si>
  <si>
    <t>Change (%)</t>
  </si>
  <si>
    <t>Water Heating Replacement</t>
  </si>
  <si>
    <t>BAU Case 2035</t>
  </si>
  <si>
    <t>Electric - BAU</t>
  </si>
  <si>
    <t>Gas - BAU</t>
  </si>
  <si>
    <t>Water Heating Capital Cost (2012$/device)</t>
  </si>
  <si>
    <t>Energy Use Per Device (mmBtu/Device/Yr)</t>
  </si>
  <si>
    <t>Water Heating O&amp;M Costs (2012$/Device/Yr)</t>
  </si>
  <si>
    <t>Green:  Linked exogenous input</t>
  </si>
  <si>
    <t>Blue:  User-specified exogenous input</t>
  </si>
  <si>
    <t>Gradually descrease resistance of market:</t>
  </si>
  <si>
    <t>Note:  Levelized Costs = Capital Cost*Capital Charge Rate + Fuel Cost + O&amp;M Cost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</si>
  <si>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BAU Case</t>
    </r>
  </si>
  <si>
    <t>Starting space heating system</t>
  </si>
  <si>
    <t>Source:  "Regional Economic Analysis of Residential Fuel Use:  Electricity &amp; Natural Gas.pdf"</t>
  </si>
  <si>
    <t>Least Cost</t>
  </si>
  <si>
    <t>Non-price factors - BAU forecast</t>
  </si>
  <si>
    <t>See "Non-Price Factors" sheet</t>
  </si>
  <si>
    <t>Electric - Least Cost</t>
  </si>
  <si>
    <t>Least Cost Case</t>
  </si>
  <si>
    <t>Gas - Least Cost</t>
  </si>
  <si>
    <r>
      <t xml:space="preserve">Water Heating Energy Usage by Type (mmBtu/Yr)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</si>
  <si>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</si>
  <si>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Least Cost Case</t>
    </r>
  </si>
  <si>
    <t>Least Cost Case 2035</t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</si>
  <si>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BAU Case</t>
    </r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</si>
  <si>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</si>
  <si>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</si>
  <si>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</si>
  <si>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</si>
  <si>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</si>
  <si>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Average Market Share (Fraction) - </t>
    </r>
    <r>
      <rPr>
        <b/>
        <sz val="12"/>
        <color rgb="FFC00000"/>
        <rFont val="Calibri"/>
        <family val="2"/>
        <scheme val="minor"/>
      </rPr>
      <t>BAU Case</t>
    </r>
  </si>
  <si>
    <r>
      <t>Average Market Share (Fraction)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</si>
  <si>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Existing 2014</t>
  </si>
  <si>
    <r>
      <t xml:space="preserve">Total Consumer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</si>
  <si>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Capital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</si>
  <si>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</si>
  <si>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Price of Energy Usage (2012 M$) - </t>
    </r>
    <r>
      <rPr>
        <b/>
        <sz val="12"/>
        <color rgb="FFC00000"/>
        <rFont val="Calibri"/>
        <family val="2"/>
        <scheme val="minor"/>
      </rPr>
      <t>BAU Case</t>
    </r>
  </si>
  <si>
    <r>
      <t>Total Consumer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</si>
  <si>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>Capital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</si>
  <si>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Least Cost Case</t>
    </r>
  </si>
  <si>
    <r>
      <t>Price of Energy Usage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</si>
  <si>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Source:  "RBSA Metering Final Report (2).docx" pulled out into "Book3.xls" from M. Jourabchi 9-24-14</t>
  </si>
  <si>
    <t>Number of households with access to gas, &lt;=55</t>
  </si>
  <si>
    <t>Heat rate of new CCCT unit (Btu/kWh)</t>
  </si>
  <si>
    <t>Source:  Gillian Charles email of September 24, 2014 per M. Jourabchi (6530 w/ duct firing)</t>
  </si>
  <si>
    <t>Wholesale Price of Natural Gas (2012$/mmBtu/Yr)</t>
  </si>
  <si>
    <t>Source:  ENERGY 2020 model data from "Q:\MJ\ex\Fuel\FUELMOD8 Rev 050114- 7P July 2014 .xlsx" per 7/15/2014 update from M. Jourabchi.</t>
  </si>
  <si>
    <t>Gas price (2012$/mmBtu)</t>
  </si>
  <si>
    <t>NPV (2012M$)</t>
  </si>
  <si>
    <t>Consumer Cost of Water Heating Replacements</t>
  </si>
  <si>
    <t>NPV (2012 M$)</t>
  </si>
  <si>
    <t>Change in Total Resource Costs due to Direct Use of Natural Gas (2012 M$)</t>
  </si>
  <si>
    <t>Capital Cost (Various Real $)</t>
  </si>
  <si>
    <t>O&amp;M Cost (2006$/ device/Yr)</t>
  </si>
  <si>
    <t>Gas Required (mmBtu/ device/Yr)</t>
  </si>
  <si>
    <t>Electricity Required (KWh/ device/Yr)</t>
  </si>
  <si>
    <t>User-Specified Assumptions</t>
  </si>
  <si>
    <t>Water Heater Ending</t>
  </si>
  <si>
    <t>Capital Cost Inflation Adjustment ($/$)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</si>
  <si>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Least Cost Case</t>
    </r>
  </si>
  <si>
    <t>Cost Savings of Utility - Least Cost vs BAU Case (2012 $/Yr)</t>
  </si>
  <si>
    <t>Wholesale Price of Gas (2012$/mmBtu)</t>
  </si>
  <si>
    <t>Cost Savings of Utility - Least Cost vs BAU Case (2012 M$)</t>
  </si>
  <si>
    <t>NPV of Costs Savings to Utility - Least Cost vs BAU Case</t>
  </si>
  <si>
    <t>NPV 2012 M$</t>
  </si>
  <si>
    <t>Consumer's Increase in Natural Gas Usage (tBtu)</t>
  </si>
  <si>
    <t>Utility Reduction in Natural Gas Usage (tBtu)</t>
  </si>
  <si>
    <t>MWh to mmBtu conversion</t>
  </si>
  <si>
    <t>Net Change in Natural Gas Usage (tBtu)</t>
  </si>
  <si>
    <t>Gas Heat Rate (Btu/kWh)</t>
  </si>
  <si>
    <t>Reduction in Natural Gas Usage by Utility - Least Cost vs BAU Case</t>
  </si>
  <si>
    <t>Net Change in Natural Gas Usage</t>
  </si>
  <si>
    <t>Net Change in Natural Gas Usage (tBtu) - Least Cost vs BAU Case</t>
  </si>
  <si>
    <t>Decreased Consumer Cost of Least Cost Case</t>
  </si>
  <si>
    <t>Decreased Utility Cost of Least Cost Case (2012 M$)</t>
  </si>
  <si>
    <t>Total Cost Reduction of Least Cost Case</t>
  </si>
  <si>
    <t>Total Cost Reduction of Least Cost Case (2012 M$)</t>
  </si>
  <si>
    <t>Inflation Index (1.0=2006)</t>
  </si>
  <si>
    <t>Consumer Cost Reduction</t>
  </si>
  <si>
    <t>Utility Cost Reduction</t>
  </si>
  <si>
    <t>Total Resource Cost Reduction</t>
  </si>
  <si>
    <t>Cost Reduction of Least Cost vs BAU Case</t>
  </si>
  <si>
    <t>Utility Change in Natural Gas Usage</t>
  </si>
  <si>
    <t>Consumer's Change in Natural Gas Usage</t>
  </si>
  <si>
    <t>Reduction in Consumer Electricity Usage (MWh/Yr)</t>
  </si>
  <si>
    <t>Reduction in Utility Natural Gas Usage (tBtu/Yr)</t>
  </si>
  <si>
    <t>Reduction in Natural Gas Usage by Utility (tBtu)</t>
  </si>
  <si>
    <t>Stored in "Retail Rates_Northwest.xlsx"</t>
  </si>
</sst>
</file>

<file path=xl/styles.xml><?xml version="1.0" encoding="utf-8"?>
<styleSheet xmlns="http://schemas.openxmlformats.org/spreadsheetml/2006/main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0.0"/>
    <numFmt numFmtId="168" formatCode="0.000"/>
    <numFmt numFmtId="169" formatCode="m/d/\ h:mm"/>
    <numFmt numFmtId="170" formatCode="0_);\(0\)"/>
    <numFmt numFmtId="171" formatCode="0.0000"/>
    <numFmt numFmtId="172" formatCode="#,##0.000"/>
    <numFmt numFmtId="173" formatCode="&quot;$&quot;#,##0.000"/>
    <numFmt numFmtId="174" formatCode="&quot;$&quot;#,##0.000_);[Red]\(&quot;$&quot;#,##0.000\)"/>
    <numFmt numFmtId="175" formatCode="#,##0.00000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B05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B05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2"/>
      <color rgb="FF0000FF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8" borderId="0" applyNumberFormat="0" applyAlignment="0">
      <alignment horizontal="right"/>
    </xf>
    <xf numFmtId="0" fontId="12" fillId="19" borderId="0" applyNumberFormat="0" applyAlignment="0"/>
    <xf numFmtId="169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0" borderId="0">
      <alignment horizontal="center" wrapText="1"/>
    </xf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3" borderId="1" applyNumberFormat="0" applyAlignment="0" applyProtection="0"/>
    <xf numFmtId="0" fontId="22" fillId="3" borderId="1" applyNumberForma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>
      <alignment readingOrder="1"/>
    </xf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3" fillId="21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21" borderId="0"/>
    <xf numFmtId="0" fontId="13" fillId="21" borderId="0"/>
    <xf numFmtId="0" fontId="26" fillId="0" borderId="0" applyNumberFormat="0" applyFont="0" applyFill="0" applyBorder="0" applyAlignment="0" applyProtection="0"/>
    <xf numFmtId="0" fontId="25" fillId="0" borderId="0"/>
    <xf numFmtId="0" fontId="12" fillId="0" borderId="0">
      <alignment readingOrder="1"/>
    </xf>
    <xf numFmtId="0" fontId="13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4" borderId="7" applyNumberFormat="0" applyFont="0" applyAlignment="0" applyProtection="0"/>
    <xf numFmtId="0" fontId="13" fillId="4" borderId="7" applyNumberFormat="0" applyFont="0" applyAlignment="0" applyProtection="0"/>
    <xf numFmtId="0" fontId="27" fillId="16" borderId="8" applyNumberFormat="0" applyAlignment="0" applyProtection="0"/>
    <xf numFmtId="0" fontId="27" fillId="16" borderId="8" applyNumberFormat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0" borderId="0"/>
    <xf numFmtId="0" fontId="31" fillId="0" borderId="0"/>
    <xf numFmtId="43" fontId="31" fillId="0" borderId="0" applyFont="0" applyFill="0" applyBorder="0" applyAlignment="0" applyProtection="0"/>
  </cellStyleXfs>
  <cellXfs count="182">
    <xf numFmtId="0" fontId="0" fillId="0" borderId="0" xfId="0"/>
    <xf numFmtId="49" fontId="2" fillId="0" borderId="0" xfId="0" applyNumberFormat="1" applyFont="1" applyFill="1" applyBorder="1"/>
    <xf numFmtId="0" fontId="2" fillId="0" borderId="0" xfId="0" applyFont="1" applyFill="1" applyBorder="1"/>
    <xf numFmtId="1" fontId="4" fillId="0" borderId="0" xfId="0" applyNumberFormat="1" applyFont="1" applyFill="1" applyBorder="1"/>
    <xf numFmtId="168" fontId="4" fillId="0" borderId="0" xfId="0" applyNumberFormat="1" applyFont="1" applyFill="1" applyBorder="1"/>
    <xf numFmtId="0" fontId="6" fillId="0" borderId="0" xfId="0" applyFont="1" applyFill="1" applyBorder="1"/>
    <xf numFmtId="168" fontId="6" fillId="0" borderId="0" xfId="0" applyNumberFormat="1" applyFont="1" applyFill="1" applyBorder="1"/>
    <xf numFmtId="167" fontId="6" fillId="0" borderId="0" xfId="0" applyNumberFormat="1" applyFont="1" applyFill="1" applyBorder="1"/>
    <xf numFmtId="0" fontId="4" fillId="0" borderId="0" xfId="0" applyFont="1" applyFill="1" applyBorder="1"/>
    <xf numFmtId="0" fontId="2" fillId="0" borderId="0" xfId="0" applyFont="1"/>
    <xf numFmtId="2" fontId="2" fillId="0" borderId="0" xfId="0" applyNumberFormat="1" applyFont="1"/>
    <xf numFmtId="43" fontId="2" fillId="0" borderId="0" xfId="0" applyNumberFormat="1" applyFont="1"/>
    <xf numFmtId="0" fontId="32" fillId="0" borderId="0" xfId="0" applyFont="1"/>
    <xf numFmtId="170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2" fillId="0" borderId="0" xfId="165" applyFont="1"/>
    <xf numFmtId="0" fontId="32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/>
    </xf>
    <xf numFmtId="49" fontId="32" fillId="0" borderId="0" xfId="0" applyNumberFormat="1" applyFont="1" applyAlignment="1">
      <alignment wrapText="1"/>
    </xf>
    <xf numFmtId="170" fontId="32" fillId="0" borderId="0" xfId="0" applyNumberFormat="1" applyFont="1"/>
    <xf numFmtId="0" fontId="3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0" fontId="5" fillId="0" borderId="0" xfId="0" applyFont="1"/>
    <xf numFmtId="2" fontId="32" fillId="0" borderId="0" xfId="0" applyNumberFormat="1" applyFont="1" applyAlignment="1">
      <alignment wrapText="1"/>
    </xf>
    <xf numFmtId="0" fontId="32" fillId="0" borderId="0" xfId="0" applyFont="1" applyAlignment="1">
      <alignment vertical="center"/>
    </xf>
    <xf numFmtId="0" fontId="32" fillId="0" borderId="0" xfId="0" applyFont="1" applyFill="1" applyBorder="1" applyAlignment="1">
      <alignment vertical="center"/>
    </xf>
    <xf numFmtId="5" fontId="2" fillId="0" borderId="0" xfId="0" applyNumberFormat="1" applyFont="1"/>
    <xf numFmtId="0" fontId="36" fillId="0" borderId="0" xfId="0" applyFont="1"/>
    <xf numFmtId="0" fontId="36" fillId="0" borderId="0" xfId="0" applyFont="1" applyAlignment="1">
      <alignment horizontal="left" indent="5"/>
    </xf>
    <xf numFmtId="0" fontId="36" fillId="0" borderId="0" xfId="0" applyFont="1" applyAlignment="1">
      <alignment horizontal="left" vertical="center"/>
    </xf>
    <xf numFmtId="0" fontId="5" fillId="0" borderId="0" xfId="0" applyFont="1" applyAlignment="1">
      <alignment horizontal="left" indent="2"/>
    </xf>
    <xf numFmtId="166" fontId="2" fillId="0" borderId="0" xfId="2" applyNumberFormat="1" applyFont="1"/>
    <xf numFmtId="3" fontId="2" fillId="0" borderId="0" xfId="0" applyNumberFormat="1" applyFont="1"/>
    <xf numFmtId="0" fontId="6" fillId="0" borderId="0" xfId="0" applyFont="1" applyAlignment="1">
      <alignment horizontal="left" indent="2"/>
    </xf>
    <xf numFmtId="2" fontId="5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wrapText="1"/>
    </xf>
    <xf numFmtId="170" fontId="2" fillId="0" borderId="12" xfId="0" applyNumberFormat="1" applyFont="1" applyBorder="1"/>
    <xf numFmtId="2" fontId="2" fillId="0" borderId="12" xfId="0" applyNumberFormat="1" applyFont="1" applyBorder="1" applyAlignment="1">
      <alignment wrapText="1"/>
    </xf>
    <xf numFmtId="0" fontId="2" fillId="0" borderId="12" xfId="0" applyFont="1" applyBorder="1"/>
    <xf numFmtId="0" fontId="3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 applyBorder="1"/>
    <xf numFmtId="3" fontId="2" fillId="0" borderId="0" xfId="0" applyNumberFormat="1" applyFont="1" applyBorder="1"/>
    <xf numFmtId="3" fontId="36" fillId="0" borderId="0" xfId="0" applyNumberFormat="1" applyFont="1" applyBorder="1"/>
    <xf numFmtId="0" fontId="36" fillId="0" borderId="13" xfId="0" applyFont="1" applyBorder="1" applyAlignment="1">
      <alignment horizontal="left" wrapText="1"/>
    </xf>
    <xf numFmtId="0" fontId="36" fillId="0" borderId="13" xfId="0" applyFont="1" applyBorder="1" applyAlignment="1">
      <alignment wrapText="1"/>
    </xf>
    <xf numFmtId="3" fontId="36" fillId="0" borderId="13" xfId="0" applyNumberFormat="1" applyFont="1" applyBorder="1"/>
    <xf numFmtId="0" fontId="6" fillId="0" borderId="0" xfId="0" applyFont="1" applyBorder="1" applyAlignment="1">
      <alignment horizontal="left" indent="2"/>
    </xf>
    <xf numFmtId="0" fontId="37" fillId="0" borderId="0" xfId="0" applyFont="1" applyAlignment="1">
      <alignment horizontal="left" indent="2"/>
    </xf>
    <xf numFmtId="0" fontId="6" fillId="0" borderId="12" xfId="0" applyFont="1" applyBorder="1" applyAlignment="1">
      <alignment horizontal="left" indent="2"/>
    </xf>
    <xf numFmtId="0" fontId="2" fillId="0" borderId="0" xfId="0" applyFont="1" applyAlignment="1">
      <alignment horizontal="left" indent="1"/>
    </xf>
    <xf numFmtId="0" fontId="40" fillId="0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2" fillId="0" borderId="16" xfId="0" applyFont="1" applyBorder="1"/>
    <xf numFmtId="3" fontId="6" fillId="0" borderId="0" xfId="0" applyNumberFormat="1" applyFont="1" applyFill="1" applyBorder="1"/>
    <xf numFmtId="0" fontId="41" fillId="0" borderId="0" xfId="0" applyFont="1" applyFill="1" applyBorder="1"/>
    <xf numFmtId="1" fontId="6" fillId="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Fill="1" applyBorder="1" applyAlignment="1">
      <alignment horizontal="right" wrapText="1"/>
    </xf>
    <xf numFmtId="172" fontId="2" fillId="0" borderId="0" xfId="0" applyNumberFormat="1" applyFont="1"/>
    <xf numFmtId="2" fontId="4" fillId="0" borderId="0" xfId="0" applyNumberFormat="1" applyFont="1"/>
    <xf numFmtId="0" fontId="32" fillId="0" borderId="0" xfId="165" applyFont="1"/>
    <xf numFmtId="0" fontId="32" fillId="22" borderId="17" xfId="0" applyFont="1" applyFill="1" applyBorder="1"/>
    <xf numFmtId="0" fontId="2" fillId="0" borderId="20" xfId="0" applyFont="1" applyBorder="1"/>
    <xf numFmtId="0" fontId="2" fillId="0" borderId="15" xfId="0" applyFont="1" applyBorder="1"/>
    <xf numFmtId="0" fontId="2" fillId="0" borderId="20" xfId="0" applyFont="1" applyBorder="1" applyAlignment="1">
      <alignment wrapText="1"/>
    </xf>
    <xf numFmtId="0" fontId="2" fillId="0" borderId="14" xfId="0" applyFont="1" applyBorder="1"/>
    <xf numFmtId="0" fontId="32" fillId="22" borderId="11" xfId="0" applyFont="1" applyFill="1" applyBorder="1"/>
    <xf numFmtId="0" fontId="5" fillId="0" borderId="21" xfId="0" applyFont="1" applyBorder="1" applyAlignment="1">
      <alignment horizontal="right"/>
    </xf>
    <xf numFmtId="0" fontId="5" fillId="0" borderId="21" xfId="0" applyFont="1" applyBorder="1"/>
    <xf numFmtId="0" fontId="37" fillId="0" borderId="0" xfId="165" applyFont="1"/>
    <xf numFmtId="0" fontId="33" fillId="0" borderId="0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2" fillId="0" borderId="0" xfId="0" applyFont="1" applyFill="1"/>
    <xf numFmtId="0" fontId="2" fillId="0" borderId="12" xfId="0" applyFont="1" applyFill="1" applyBorder="1"/>
    <xf numFmtId="164" fontId="2" fillId="0" borderId="0" xfId="0" applyNumberFormat="1" applyFont="1" applyBorder="1"/>
    <xf numFmtId="2" fontId="2" fillId="22" borderId="17" xfId="0" applyNumberFormat="1" applyFont="1" applyFill="1" applyBorder="1"/>
    <xf numFmtId="0" fontId="2" fillId="22" borderId="18" xfId="0" applyFont="1" applyFill="1" applyBorder="1"/>
    <xf numFmtId="2" fontId="2" fillId="0" borderId="20" xfId="0" applyNumberFormat="1" applyFont="1" applyBorder="1"/>
    <xf numFmtId="166" fontId="2" fillId="0" borderId="0" xfId="0" applyNumberFormat="1" applyFont="1" applyBorder="1"/>
    <xf numFmtId="166" fontId="2" fillId="0" borderId="15" xfId="0" applyNumberFormat="1" applyFont="1" applyBorder="1"/>
    <xf numFmtId="2" fontId="2" fillId="0" borderId="16" xfId="0" applyNumberFormat="1" applyFont="1" applyBorder="1"/>
    <xf numFmtId="166" fontId="2" fillId="0" borderId="12" xfId="0" applyNumberFormat="1" applyFont="1" applyBorder="1"/>
    <xf numFmtId="166" fontId="2" fillId="0" borderId="14" xfId="0" applyNumberFormat="1" applyFont="1" applyBorder="1"/>
    <xf numFmtId="0" fontId="2" fillId="22" borderId="18" xfId="0" applyFont="1" applyFill="1" applyBorder="1" applyAlignment="1">
      <alignment horizontal="center" wrapText="1"/>
    </xf>
    <xf numFmtId="172" fontId="2" fillId="0" borderId="0" xfId="0" applyNumberFormat="1" applyFont="1" applyBorder="1"/>
    <xf numFmtId="1" fontId="2" fillId="0" borderId="0" xfId="0" applyNumberFormat="1" applyFont="1" applyBorder="1"/>
    <xf numFmtId="172" fontId="2" fillId="0" borderId="12" xfId="0" applyNumberFormat="1" applyFont="1" applyBorder="1"/>
    <xf numFmtId="0" fontId="2" fillId="22" borderId="19" xfId="0" applyFont="1" applyFill="1" applyBorder="1"/>
    <xf numFmtId="0" fontId="2" fillId="22" borderId="19" xfId="0" applyFont="1" applyFill="1" applyBorder="1" applyAlignment="1">
      <alignment horizontal="center" wrapText="1"/>
    </xf>
    <xf numFmtId="0" fontId="34" fillId="0" borderId="0" xfId="0" applyFont="1" applyAlignment="1">
      <alignment vertical="center"/>
    </xf>
    <xf numFmtId="10" fontId="2" fillId="0" borderId="0" xfId="0" applyNumberFormat="1" applyFont="1" applyBorder="1"/>
    <xf numFmtId="2" fontId="2" fillId="0" borderId="0" xfId="0" applyNumberFormat="1" applyFont="1" applyBorder="1"/>
    <xf numFmtId="3" fontId="5" fillId="0" borderId="21" xfId="0" applyNumberFormat="1" applyFont="1" applyFill="1" applyBorder="1"/>
    <xf numFmtId="166" fontId="5" fillId="0" borderId="21" xfId="0" applyNumberFormat="1" applyFont="1" applyBorder="1"/>
    <xf numFmtId="171" fontId="5" fillId="0" borderId="0" xfId="0" applyNumberFormat="1" applyFont="1"/>
    <xf numFmtId="0" fontId="5" fillId="0" borderId="11" xfId="165" applyFont="1" applyBorder="1"/>
    <xf numFmtId="0" fontId="32" fillId="0" borderId="0" xfId="0" applyFont="1" applyAlignment="1">
      <alignment horizontal="left"/>
    </xf>
    <xf numFmtId="0" fontId="2" fillId="0" borderId="0" xfId="0" applyFont="1" applyFill="1" applyBorder="1" applyAlignment="1">
      <alignment horizontal="right" wrapText="1"/>
    </xf>
    <xf numFmtId="0" fontId="2" fillId="22" borderId="12" xfId="0" applyFont="1" applyFill="1" applyBorder="1" applyAlignment="1">
      <alignment horizontal="center" wrapText="1"/>
    </xf>
    <xf numFmtId="0" fontId="2" fillId="22" borderId="12" xfId="0" applyFont="1" applyFill="1" applyBorder="1"/>
    <xf numFmtId="1" fontId="6" fillId="0" borderId="12" xfId="0" applyNumberFormat="1" applyFont="1" applyFill="1" applyBorder="1"/>
    <xf numFmtId="0" fontId="32" fillId="22" borderId="18" xfId="0" applyFont="1" applyFill="1" applyBorder="1"/>
    <xf numFmtId="164" fontId="5" fillId="0" borderId="0" xfId="1" applyNumberFormat="1" applyFont="1" applyFill="1" applyBorder="1"/>
    <xf numFmtId="0" fontId="5" fillId="0" borderId="0" xfId="0" applyFont="1" applyAlignment="1">
      <alignment horizontal="center"/>
    </xf>
    <xf numFmtId="164" fontId="5" fillId="0" borderId="12" xfId="1" applyNumberFormat="1" applyFont="1" applyFill="1" applyBorder="1"/>
    <xf numFmtId="0" fontId="5" fillId="0" borderId="12" xfId="0" applyFont="1" applyBorder="1" applyAlignment="1">
      <alignment horizontal="center"/>
    </xf>
    <xf numFmtId="3" fontId="5" fillId="0" borderId="0" xfId="0" applyNumberFormat="1" applyFont="1" applyFill="1" applyBorder="1"/>
    <xf numFmtId="168" fontId="5" fillId="0" borderId="0" xfId="0" applyNumberFormat="1" applyFont="1" applyFill="1" applyBorder="1"/>
    <xf numFmtId="165" fontId="5" fillId="0" borderId="0" xfId="1" applyNumberFormat="1" applyFont="1" applyFill="1" applyBorder="1"/>
    <xf numFmtId="0" fontId="5" fillId="0" borderId="0" xfId="0" applyFont="1" applyFill="1" applyBorder="1"/>
    <xf numFmtId="3" fontId="5" fillId="0" borderId="12" xfId="0" applyNumberFormat="1" applyFont="1" applyFill="1" applyBorder="1"/>
    <xf numFmtId="168" fontId="5" fillId="0" borderId="12" xfId="0" applyNumberFormat="1" applyFont="1" applyFill="1" applyBorder="1"/>
    <xf numFmtId="165" fontId="5" fillId="0" borderId="12" xfId="1" applyNumberFormat="1" applyFont="1" applyFill="1" applyBorder="1"/>
    <xf numFmtId="0" fontId="5" fillId="0" borderId="12" xfId="0" applyFont="1" applyFill="1" applyBorder="1"/>
    <xf numFmtId="166" fontId="5" fillId="0" borderId="21" xfId="2" applyNumberFormat="1" applyFont="1" applyBorder="1"/>
    <xf numFmtId="166" fontId="5" fillId="0" borderId="22" xfId="2" applyNumberFormat="1" applyFont="1" applyBorder="1"/>
    <xf numFmtId="0" fontId="43" fillId="0" borderId="0" xfId="0" applyFont="1"/>
    <xf numFmtId="173" fontId="2" fillId="0" borderId="0" xfId="0" applyNumberFormat="1" applyFont="1"/>
    <xf numFmtId="173" fontId="2" fillId="0" borderId="0" xfId="0" applyNumberFormat="1" applyFont="1" applyBorder="1"/>
    <xf numFmtId="173" fontId="2" fillId="0" borderId="12" xfId="0" applyNumberFormat="1" applyFont="1" applyBorder="1"/>
    <xf numFmtId="0" fontId="2" fillId="0" borderId="0" xfId="0" applyFont="1" applyAlignment="1">
      <alignment vertical="center"/>
    </xf>
    <xf numFmtId="0" fontId="33" fillId="0" borderId="0" xfId="0" applyFont="1"/>
    <xf numFmtId="166" fontId="2" fillId="0" borderId="0" xfId="0" applyNumberFormat="1" applyFont="1"/>
    <xf numFmtId="173" fontId="36" fillId="0" borderId="13" xfId="0" applyNumberFormat="1" applyFont="1" applyBorder="1"/>
    <xf numFmtId="0" fontId="5" fillId="0" borderId="11" xfId="165" applyNumberFormat="1" applyFont="1" applyBorder="1" applyAlignment="1">
      <alignment horizontal="left"/>
    </xf>
    <xf numFmtId="168" fontId="2" fillId="0" borderId="0" xfId="0" applyNumberFormat="1" applyFont="1"/>
    <xf numFmtId="168" fontId="2" fillId="0" borderId="12" xfId="0" applyNumberFormat="1" applyFont="1" applyBorder="1"/>
    <xf numFmtId="168" fontId="2" fillId="0" borderId="0" xfId="0" applyNumberFormat="1" applyFont="1" applyBorder="1"/>
    <xf numFmtId="168" fontId="2" fillId="0" borderId="15" xfId="0" applyNumberFormat="1" applyFont="1" applyBorder="1"/>
    <xf numFmtId="168" fontId="2" fillId="0" borderId="14" xfId="0" applyNumberFormat="1" applyFont="1" applyBorder="1"/>
    <xf numFmtId="0" fontId="0" fillId="0" borderId="0" xfId="0" applyAlignment="1">
      <alignment wrapText="1"/>
    </xf>
    <xf numFmtId="0" fontId="32" fillId="22" borderId="19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32" fillId="0" borderId="12" xfId="0" applyFont="1" applyFill="1" applyBorder="1" applyAlignment="1">
      <alignment horizontal="left" wrapText="1"/>
    </xf>
    <xf numFmtId="0" fontId="6" fillId="22" borderId="10" xfId="165" applyFont="1" applyFill="1" applyBorder="1" applyAlignment="1">
      <alignment wrapText="1"/>
    </xf>
    <xf numFmtId="0" fontId="6" fillId="22" borderId="11" xfId="165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2" fontId="2" fillId="22" borderId="12" xfId="0" applyNumberFormat="1" applyFont="1" applyFill="1" applyBorder="1" applyAlignment="1">
      <alignment wrapText="1"/>
    </xf>
    <xf numFmtId="170" fontId="2" fillId="22" borderId="12" xfId="0" applyNumberFormat="1" applyFont="1" applyFill="1" applyBorder="1"/>
    <xf numFmtId="0" fontId="32" fillId="0" borderId="12" xfId="0" applyFont="1" applyFill="1" applyBorder="1" applyAlignment="1">
      <alignment horizontal="center" wrapText="1"/>
    </xf>
    <xf numFmtId="0" fontId="44" fillId="0" borderId="0" xfId="0" applyFont="1" applyFill="1" applyBorder="1" applyAlignment="1"/>
    <xf numFmtId="0" fontId="45" fillId="0" borderId="0" xfId="0" applyFont="1" applyFill="1" applyBorder="1" applyAlignment="1"/>
    <xf numFmtId="0" fontId="2" fillId="0" borderId="0" xfId="0" applyFont="1" applyAlignment="1"/>
    <xf numFmtId="0" fontId="2" fillId="0" borderId="0" xfId="0" applyFont="1" applyBorder="1" applyAlignment="1"/>
    <xf numFmtId="172" fontId="2" fillId="0" borderId="0" xfId="0" applyNumberFormat="1" applyFont="1" applyAlignment="1"/>
    <xf numFmtId="168" fontId="2" fillId="0" borderId="0" xfId="0" applyNumberFormat="1" applyFont="1" applyAlignment="1"/>
    <xf numFmtId="0" fontId="2" fillId="0" borderId="12" xfId="0" applyFont="1" applyBorder="1" applyAlignment="1"/>
    <xf numFmtId="0" fontId="32" fillId="0" borderId="16" xfId="0" applyFont="1" applyBorder="1" applyAlignment="1"/>
    <xf numFmtId="0" fontId="2" fillId="22" borderId="17" xfId="0" applyFont="1" applyFill="1" applyBorder="1"/>
    <xf numFmtId="174" fontId="2" fillId="0" borderId="14" xfId="0" applyNumberFormat="1" applyFont="1" applyBorder="1"/>
    <xf numFmtId="0" fontId="2" fillId="0" borderId="16" xfId="0" applyFont="1" applyBorder="1" applyAlignment="1">
      <alignment wrapText="1"/>
    </xf>
    <xf numFmtId="175" fontId="2" fillId="0" borderId="12" xfId="0" applyNumberFormat="1" applyFont="1" applyBorder="1"/>
    <xf numFmtId="171" fontId="2" fillId="0" borderId="0" xfId="0" applyNumberFormat="1" applyFont="1"/>
    <xf numFmtId="0" fontId="2" fillId="0" borderId="20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36" fillId="0" borderId="14" xfId="0" applyFont="1" applyBorder="1"/>
    <xf numFmtId="166" fontId="2" fillId="0" borderId="14" xfId="2" applyNumberFormat="1" applyFont="1" applyBorder="1"/>
    <xf numFmtId="171" fontId="2" fillId="0" borderId="12" xfId="0" applyNumberFormat="1" applyFont="1" applyBorder="1"/>
    <xf numFmtId="1" fontId="2" fillId="22" borderId="12" xfId="0" applyNumberFormat="1" applyFont="1" applyFill="1" applyBorder="1"/>
    <xf numFmtId="167" fontId="2" fillId="0" borderId="0" xfId="0" applyNumberFormat="1" applyFont="1" applyFill="1" applyBorder="1"/>
    <xf numFmtId="168" fontId="2" fillId="0" borderId="20" xfId="0" applyNumberFormat="1" applyFont="1" applyBorder="1"/>
    <xf numFmtId="168" fontId="2" fillId="0" borderId="15" xfId="0" applyNumberFormat="1" applyFont="1" applyBorder="1" applyAlignment="1">
      <alignment wrapText="1"/>
    </xf>
    <xf numFmtId="168" fontId="2" fillId="0" borderId="16" xfId="0" applyNumberFormat="1" applyFont="1" applyBorder="1"/>
    <xf numFmtId="0" fontId="2" fillId="0" borderId="16" xfId="0" applyFont="1" applyFill="1" applyBorder="1"/>
    <xf numFmtId="0" fontId="2" fillId="0" borderId="20" xfId="0" applyFont="1" applyFill="1" applyBorder="1"/>
    <xf numFmtId="9" fontId="2" fillId="0" borderId="0" xfId="2" applyFont="1" applyFill="1" applyBorder="1"/>
    <xf numFmtId="0" fontId="2" fillId="0" borderId="0" xfId="0" quotePrefix="1" applyFont="1"/>
    <xf numFmtId="0" fontId="42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3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2" fillId="0" borderId="1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32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</cellXfs>
  <cellStyles count="167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omma 2" xfId="57"/>
    <cellStyle name="Comma 3" xfId="58"/>
    <cellStyle name="Comma 3 2" xfId="59"/>
    <cellStyle name="Comma 4" xfId="60"/>
    <cellStyle name="Comma 5" xfId="61"/>
    <cellStyle name="Comma 6" xfId="62"/>
    <cellStyle name="Comma 7" xfId="166"/>
    <cellStyle name="Currency" xfId="1" builtinId="4"/>
    <cellStyle name="Currency 2" xfId="63"/>
    <cellStyle name="Currency 2 2" xfId="64"/>
    <cellStyle name="Currency 3" xfId="65"/>
    <cellStyle name="Currency 4" xfId="66"/>
    <cellStyle name="Data Field" xfId="67"/>
    <cellStyle name="Data Name" xfId="68"/>
    <cellStyle name="Date/Time" xfId="69"/>
    <cellStyle name="Explanatory Text 2" xfId="70"/>
    <cellStyle name="Explanatory Text 3" xfId="71"/>
    <cellStyle name="Good 2" xfId="72"/>
    <cellStyle name="Good 3" xfId="73"/>
    <cellStyle name="Heading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10" xfId="89"/>
    <cellStyle name="Normal 11" xfId="90"/>
    <cellStyle name="Normal 12" xfId="91"/>
    <cellStyle name="Normal 13" xfId="92"/>
    <cellStyle name="Normal 14" xfId="93"/>
    <cellStyle name="Normal 15" xfId="94"/>
    <cellStyle name="Normal 16" xfId="95"/>
    <cellStyle name="Normal 17" xfId="96"/>
    <cellStyle name="Normal 18" xfId="97"/>
    <cellStyle name="Normal 19" xfId="98"/>
    <cellStyle name="Normal 2" xfId="99"/>
    <cellStyle name="Normal 2 2" xfId="100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11"/>
    <cellStyle name="Normal 30" xfId="112"/>
    <cellStyle name="Normal 31" xfId="113"/>
    <cellStyle name="Normal 32" xfId="114"/>
    <cellStyle name="Normal 33" xfId="115"/>
    <cellStyle name="Normal 34" xfId="116"/>
    <cellStyle name="Normal 35" xfId="117"/>
    <cellStyle name="Normal 36" xfId="118"/>
    <cellStyle name="Normal 37" xfId="119"/>
    <cellStyle name="Normal 38" xfId="120"/>
    <cellStyle name="Normal 39" xfId="121"/>
    <cellStyle name="Normal 4" xfId="122"/>
    <cellStyle name="Normal 40" xfId="123"/>
    <cellStyle name="Normal 41" xfId="124"/>
    <cellStyle name="Normal 42" xfId="125"/>
    <cellStyle name="Normal 43" xfId="126"/>
    <cellStyle name="Normal 44" xfId="127"/>
    <cellStyle name="Normal 45" xfId="128"/>
    <cellStyle name="Normal 46" xfId="129"/>
    <cellStyle name="Normal 47" xfId="130"/>
    <cellStyle name="Normal 47 2" xfId="131"/>
    <cellStyle name="Normal 48" xfId="132"/>
    <cellStyle name="Normal 48 2" xfId="133"/>
    <cellStyle name="Normal 49" xfId="134"/>
    <cellStyle name="Normal 5" xfId="135"/>
    <cellStyle name="Normal 50" xfId="136"/>
    <cellStyle name="Normal 51" xfId="137"/>
    <cellStyle name="Normal 52" xfId="138"/>
    <cellStyle name="Normal 53" xfId="139"/>
    <cellStyle name="Normal 54" xfId="165"/>
    <cellStyle name="Normal 6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" xfId="2" builtinId="5"/>
    <cellStyle name="Percent 2" xfId="148"/>
    <cellStyle name="Percent 2 2" xfId="149"/>
    <cellStyle name="Percent 3" xfId="150"/>
    <cellStyle name="Percent 3 2" xfId="151"/>
    <cellStyle name="Percent 3 3" xfId="152"/>
    <cellStyle name="Percent 4" xfId="153"/>
    <cellStyle name="Percent 5" xfId="154"/>
    <cellStyle name="Percent 6" xfId="155"/>
    <cellStyle name="Percent 7" xfId="156"/>
    <cellStyle name="Title 2" xfId="157"/>
    <cellStyle name="Title 3" xfId="158"/>
    <cellStyle name="Total 2" xfId="159"/>
    <cellStyle name="Total 3" xfId="160"/>
    <cellStyle name="Warning Text 2" xfId="161"/>
    <cellStyle name="Warning Text 3" xfId="162"/>
    <cellStyle name="표준_ENERGY CONSUMP" xfId="163"/>
    <cellStyle name="常规_海外市场服务网站资料操作BOM" xfId="164"/>
  </cellStyles>
  <dxfs count="0"/>
  <tableStyles count="0" defaultTableStyle="TableStyleMedium2" defaultPivotStyle="PivotStyleLight16"/>
  <colors>
    <mruColors>
      <color rgb="FF0064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3176145405812895"/>
          <c:y val="3.296678793314415E-2"/>
          <c:w val="0.54370985763674384"/>
          <c:h val="0.9097268288391327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'Summary-Results'!$B$5:$B$9</c:f>
              <c:strCache>
                <c:ptCount val="5"/>
                <c:pt idx="0">
                  <c:v>Electric Resistance</c:v>
                </c:pt>
                <c:pt idx="1">
                  <c:v>HPWH</c:v>
                </c:pt>
                <c:pt idx="2">
                  <c:v>Gas Tank</c:v>
                </c:pt>
                <c:pt idx="3">
                  <c:v>Instant Gas</c:v>
                </c:pt>
                <c:pt idx="4">
                  <c:v>Condensing Gas</c:v>
                </c:pt>
              </c:strCache>
            </c:strRef>
          </c:cat>
          <c:val>
            <c:numRef>
              <c:f>'Summary-Results'!$D$5:$D$9</c:f>
              <c:numCache>
                <c:formatCode>0.0%</c:formatCode>
                <c:ptCount val="5"/>
                <c:pt idx="0">
                  <c:v>0.50358575010723061</c:v>
                </c:pt>
                <c:pt idx="1">
                  <c:v>0.11788067687038421</c:v>
                </c:pt>
                <c:pt idx="2">
                  <c:v>0.19620871524516639</c:v>
                </c:pt>
                <c:pt idx="3">
                  <c:v>3.7327877856148016E-2</c:v>
                </c:pt>
                <c:pt idx="4">
                  <c:v>0.14499697992107077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  <c:dispBlanksAs val="zero"/>
  </c:chart>
  <c:txPr>
    <a:bodyPr/>
    <a:lstStyle/>
    <a:p>
      <a:pPr>
        <a:defRPr sz="120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8.9351880573004513E-2"/>
          <c:y val="0.14265634313752404"/>
          <c:w val="0.66305553558026065"/>
          <c:h val="0.70451904432123713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'Summary-Results'!$B$5</c:f>
              <c:strCache>
                <c:ptCount val="1"/>
                <c:pt idx="0">
                  <c:v>Electric Resistance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'Summary-Results'!$C$5:$E$5</c:f>
              <c:numCache>
                <c:formatCode>0.0%</c:formatCode>
                <c:ptCount val="3"/>
                <c:pt idx="0">
                  <c:v>0.9999832177739062</c:v>
                </c:pt>
                <c:pt idx="1">
                  <c:v>0.50358575010723061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'Summary-Results'!$B$6</c:f>
              <c:strCache>
                <c:ptCount val="1"/>
                <c:pt idx="0">
                  <c:v>HPWH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'Summary-Results'!$C$6:$E$6</c:f>
              <c:numCache>
                <c:formatCode>0.0%</c:formatCode>
                <c:ptCount val="3"/>
                <c:pt idx="0">
                  <c:v>2.8684626633871302E-9</c:v>
                </c:pt>
                <c:pt idx="1">
                  <c:v>0.11788067687038421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'Summary-Results'!$B$7</c:f>
              <c:strCache>
                <c:ptCount val="1"/>
                <c:pt idx="0">
                  <c:v>Gas Tank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'Summary-Results'!$C$7:$E$7</c:f>
              <c:numCache>
                <c:formatCode>0.0%</c:formatCode>
                <c:ptCount val="3"/>
                <c:pt idx="0">
                  <c:v>1.6775355925808853E-5</c:v>
                </c:pt>
                <c:pt idx="1">
                  <c:v>0.19620871524516639</c:v>
                </c:pt>
                <c:pt idx="2">
                  <c:v>1</c:v>
                </c:pt>
              </c:numCache>
            </c:numRef>
          </c:val>
        </c:ser>
        <c:ser>
          <c:idx val="3"/>
          <c:order val="3"/>
          <c:tx>
            <c:strRef>
              <c:f>'Summary-Results'!$B$8</c:f>
              <c:strCache>
                <c:ptCount val="1"/>
                <c:pt idx="0">
                  <c:v>Instant Gas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'Summary-Results'!$C$8:$E$8</c:f>
              <c:numCache>
                <c:formatCode>0.0%</c:formatCode>
                <c:ptCount val="3"/>
                <c:pt idx="0">
                  <c:v>7.9102549787350737E-10</c:v>
                </c:pt>
                <c:pt idx="1">
                  <c:v>3.7327877856148016E-2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'Summary-Results'!$B$9</c:f>
              <c:strCache>
                <c:ptCount val="1"/>
                <c:pt idx="0">
                  <c:v>Condensing Gas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'Summary-Results'!$C$9:$E$9</c:f>
              <c:numCache>
                <c:formatCode>0.0%</c:formatCode>
                <c:ptCount val="3"/>
                <c:pt idx="0">
                  <c:v>3.2106797933762949E-9</c:v>
                </c:pt>
                <c:pt idx="1">
                  <c:v>0.14499697992107077</c:v>
                </c:pt>
                <c:pt idx="2">
                  <c:v>0</c:v>
                </c:pt>
              </c:numCache>
            </c:numRef>
          </c:val>
        </c:ser>
        <c:overlap val="100"/>
        <c:axId val="200513024"/>
        <c:axId val="200514560"/>
      </c:barChart>
      <c:catAx>
        <c:axId val="20051302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0514560"/>
        <c:crosses val="autoZero"/>
        <c:auto val="1"/>
        <c:lblAlgn val="ctr"/>
        <c:lblOffset val="100"/>
      </c:catAx>
      <c:valAx>
        <c:axId val="200514560"/>
        <c:scaling>
          <c:orientation val="minMax"/>
        </c:scaling>
        <c:axPos val="l"/>
        <c:majorGridlines/>
        <c:numFmt formatCode="0%" sourceLinked="1"/>
        <c:tickLblPos val="nextTo"/>
        <c:crossAx val="200513024"/>
        <c:crosses val="autoZero"/>
        <c:crossBetween val="between"/>
      </c:valAx>
      <c:spPr>
        <a:scene3d>
          <a:camera prst="orthographicFront"/>
          <a:lightRig rig="threePt" dir="t"/>
        </a:scene3d>
        <a:sp3d>
          <a:bevelT w="19050"/>
          <a:bevelB/>
        </a:sp3d>
      </c:spPr>
    </c:plotArea>
    <c:legend>
      <c:legendPos val="r"/>
      <c:layout>
        <c:manualLayout>
          <c:xMode val="edge"/>
          <c:yMode val="edge"/>
          <c:x val="0.76521318009640027"/>
          <c:y val="0.29779540120492565"/>
          <c:w val="0.22224763701402239"/>
          <c:h val="0.40440888697828092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9449639107611575E-2"/>
          <c:y val="0.12927063506374675"/>
          <c:w val="0.65733054461942264"/>
          <c:h val="0.74259782412694597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'Summary-Results'!$B$13</c:f>
              <c:strCache>
                <c:ptCount val="1"/>
                <c:pt idx="0">
                  <c:v>Electric Resistance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'Summary-Results'!$C$13:$E$13</c:f>
              <c:numCache>
                <c:formatCode>0.0%</c:formatCode>
                <c:ptCount val="3"/>
                <c:pt idx="0">
                  <c:v>1</c:v>
                </c:pt>
                <c:pt idx="1">
                  <c:v>0.71171382495088009</c:v>
                </c:pt>
                <c:pt idx="2">
                  <c:v>0.21092188755086921</c:v>
                </c:pt>
              </c:numCache>
            </c:numRef>
          </c:val>
        </c:ser>
        <c:ser>
          <c:idx val="1"/>
          <c:order val="1"/>
          <c:tx>
            <c:strRef>
              <c:f>'Summary-Results'!$B$14</c:f>
              <c:strCache>
                <c:ptCount val="1"/>
                <c:pt idx="0">
                  <c:v>HPWH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'Summary-Results'!$C$14:$E$14</c:f>
              <c:numCache>
                <c:formatCode>0.0%</c:formatCode>
                <c:ptCount val="3"/>
                <c:pt idx="0">
                  <c:v>0</c:v>
                </c:pt>
                <c:pt idx="1">
                  <c:v>3.8272133976509866E-2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'Summary-Results'!$B$15</c:f>
              <c:strCache>
                <c:ptCount val="1"/>
                <c:pt idx="0">
                  <c:v>Gas Tank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'Summary-Results'!$C$15:$E$15</c:f>
              <c:numCache>
                <c:formatCode>0.0%</c:formatCode>
                <c:ptCount val="3"/>
                <c:pt idx="0">
                  <c:v>0</c:v>
                </c:pt>
                <c:pt idx="1">
                  <c:v>0.19165139624926439</c:v>
                </c:pt>
                <c:pt idx="2">
                  <c:v>0.78907811244913084</c:v>
                </c:pt>
              </c:numCache>
            </c:numRef>
          </c:val>
        </c:ser>
        <c:ser>
          <c:idx val="3"/>
          <c:order val="3"/>
          <c:tx>
            <c:strRef>
              <c:f>'Summary-Results'!$B$16</c:f>
              <c:strCache>
                <c:ptCount val="1"/>
                <c:pt idx="0">
                  <c:v>Instant Gas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'Summary-Results'!$C$16:$E$16</c:f>
              <c:numCache>
                <c:formatCode>0.0%</c:formatCode>
                <c:ptCount val="3"/>
                <c:pt idx="0">
                  <c:v>0</c:v>
                </c:pt>
                <c:pt idx="1">
                  <c:v>1.1888388429865194E-2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'Summary-Results'!$B$17</c:f>
              <c:strCache>
                <c:ptCount val="1"/>
                <c:pt idx="0">
                  <c:v>Condensing Gas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'Summary-Results'!$C$17:$E$17</c:f>
              <c:numCache>
                <c:formatCode>0.0%</c:formatCode>
                <c:ptCount val="3"/>
                <c:pt idx="0">
                  <c:v>0</c:v>
                </c:pt>
                <c:pt idx="1">
                  <c:v>4.6474256393480573E-2</c:v>
                </c:pt>
                <c:pt idx="2">
                  <c:v>0</c:v>
                </c:pt>
              </c:numCache>
            </c:numRef>
          </c:val>
        </c:ser>
        <c:gapWidth val="100"/>
        <c:overlap val="100"/>
        <c:axId val="200740224"/>
        <c:axId val="200774784"/>
      </c:barChart>
      <c:catAx>
        <c:axId val="20074022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0774784"/>
        <c:crosses val="autoZero"/>
        <c:auto val="1"/>
        <c:lblAlgn val="ctr"/>
        <c:lblOffset val="100"/>
      </c:catAx>
      <c:valAx>
        <c:axId val="200774784"/>
        <c:scaling>
          <c:orientation val="minMax"/>
        </c:scaling>
        <c:axPos val="l"/>
        <c:majorGridlines/>
        <c:numFmt formatCode="0%" sourceLinked="1"/>
        <c:tickLblPos val="nextTo"/>
        <c:crossAx val="200740224"/>
        <c:crosses val="autoZero"/>
        <c:crossBetween val="between"/>
      </c:valAx>
    </c:plotArea>
    <c:legend>
      <c:legendPos val="r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0075226817120301E-2"/>
          <c:y val="0.10445850439979631"/>
          <c:w val="0.69082274164548352"/>
          <c:h val="0.81140495977045668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'Summary-Results'!$B$21</c:f>
              <c:strCache>
                <c:ptCount val="1"/>
                <c:pt idx="0">
                  <c:v>Electric Resistance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'Summary-Results'!$C$21:$G$21</c:f>
              <c:numCache>
                <c:formatCode>0.0%</c:formatCode>
                <c:ptCount val="5"/>
                <c:pt idx="0">
                  <c:v>0.98067117932263481</c:v>
                </c:pt>
                <c:pt idx="1">
                  <c:v>0.90183063525605034</c:v>
                </c:pt>
                <c:pt idx="2">
                  <c:v>0.84236727174383585</c:v>
                </c:pt>
                <c:pt idx="3">
                  <c:v>0.78440473283895462</c:v>
                </c:pt>
                <c:pt idx="4">
                  <c:v>0.71171382495088009</c:v>
                </c:pt>
              </c:numCache>
            </c:numRef>
          </c:val>
        </c:ser>
        <c:ser>
          <c:idx val="1"/>
          <c:order val="1"/>
          <c:tx>
            <c:strRef>
              <c:f>'Summary-Results'!$B$22</c:f>
              <c:strCache>
                <c:ptCount val="1"/>
                <c:pt idx="0">
                  <c:v>HPWH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'Summary-Results'!$C$22:$G$22</c:f>
              <c:numCache>
                <c:formatCode>0.0%</c:formatCode>
                <c:ptCount val="5"/>
                <c:pt idx="0">
                  <c:v>6.9543953551311843E-6</c:v>
                </c:pt>
                <c:pt idx="1">
                  <c:v>2.9326492466956726E-4</c:v>
                </c:pt>
                <c:pt idx="2">
                  <c:v>2.8307065744040639E-3</c:v>
                </c:pt>
                <c:pt idx="3">
                  <c:v>1.3502098565905495E-2</c:v>
                </c:pt>
                <c:pt idx="4">
                  <c:v>3.8272133976509866E-2</c:v>
                </c:pt>
              </c:numCache>
            </c:numRef>
          </c:val>
        </c:ser>
        <c:ser>
          <c:idx val="2"/>
          <c:order val="2"/>
          <c:tx>
            <c:strRef>
              <c:f>'Summary-Results'!$B$23</c:f>
              <c:strCache>
                <c:ptCount val="1"/>
                <c:pt idx="0">
                  <c:v>Gas Tank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'Summary-Results'!$C$23:$G$23</c:f>
              <c:numCache>
                <c:formatCode>0.0%</c:formatCode>
                <c:ptCount val="5"/>
                <c:pt idx="0">
                  <c:v>1.9312116371542357E-2</c:v>
                </c:pt>
                <c:pt idx="1">
                  <c:v>9.7456701225556872E-2</c:v>
                </c:pt>
                <c:pt idx="2">
                  <c:v>0.15066341998178573</c:v>
                </c:pt>
                <c:pt idx="3">
                  <c:v>0.18192250935717855</c:v>
                </c:pt>
                <c:pt idx="4">
                  <c:v>0.19165139624926439</c:v>
                </c:pt>
              </c:numCache>
            </c:numRef>
          </c:val>
        </c:ser>
        <c:ser>
          <c:idx val="3"/>
          <c:order val="3"/>
          <c:tx>
            <c:strRef>
              <c:f>'Summary-Results'!$B$24</c:f>
              <c:strCache>
                <c:ptCount val="1"/>
                <c:pt idx="0">
                  <c:v>Instant Gas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'Summary-Results'!$C$24:$G$24</c:f>
              <c:numCache>
                <c:formatCode>0.0%</c:formatCode>
                <c:ptCount val="5"/>
                <c:pt idx="0">
                  <c:v>1.9302844423659704E-6</c:v>
                </c:pt>
                <c:pt idx="1">
                  <c:v>8.3564448299484247E-5</c:v>
                </c:pt>
                <c:pt idx="2">
                  <c:v>8.3068047560608824E-4</c:v>
                </c:pt>
                <c:pt idx="3">
                  <c:v>4.0786937908338719E-3</c:v>
                </c:pt>
                <c:pt idx="4">
                  <c:v>1.1888388429865194E-2</c:v>
                </c:pt>
              </c:numCache>
            </c:numRef>
          </c:val>
        </c:ser>
        <c:ser>
          <c:idx val="4"/>
          <c:order val="4"/>
          <c:tx>
            <c:strRef>
              <c:f>'Summary-Results'!$B$25</c:f>
              <c:strCache>
                <c:ptCount val="1"/>
                <c:pt idx="0">
                  <c:v>Condensing Gas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'Summary-Results'!$C$25:$G$25</c:f>
              <c:numCache>
                <c:formatCode>0.0%</c:formatCode>
                <c:ptCount val="5"/>
                <c:pt idx="0">
                  <c:v>7.8196260252239364E-6</c:v>
                </c:pt>
                <c:pt idx="1">
                  <c:v>3.3583414542364689E-4</c:v>
                </c:pt>
                <c:pt idx="2">
                  <c:v>3.3079212243682121E-3</c:v>
                </c:pt>
                <c:pt idx="3">
                  <c:v>1.6091965447127477E-2</c:v>
                </c:pt>
                <c:pt idx="4">
                  <c:v>4.6474256393480573E-2</c:v>
                </c:pt>
              </c:numCache>
            </c:numRef>
          </c:val>
        </c:ser>
        <c:overlap val="100"/>
        <c:axId val="203490816"/>
        <c:axId val="203492352"/>
      </c:barChart>
      <c:catAx>
        <c:axId val="2034908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3492352"/>
        <c:crosses val="autoZero"/>
        <c:auto val="1"/>
        <c:lblAlgn val="ctr"/>
        <c:lblOffset val="100"/>
      </c:catAx>
      <c:valAx>
        <c:axId val="203492352"/>
        <c:scaling>
          <c:orientation val="minMax"/>
        </c:scaling>
        <c:axPos val="l"/>
        <c:majorGridlines/>
        <c:numFmt formatCode="0%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3490816"/>
        <c:crosses val="autoZero"/>
        <c:crossBetween val="between"/>
      </c:valAx>
    </c:plotArea>
    <c:legend>
      <c:legendPos val="r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650491362998248E-2"/>
          <c:y val="0.11366526552601984"/>
          <c:w val="0.63835846100632754"/>
          <c:h val="0.80691360948302548"/>
        </c:manualLayout>
      </c:layout>
      <c:barChart>
        <c:barDir val="col"/>
        <c:grouping val="clustered"/>
        <c:ser>
          <c:idx val="0"/>
          <c:order val="0"/>
          <c:tx>
            <c:strRef>
              <c:f>'Summary-Results'!$B$37</c:f>
              <c:strCache>
                <c:ptCount val="1"/>
                <c:pt idx="0">
                  <c:v>Consumer's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'Summary-Results'!$C$37:$G$37</c:f>
              <c:numCache>
                <c:formatCode>0.000</c:formatCode>
                <c:ptCount val="5"/>
                <c:pt idx="0">
                  <c:v>9.1673576215612923E-2</c:v>
                </c:pt>
                <c:pt idx="1">
                  <c:v>0.45959539976355146</c:v>
                </c:pt>
                <c:pt idx="2">
                  <c:v>0.71141804664967445</c:v>
                </c:pt>
                <c:pt idx="3">
                  <c:v>0.88124675434666577</c:v>
                </c:pt>
                <c:pt idx="4">
                  <c:v>0.99181988491422168</c:v>
                </c:pt>
              </c:numCache>
            </c:numRef>
          </c:val>
        </c:ser>
        <c:ser>
          <c:idx val="1"/>
          <c:order val="1"/>
          <c:tx>
            <c:strRef>
              <c:f>'Summary-Results'!$B$38</c:f>
              <c:strCache>
                <c:ptCount val="1"/>
                <c:pt idx="0">
                  <c:v>Utility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'Summary-Results'!$C$38:$G$38</c:f>
              <c:numCache>
                <c:formatCode>0.000</c:formatCode>
                <c:ptCount val="5"/>
                <c:pt idx="0">
                  <c:v>-0.11471452309125625</c:v>
                </c:pt>
                <c:pt idx="1">
                  <c:v>-0.57446357726871322</c:v>
                </c:pt>
                <c:pt idx="2">
                  <c:v>-0.88321835384263592</c:v>
                </c:pt>
                <c:pt idx="3">
                  <c:v>-1.0684655341762248</c:v>
                </c:pt>
                <c:pt idx="4">
                  <c:v>-1.1426112128393915</c:v>
                </c:pt>
              </c:numCache>
            </c:numRef>
          </c:val>
        </c:ser>
        <c:ser>
          <c:idx val="2"/>
          <c:order val="2"/>
          <c:tx>
            <c:strRef>
              <c:f>'Summary-Results'!$B$39</c:f>
              <c:strCache>
                <c:ptCount val="1"/>
                <c:pt idx="0">
                  <c:v>Net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'Summary-Results'!$C$39:$G$39</c:f>
              <c:numCache>
                <c:formatCode>0.000</c:formatCode>
                <c:ptCount val="5"/>
                <c:pt idx="0">
                  <c:v>-2.3040946875643328E-2</c:v>
                </c:pt>
                <c:pt idx="1">
                  <c:v>-0.11486817750516176</c:v>
                </c:pt>
                <c:pt idx="2">
                  <c:v>-0.17180030719296147</c:v>
                </c:pt>
                <c:pt idx="3">
                  <c:v>-0.18721877982955903</c:v>
                </c:pt>
                <c:pt idx="4">
                  <c:v>-0.1507913279251698</c:v>
                </c:pt>
              </c:numCache>
            </c:numRef>
          </c:val>
        </c:ser>
        <c:axId val="203568256"/>
        <c:axId val="203569792"/>
      </c:barChart>
      <c:catAx>
        <c:axId val="203568256"/>
        <c:scaling>
          <c:orientation val="minMax"/>
        </c:scaling>
        <c:axPos val="b"/>
        <c:numFmt formatCode="General" sourceLinked="1"/>
        <c:tickLblPos val="low"/>
        <c:txPr>
          <a:bodyPr rot="0" vert="horz" anchor="ctr" anchorCtr="1"/>
          <a:lstStyle/>
          <a:p>
            <a:pPr>
              <a:defRPr sz="1200"/>
            </a:pPr>
            <a:endParaRPr lang="en-US"/>
          </a:p>
        </c:txPr>
        <c:crossAx val="203569792"/>
        <c:crosses val="autoZero"/>
        <c:auto val="1"/>
        <c:lblAlgn val="ctr"/>
        <c:lblOffset val="100"/>
      </c:catAx>
      <c:valAx>
        <c:axId val="203569792"/>
        <c:scaling>
          <c:orientation val="minMax"/>
        </c:scaling>
        <c:axPos val="l"/>
        <c:majorGridlines/>
        <c:numFmt formatCode="0.0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3568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110439683411665"/>
          <c:y val="0.30648932041389576"/>
          <c:w val="0.27889560316588347"/>
          <c:h val="0.4110986126734158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57</xdr:row>
      <xdr:rowOff>9523</xdr:rowOff>
    </xdr:from>
    <xdr:to>
      <xdr:col>11</xdr:col>
      <xdr:colOff>0</xdr:colOff>
      <xdr:row>73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3</xdr:row>
      <xdr:rowOff>9524</xdr:rowOff>
    </xdr:from>
    <xdr:to>
      <xdr:col>11</xdr:col>
      <xdr:colOff>9525</xdr:colOff>
      <xdr:row>18</xdr:row>
      <xdr:rowOff>190500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21</xdr:row>
      <xdr:rowOff>0</xdr:rowOff>
    </xdr:from>
    <xdr:to>
      <xdr:col>11</xdr:col>
      <xdr:colOff>28575</xdr:colOff>
      <xdr:row>36</xdr:row>
      <xdr:rowOff>171450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28574</xdr:colOff>
      <xdr:row>39</xdr:row>
      <xdr:rowOff>9525</xdr:rowOff>
    </xdr:from>
    <xdr:to>
      <xdr:col>10</xdr:col>
      <xdr:colOff>590549</xdr:colOff>
      <xdr:row>54</xdr:row>
      <xdr:rowOff>219075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19049</xdr:colOff>
      <xdr:row>75</xdr:row>
      <xdr:rowOff>19049</xdr:rowOff>
    </xdr:from>
    <xdr:to>
      <xdr:col>11</xdr:col>
      <xdr:colOff>66674</xdr:colOff>
      <xdr:row>91</xdr:row>
      <xdr:rowOff>9524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0.22819</cdr:x>
      <cdr:y>0.12722</cdr:y>
    </cdr:from>
    <cdr:to>
      <cdr:x>0.74664</cdr:x>
      <cdr:y>0.23373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95400" y="409575"/>
          <a:ext cx="29432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75"/>
  <sheetViews>
    <sheetView workbookViewId="0"/>
  </sheetViews>
  <sheetFormatPr defaultRowHeight="18.75"/>
  <cols>
    <col min="1" max="1" width="5.5703125" style="122" customWidth="1"/>
    <col min="2" max="16384" width="9.140625" style="122"/>
  </cols>
  <sheetData>
    <row r="1" spans="1:11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11" ht="39" customHeight="1">
      <c r="B3" s="176" t="str">
        <f>CONCATENATE("Marginal Market Shares (%) - ",State,", Single Family, ", SpaceHeat, ", ", TankSize,", ", StartWH, " is starting water heater")</f>
        <v>Marginal Market Shares (%) - Idaho, Single Family, Gas FAF, &lt;=55 Gallons, Electric Resistance is starting water heater</v>
      </c>
      <c r="C3" s="177"/>
      <c r="D3" s="177"/>
      <c r="E3" s="177"/>
      <c r="F3" s="177"/>
      <c r="G3" s="177"/>
      <c r="H3" s="177"/>
      <c r="I3" s="177"/>
      <c r="J3" s="177"/>
      <c r="K3" s="177"/>
    </row>
    <row r="18" spans="2:16">
      <c r="M18" s="95"/>
    </row>
    <row r="21" spans="2:16" ht="36" customHeight="1">
      <c r="B21" s="176" t="str">
        <f>CONCATENATE("Average Market Shares by Scenario (%) - ",State,", Single Family, ", SpaceHeat, ", ", TankSize,", ", StartWH, " is starting water heater")</f>
        <v>Average Market Shares by Scenario (%) - Idaho, Single Family, Gas FAF, &lt;=55 Gallons, Electric Resistance is starting water heater</v>
      </c>
      <c r="C21" s="177"/>
      <c r="D21" s="177"/>
      <c r="E21" s="177"/>
      <c r="F21" s="177"/>
      <c r="G21" s="177"/>
      <c r="H21" s="177"/>
      <c r="I21" s="177"/>
      <c r="J21" s="177"/>
      <c r="K21" s="177"/>
    </row>
    <row r="29" spans="2:16">
      <c r="P29" s="95"/>
    </row>
    <row r="39" spans="2:11" ht="36" customHeight="1">
      <c r="B39" s="176" t="str">
        <f>CONCATENATE("BAU Average Market Shares (%) - ",State,", Single Family, ", SpaceHeat, ", ", TankSize,", ", StartWH, " is starting water heater")</f>
        <v>BAU Average Market Shares (%) - Idaho, Single Family, Gas FAF, &lt;=55 Gallons, Electric Resistance is starting water heater</v>
      </c>
      <c r="C39" s="177"/>
      <c r="D39" s="177"/>
      <c r="E39" s="177"/>
      <c r="F39" s="177"/>
      <c r="G39" s="177"/>
      <c r="H39" s="177"/>
      <c r="I39" s="177"/>
      <c r="J39" s="177"/>
      <c r="K39" s="177"/>
    </row>
    <row r="57" spans="2:11" ht="38.25" customHeight="1">
      <c r="B57" s="176" t="str">
        <f>CONCATENATE("BAU Average Market Shares, 2035 (%) - ",State,", Single Family, ", SpaceHeat, ", ", TankSize,", ", StartWH, " is starting water heater")</f>
        <v>BAU Average Market Shares, 2035 (%) - Idaho, Single Family, Gas FAF, &lt;=55 Gallons, Electric Resistance is starting water heater</v>
      </c>
      <c r="C57" s="177"/>
      <c r="D57" s="177"/>
      <c r="E57" s="177"/>
      <c r="F57" s="177"/>
      <c r="G57" s="177"/>
      <c r="H57" s="177"/>
      <c r="I57" s="177"/>
      <c r="J57" s="177"/>
      <c r="K57" s="177"/>
    </row>
    <row r="75" spans="2:12" ht="40.5" customHeight="1">
      <c r="B75" s="176" t="str">
        <f>CONCATENATE('Input Assumptions'!B$9," Change in Natural Gas Usage Least Cost vs BAU Case (Mcf/Yr) -  ",'Input Assumptions'!B$11," ",'Input Assumptions'!B$12,", ",'Input Assumptions'!B$10," Space Heat")</f>
        <v>Idaho Change in Natural Gas Usage Least Cost vs BAU Case (Mcf/Yr) -  Electric Resistance &lt;=55 Gallons, Gas FAF Space Heat</v>
      </c>
      <c r="C75" s="177"/>
      <c r="D75" s="177"/>
      <c r="E75" s="177"/>
      <c r="F75" s="177"/>
      <c r="G75" s="177"/>
      <c r="H75" s="177"/>
      <c r="I75" s="177"/>
      <c r="J75" s="177"/>
      <c r="K75" s="177"/>
      <c r="L75" s="136"/>
    </row>
  </sheetData>
  <mergeCells count="5">
    <mergeCell ref="B75:K75"/>
    <mergeCell ref="B3:K3"/>
    <mergeCell ref="B21:K21"/>
    <mergeCell ref="B39:K39"/>
    <mergeCell ref="B57:K5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W81"/>
  <sheetViews>
    <sheetView workbookViewId="0"/>
  </sheetViews>
  <sheetFormatPr defaultColWidth="9.140625" defaultRowHeight="15.75"/>
  <cols>
    <col min="1" max="1" width="28.7109375" style="9" customWidth="1"/>
    <col min="2" max="11" width="11.7109375" style="9" customWidth="1"/>
    <col min="12" max="31" width="13.28515625" style="9" bestFit="1" customWidth="1"/>
    <col min="32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23">
      <c r="A3" s="12" t="s">
        <v>133</v>
      </c>
      <c r="H3" s="14"/>
      <c r="I3" s="14"/>
    </row>
    <row r="4" spans="1:23" ht="31.5">
      <c r="A4" s="66"/>
      <c r="B4" s="89" t="s">
        <v>132</v>
      </c>
      <c r="C4" s="94" t="s">
        <v>83</v>
      </c>
      <c r="D4" s="45"/>
      <c r="E4" s="45"/>
      <c r="F4" s="45"/>
      <c r="G4" s="45"/>
      <c r="H4" s="45"/>
    </row>
    <row r="5" spans="1:23">
      <c r="A5" s="160" t="s">
        <v>44</v>
      </c>
      <c r="B5" s="124">
        <f>NPV(DiscountRate,B12:W12)</f>
        <v>540.31493838512438</v>
      </c>
      <c r="C5" s="68"/>
      <c r="D5" s="45"/>
      <c r="E5" s="45"/>
      <c r="F5" s="45"/>
      <c r="G5" s="45"/>
      <c r="H5" s="45"/>
    </row>
    <row r="6" spans="1:23">
      <c r="A6" s="161" t="s">
        <v>102</v>
      </c>
      <c r="B6" s="125">
        <f>NPV(DiscountRate,B49:W49)</f>
        <v>469.48245725585502</v>
      </c>
      <c r="C6" s="162"/>
      <c r="D6" s="45"/>
      <c r="E6" s="45"/>
      <c r="F6" s="45"/>
      <c r="G6" s="45"/>
      <c r="H6" s="45"/>
    </row>
    <row r="7" spans="1:23">
      <c r="A7" s="161" t="s">
        <v>81</v>
      </c>
      <c r="B7" s="125">
        <f>B5-B6</f>
        <v>70.832481129269354</v>
      </c>
      <c r="C7" s="163">
        <f>1-B6/B5</f>
        <v>0.13109480433943055</v>
      </c>
    </row>
    <row r="8" spans="1:23">
      <c r="A8" s="54"/>
      <c r="E8" s="29"/>
    </row>
    <row r="9" spans="1:23">
      <c r="A9" s="12"/>
    </row>
    <row r="10" spans="1:23">
      <c r="A10" s="12" t="s">
        <v>117</v>
      </c>
    </row>
    <row r="11" spans="1:23">
      <c r="A11" s="14" t="str">
        <f t="shared" ref="A11:W11" si="0">A20</f>
        <v>Water Heat Ending</v>
      </c>
      <c r="B11" s="9">
        <f t="shared" si="0"/>
        <v>2014</v>
      </c>
      <c r="C11" s="9">
        <f t="shared" si="0"/>
        <v>2015</v>
      </c>
      <c r="D11" s="9">
        <f t="shared" si="0"/>
        <v>2016</v>
      </c>
      <c r="E11" s="9">
        <f t="shared" si="0"/>
        <v>2017</v>
      </c>
      <c r="F11" s="9">
        <f t="shared" si="0"/>
        <v>2018</v>
      </c>
      <c r="G11" s="9">
        <f t="shared" si="0"/>
        <v>2019</v>
      </c>
      <c r="H11" s="9">
        <f t="shared" si="0"/>
        <v>2020</v>
      </c>
      <c r="I11" s="9">
        <f t="shared" si="0"/>
        <v>2021</v>
      </c>
      <c r="J11" s="9">
        <f t="shared" si="0"/>
        <v>2022</v>
      </c>
      <c r="K11" s="9">
        <f t="shared" si="0"/>
        <v>2023</v>
      </c>
      <c r="L11" s="9">
        <f t="shared" si="0"/>
        <v>2024</v>
      </c>
      <c r="M11" s="9">
        <f t="shared" si="0"/>
        <v>2025</v>
      </c>
      <c r="N11" s="9">
        <f t="shared" si="0"/>
        <v>2026</v>
      </c>
      <c r="O11" s="9">
        <f t="shared" si="0"/>
        <v>2027</v>
      </c>
      <c r="P11" s="9">
        <f t="shared" si="0"/>
        <v>2028</v>
      </c>
      <c r="Q11" s="9">
        <f t="shared" si="0"/>
        <v>2029</v>
      </c>
      <c r="R11" s="9">
        <f t="shared" si="0"/>
        <v>2030</v>
      </c>
      <c r="S11" s="9">
        <f t="shared" si="0"/>
        <v>2031</v>
      </c>
      <c r="T11" s="9">
        <f t="shared" si="0"/>
        <v>2032</v>
      </c>
      <c r="U11" s="9">
        <f t="shared" si="0"/>
        <v>2033</v>
      </c>
      <c r="V11" s="9">
        <f t="shared" si="0"/>
        <v>2034</v>
      </c>
      <c r="W11" s="9">
        <f t="shared" si="0"/>
        <v>2035</v>
      </c>
    </row>
    <row r="12" spans="1:23" ht="16.5" thickBot="1">
      <c r="A12" s="49" t="s">
        <v>49</v>
      </c>
      <c r="B12" s="129">
        <f t="shared" ref="B12:W12" si="1">SUM(B13:B17)</f>
        <v>30.718080563362811</v>
      </c>
      <c r="C12" s="129">
        <f t="shared" si="1"/>
        <v>35.65338539920895</v>
      </c>
      <c r="D12" s="129">
        <f t="shared" si="1"/>
        <v>35.782730948327846</v>
      </c>
      <c r="E12" s="129">
        <f t="shared" si="1"/>
        <v>35.931178840599728</v>
      </c>
      <c r="F12" s="129">
        <f t="shared" si="1"/>
        <v>36.098921451833597</v>
      </c>
      <c r="G12" s="129">
        <f t="shared" si="1"/>
        <v>36.286536206603621</v>
      </c>
      <c r="H12" s="129">
        <f t="shared" si="1"/>
        <v>36.495010544636351</v>
      </c>
      <c r="I12" s="129">
        <f t="shared" si="1"/>
        <v>36.725720950468521</v>
      </c>
      <c r="J12" s="129">
        <f t="shared" si="1"/>
        <v>36.980346402420444</v>
      </c>
      <c r="K12" s="129">
        <f t="shared" si="1"/>
        <v>37.260700924516875</v>
      </c>
      <c r="L12" s="129">
        <f t="shared" si="1"/>
        <v>37.568479921140678</v>
      </c>
      <c r="M12" s="129">
        <f t="shared" si="1"/>
        <v>37.904931088123774</v>
      </c>
      <c r="N12" s="129">
        <f t="shared" si="1"/>
        <v>38.270481540193011</v>
      </c>
      <c r="O12" s="129">
        <f t="shared" si="1"/>
        <v>38.66437423789155</v>
      </c>
      <c r="P12" s="129">
        <f t="shared" si="1"/>
        <v>39.084381964510555</v>
      </c>
      <c r="Q12" s="129">
        <f t="shared" si="1"/>
        <v>39.526668170220148</v>
      </c>
      <c r="R12" s="129">
        <f t="shared" si="1"/>
        <v>39.985845748788783</v>
      </c>
      <c r="S12" s="129">
        <f t="shared" si="1"/>
        <v>40.455248450700338</v>
      </c>
      <c r="T12" s="129">
        <f t="shared" si="1"/>
        <v>40.927384277193241</v>
      </c>
      <c r="U12" s="129">
        <f t="shared" si="1"/>
        <v>41.394500114187771</v>
      </c>
      <c r="V12" s="129">
        <f t="shared" si="1"/>
        <v>41.849165301210292</v>
      </c>
      <c r="W12" s="129">
        <f t="shared" si="1"/>
        <v>42.284784872408373</v>
      </c>
    </row>
    <row r="13" spans="1:23" ht="16.5" thickTop="1">
      <c r="A13" s="38" t="str">
        <f>A22</f>
        <v>Electric Resistance</v>
      </c>
      <c r="B13" s="123">
        <f t="shared" ref="B13:W13" si="2">(B22+B31+B40)</f>
        <v>30.718080563362811</v>
      </c>
      <c r="C13" s="123">
        <f t="shared" si="2"/>
        <v>33.823183779490314</v>
      </c>
      <c r="D13" s="123">
        <f t="shared" si="2"/>
        <v>33.643157059687574</v>
      </c>
      <c r="E13" s="123">
        <f t="shared" si="2"/>
        <v>33.492072487263094</v>
      </c>
      <c r="F13" s="123">
        <f t="shared" si="2"/>
        <v>33.367520180802167</v>
      </c>
      <c r="G13" s="123">
        <f t="shared" si="2"/>
        <v>33.266754672648524</v>
      </c>
      <c r="H13" s="123">
        <f t="shared" si="2"/>
        <v>33.186565885086949</v>
      </c>
      <c r="I13" s="123">
        <f t="shared" si="2"/>
        <v>33.123155122402608</v>
      </c>
      <c r="J13" s="123">
        <f t="shared" si="2"/>
        <v>33.072035453989351</v>
      </c>
      <c r="K13" s="123">
        <f t="shared" si="2"/>
        <v>33.027979842189083</v>
      </c>
      <c r="L13" s="123">
        <f t="shared" si="2"/>
        <v>32.985041143065118</v>
      </c>
      <c r="M13" s="123">
        <f t="shared" si="2"/>
        <v>32.936663883173544</v>
      </c>
      <c r="N13" s="123">
        <f t="shared" si="2"/>
        <v>32.875897286305289</v>
      </c>
      <c r="O13" s="123">
        <f t="shared" si="2"/>
        <v>32.795702722749311</v>
      </c>
      <c r="P13" s="123">
        <f t="shared" si="2"/>
        <v>32.689329237579969</v>
      </c>
      <c r="Q13" s="123">
        <f t="shared" si="2"/>
        <v>32.550713035776923</v>
      </c>
      <c r="R13" s="123">
        <f t="shared" si="2"/>
        <v>32.374846654165928</v>
      </c>
      <c r="S13" s="123">
        <f t="shared" si="2"/>
        <v>32.158065430152085</v>
      </c>
      <c r="T13" s="123">
        <f t="shared" si="2"/>
        <v>31.898213337657733</v>
      </c>
      <c r="U13" s="123">
        <f t="shared" si="2"/>
        <v>31.594673270440609</v>
      </c>
      <c r="V13" s="123">
        <f t="shared" si="2"/>
        <v>31.248271375951269</v>
      </c>
      <c r="W13" s="123">
        <f t="shared" si="2"/>
        <v>30.86108412710383</v>
      </c>
    </row>
    <row r="14" spans="1:23">
      <c r="A14" s="38" t="str">
        <f>A23</f>
        <v>HPWH</v>
      </c>
      <c r="B14" s="123">
        <f t="shared" ref="B14:W14" si="3">(B23+B32+B41)</f>
        <v>0</v>
      </c>
      <c r="C14" s="123">
        <f t="shared" si="3"/>
        <v>1.2718377715376001E-3</v>
      </c>
      <c r="D14" s="123">
        <f t="shared" si="3"/>
        <v>2.6464373980978001E-3</v>
      </c>
      <c r="E14" s="123">
        <f t="shared" si="3"/>
        <v>5.1420607556982474E-3</v>
      </c>
      <c r="F14" s="123">
        <f t="shared" si="3"/>
        <v>9.4650800171014928E-3</v>
      </c>
      <c r="G14" s="123">
        <f t="shared" si="3"/>
        <v>1.6630354559357505E-2</v>
      </c>
      <c r="H14" s="123">
        <f t="shared" si="3"/>
        <v>2.8025093514900415E-2</v>
      </c>
      <c r="I14" s="123">
        <f t="shared" si="3"/>
        <v>4.5454702003488896E-2</v>
      </c>
      <c r="J14" s="123">
        <f t="shared" si="3"/>
        <v>7.1155477774297815E-2</v>
      </c>
      <c r="K14" s="123">
        <f t="shared" si="3"/>
        <v>0.10775885675394642</v>
      </c>
      <c r="L14" s="123">
        <f t="shared" si="3"/>
        <v>0.15819505355600336</v>
      </c>
      <c r="M14" s="123">
        <f t="shared" si="3"/>
        <v>0.22553129926437185</v>
      </c>
      <c r="N14" s="123">
        <f t="shared" si="3"/>
        <v>0.3127514516992928</v>
      </c>
      <c r="O14" s="123">
        <f t="shared" si="3"/>
        <v>0.42249796651938643</v>
      </c>
      <c r="P14" s="123">
        <f t="shared" si="3"/>
        <v>0.55681060065321852</v>
      </c>
      <c r="Q14" s="123">
        <f t="shared" si="3"/>
        <v>0.71690404802347008</v>
      </c>
      <c r="R14" s="123">
        <f t="shared" si="3"/>
        <v>0.90302478328736147</v>
      </c>
      <c r="S14" s="123">
        <f t="shared" si="3"/>
        <v>1.1144143364908141</v>
      </c>
      <c r="T14" s="123">
        <f t="shared" si="3"/>
        <v>1.3493849267077618</v>
      </c>
      <c r="U14" s="123">
        <f t="shared" si="3"/>
        <v>1.605490337550096</v>
      </c>
      <c r="V14" s="123">
        <f t="shared" si="3"/>
        <v>1.8797574660340695</v>
      </c>
      <c r="W14" s="123">
        <f t="shared" si="3"/>
        <v>2.1689369920175521</v>
      </c>
    </row>
    <row r="15" spans="1:23">
      <c r="A15" s="38" t="str">
        <f>A24</f>
        <v>Gas Tank</v>
      </c>
      <c r="B15" s="123">
        <f t="shared" ref="B15:W15" si="4">(B24+B33+B42)</f>
        <v>0</v>
      </c>
      <c r="C15" s="123">
        <f t="shared" si="4"/>
        <v>1.8264453147881139</v>
      </c>
      <c r="D15" s="123">
        <f t="shared" si="4"/>
        <v>2.1318287441856567</v>
      </c>
      <c r="E15" s="123">
        <f t="shared" si="4"/>
        <v>2.4241094189125305</v>
      </c>
      <c r="F15" s="123">
        <f t="shared" si="4"/>
        <v>2.7038305393723849</v>
      </c>
      <c r="G15" s="123">
        <f t="shared" si="4"/>
        <v>2.9713564951791147</v>
      </c>
      <c r="H15" s="123">
        <f t="shared" si="4"/>
        <v>3.2268422642337224</v>
      </c>
      <c r="I15" s="123">
        <f t="shared" si="4"/>
        <v>3.4702065151333592</v>
      </c>
      <c r="J15" s="123">
        <f t="shared" si="4"/>
        <v>3.7011146037395397</v>
      </c>
      <c r="K15" s="123">
        <f t="shared" si="4"/>
        <v>3.9189784413078428</v>
      </c>
      <c r="L15" s="123">
        <f t="shared" si="4"/>
        <v>4.1229798281508696</v>
      </c>
      <c r="M15" s="123">
        <f t="shared" si="4"/>
        <v>4.3121217924876243</v>
      </c>
      <c r="N15" s="123">
        <f t="shared" si="4"/>
        <v>4.4853085117341829</v>
      </c>
      <c r="O15" s="123">
        <f t="shared" si="4"/>
        <v>4.6414488552643256</v>
      </c>
      <c r="P15" s="123">
        <f t="shared" si="4"/>
        <v>4.7795725853403868</v>
      </c>
      <c r="Q15" s="123">
        <f t="shared" si="4"/>
        <v>4.8989435628770233</v>
      </c>
      <c r="R15" s="123">
        <f t="shared" si="4"/>
        <v>4.9991527943650018</v>
      </c>
      <c r="S15" s="123">
        <f t="shared" si="4"/>
        <v>5.0801769052058612</v>
      </c>
      <c r="T15" s="123">
        <f t="shared" si="4"/>
        <v>5.1423942120504451</v>
      </c>
      <c r="U15" s="123">
        <f t="shared" si="4"/>
        <v>5.1865590449238317</v>
      </c>
      <c r="V15" s="123">
        <f t="shared" si="4"/>
        <v>5.2137426662806057</v>
      </c>
      <c r="W15" s="123">
        <f t="shared" si="4"/>
        <v>5.2252538503608985</v>
      </c>
    </row>
    <row r="16" spans="1:23">
      <c r="A16" s="38" t="str">
        <f>A25</f>
        <v>Instant Gas</v>
      </c>
      <c r="B16" s="123">
        <f t="shared" ref="B16:W16" si="5">(B25+B34+B43)</f>
        <v>0</v>
      </c>
      <c r="C16" s="123">
        <f t="shared" si="5"/>
        <v>7.5971783153874468E-4</v>
      </c>
      <c r="D16" s="123">
        <f t="shared" si="5"/>
        <v>1.5632675139105616E-3</v>
      </c>
      <c r="E16" s="123">
        <f t="shared" si="5"/>
        <v>3.0273819741850057E-3</v>
      </c>
      <c r="F16" s="123">
        <f t="shared" si="5"/>
        <v>5.5712474585411838E-3</v>
      </c>
      <c r="G16" s="123">
        <f t="shared" si="5"/>
        <v>9.7986323518449124E-3</v>
      </c>
      <c r="H16" s="123">
        <f t="shared" si="5"/>
        <v>1.6536497234019194E-2</v>
      </c>
      <c r="I16" s="123">
        <f t="shared" si="5"/>
        <v>2.6862613572083013E-2</v>
      </c>
      <c r="J16" s="123">
        <f t="shared" si="5"/>
        <v>4.2112763096576918E-2</v>
      </c>
      <c r="K16" s="123">
        <f t="shared" si="5"/>
        <v>6.3857893583195199E-2</v>
      </c>
      <c r="L16" s="123">
        <f t="shared" si="5"/>
        <v>9.3843495547186143E-2</v>
      </c>
      <c r="M16" s="123">
        <f t="shared" si="5"/>
        <v>0.13388804487507774</v>
      </c>
      <c r="N16" s="123">
        <f t="shared" si="5"/>
        <v>0.18574468401579389</v>
      </c>
      <c r="O16" s="123">
        <f t="shared" si="5"/>
        <v>0.25093942696257299</v>
      </c>
      <c r="P16" s="123">
        <f t="shared" si="5"/>
        <v>0.33060786153598343</v>
      </c>
      <c r="Q16" s="123">
        <f t="shared" si="5"/>
        <v>0.42535751027730717</v>
      </c>
      <c r="R16" s="123">
        <f t="shared" si="5"/>
        <v>0.53518189744578848</v>
      </c>
      <c r="S16" s="123">
        <f t="shared" si="5"/>
        <v>0.65944394829569664</v>
      </c>
      <c r="T16" s="123">
        <f t="shared" si="5"/>
        <v>0.79693241210533816</v>
      </c>
      <c r="U16" s="123">
        <f t="shared" si="5"/>
        <v>0.945979785316169</v>
      </c>
      <c r="V16" s="123">
        <f t="shared" si="5"/>
        <v>1.1046186074899722</v>
      </c>
      <c r="W16" s="123">
        <f t="shared" si="5"/>
        <v>1.2707483365191734</v>
      </c>
    </row>
    <row r="17" spans="1:23">
      <c r="A17" s="38" t="str">
        <f>A26</f>
        <v>Condensing Gas</v>
      </c>
      <c r="B17" s="123">
        <f t="shared" ref="B17:W17" si="6">(B26+B35+B44)</f>
        <v>0</v>
      </c>
      <c r="C17" s="123">
        <f t="shared" si="6"/>
        <v>1.7247493274344296E-3</v>
      </c>
      <c r="D17" s="123">
        <f t="shared" si="6"/>
        <v>3.535439542608211E-3</v>
      </c>
      <c r="E17" s="123">
        <f t="shared" si="6"/>
        <v>6.8274916942226271E-3</v>
      </c>
      <c r="F17" s="123">
        <f t="shared" si="6"/>
        <v>1.2534404183407719E-2</v>
      </c>
      <c r="G17" s="123">
        <f t="shared" si="6"/>
        <v>2.1996051864772312E-2</v>
      </c>
      <c r="H17" s="123">
        <f t="shared" si="6"/>
        <v>3.7040804566760462E-2</v>
      </c>
      <c r="I17" s="123">
        <f t="shared" si="6"/>
        <v>6.0041997356978925E-2</v>
      </c>
      <c r="J17" s="123">
        <f t="shared" si="6"/>
        <v>9.3928103820682077E-2</v>
      </c>
      <c r="K17" s="123">
        <f t="shared" si="6"/>
        <v>0.14212589068280915</v>
      </c>
      <c r="L17" s="123">
        <f t="shared" si="6"/>
        <v>0.20842040082150481</v>
      </c>
      <c r="M17" s="123">
        <f t="shared" si="6"/>
        <v>0.2967260683231519</v>
      </c>
      <c r="N17" s="123">
        <f t="shared" si="6"/>
        <v>0.41077960643845024</v>
      </c>
      <c r="O17" s="123">
        <f t="shared" si="6"/>
        <v>0.55378526639594838</v>
      </c>
      <c r="P17" s="123">
        <f t="shared" si="6"/>
        <v>0.72806167940099098</v>
      </c>
      <c r="Q17" s="123">
        <f t="shared" si="6"/>
        <v>0.93475001326541862</v>
      </c>
      <c r="R17" s="123">
        <f t="shared" si="6"/>
        <v>1.1736396195246996</v>
      </c>
      <c r="S17" s="123">
        <f t="shared" si="6"/>
        <v>1.4431478305558816</v>
      </c>
      <c r="T17" s="123">
        <f t="shared" si="6"/>
        <v>1.7404593886719688</v>
      </c>
      <c r="U17" s="123">
        <f t="shared" si="6"/>
        <v>2.0617976759570698</v>
      </c>
      <c r="V17" s="123">
        <f t="shared" si="6"/>
        <v>2.4027751854543635</v>
      </c>
      <c r="W17" s="123">
        <f t="shared" si="6"/>
        <v>2.7587615664069176</v>
      </c>
    </row>
    <row r="18" spans="1:23">
      <c r="A18" s="12"/>
    </row>
    <row r="19" spans="1:23">
      <c r="A19" s="12" t="s">
        <v>118</v>
      </c>
    </row>
    <row r="20" spans="1:23">
      <c r="A20" s="14" t="str">
        <f>'Water Heaters Purchased'!A4</f>
        <v>Water Heat Ending</v>
      </c>
      <c r="B20" s="9">
        <f>'Water Heaters Purchased'!B4</f>
        <v>2014</v>
      </c>
      <c r="C20" s="9">
        <f>'Water Heaters Purchased'!C4</f>
        <v>2015</v>
      </c>
      <c r="D20" s="9">
        <f>'Water Heaters Purchased'!D4</f>
        <v>2016</v>
      </c>
      <c r="E20" s="9">
        <f>'Water Heaters Purchased'!E4</f>
        <v>2017</v>
      </c>
      <c r="F20" s="9">
        <f>'Water Heaters Purchased'!F4</f>
        <v>2018</v>
      </c>
      <c r="G20" s="9">
        <f>'Water Heaters Purchased'!G4</f>
        <v>2019</v>
      </c>
      <c r="H20" s="9">
        <f>'Water Heaters Purchased'!H4</f>
        <v>2020</v>
      </c>
      <c r="I20" s="9">
        <f>'Water Heaters Purchased'!I4</f>
        <v>2021</v>
      </c>
      <c r="J20" s="9">
        <f>'Water Heaters Purchased'!J4</f>
        <v>2022</v>
      </c>
      <c r="K20" s="9">
        <f>'Water Heaters Purchased'!K4</f>
        <v>2023</v>
      </c>
      <c r="L20" s="9">
        <f>'Water Heaters Purchased'!L4</f>
        <v>2024</v>
      </c>
      <c r="M20" s="9">
        <f>'Water Heaters Purchased'!M4</f>
        <v>2025</v>
      </c>
      <c r="N20" s="9">
        <f>'Water Heaters Purchased'!N4</f>
        <v>2026</v>
      </c>
      <c r="O20" s="9">
        <f>'Water Heaters Purchased'!O4</f>
        <v>2027</v>
      </c>
      <c r="P20" s="9">
        <f>'Water Heaters Purchased'!P4</f>
        <v>2028</v>
      </c>
      <c r="Q20" s="9">
        <f>'Water Heaters Purchased'!Q4</f>
        <v>2029</v>
      </c>
      <c r="R20" s="9">
        <f>'Water Heaters Purchased'!R4</f>
        <v>2030</v>
      </c>
      <c r="S20" s="9">
        <f>'Water Heaters Purchased'!S4</f>
        <v>2031</v>
      </c>
      <c r="T20" s="9">
        <f>'Water Heaters Purchased'!T4</f>
        <v>2032</v>
      </c>
      <c r="U20" s="9">
        <f>'Water Heaters Purchased'!U4</f>
        <v>2033</v>
      </c>
      <c r="V20" s="9">
        <f>'Water Heaters Purchased'!V4</f>
        <v>2034</v>
      </c>
      <c r="W20" s="9">
        <f>'Water Heaters Purchased'!W4</f>
        <v>2035</v>
      </c>
    </row>
    <row r="21" spans="1:23" ht="16.5" thickBot="1">
      <c r="A21" s="49" t="s">
        <v>49</v>
      </c>
      <c r="B21" s="129">
        <f>SUM(B22:B26)</f>
        <v>0</v>
      </c>
      <c r="C21" s="129">
        <f t="shared" ref="C21:W21" si="7">SUM(C22:C26)</f>
        <v>4.827124296521851</v>
      </c>
      <c r="D21" s="129">
        <f t="shared" si="7"/>
        <v>4.8301848917119568</v>
      </c>
      <c r="E21" s="129">
        <f t="shared" si="7"/>
        <v>4.8351932718544752</v>
      </c>
      <c r="F21" s="129">
        <f t="shared" si="7"/>
        <v>4.8433599083178693</v>
      </c>
      <c r="G21" s="129">
        <f t="shared" si="7"/>
        <v>4.8564027702729771</v>
      </c>
      <c r="H21" s="129">
        <f t="shared" si="7"/>
        <v>4.8766360271670433</v>
      </c>
      <c r="I21" s="129">
        <f t="shared" si="7"/>
        <v>4.9070184015367015</v>
      </c>
      <c r="J21" s="129">
        <f t="shared" si="7"/>
        <v>4.9511346643325185</v>
      </c>
      <c r="K21" s="129">
        <f t="shared" si="7"/>
        <v>5.0130851834223478</v>
      </c>
      <c r="L21" s="129">
        <f t="shared" si="7"/>
        <v>5.09726623165517</v>
      </c>
      <c r="M21" s="129">
        <f t="shared" si="7"/>
        <v>5.2080392726097289</v>
      </c>
      <c r="N21" s="129">
        <f t="shared" si="7"/>
        <v>5.3493101825908669</v>
      </c>
      <c r="O21" s="129">
        <f t="shared" si="7"/>
        <v>5.5240657584066621</v>
      </c>
      <c r="P21" s="129">
        <f t="shared" si="7"/>
        <v>5.733937814210627</v>
      </c>
      <c r="Q21" s="129">
        <f t="shared" si="7"/>
        <v>5.978875575433384</v>
      </c>
      <c r="R21" s="129">
        <f t="shared" si="7"/>
        <v>6.256997460242645</v>
      </c>
      <c r="S21" s="129">
        <f t="shared" si="7"/>
        <v>6.5646623294540039</v>
      </c>
      <c r="T21" s="129">
        <f t="shared" si="7"/>
        <v>6.8967551054154983</v>
      </c>
      <c r="U21" s="129">
        <f t="shared" si="7"/>
        <v>7.2471362572017464</v>
      </c>
      <c r="V21" s="129">
        <f t="shared" si="7"/>
        <v>7.6091737438795448</v>
      </c>
      <c r="W21" s="129">
        <f t="shared" si="7"/>
        <v>7.9762683558488563</v>
      </c>
    </row>
    <row r="22" spans="1:23" ht="16.5" thickTop="1">
      <c r="A22" s="9" t="str">
        <f>'Water Heaters Purchased'!A6</f>
        <v>Electric Resistance</v>
      </c>
      <c r="B22" s="123">
        <f>('Water Heaters Purchased'!B6*'Capital Cost'!$E5)/1000000</f>
        <v>0</v>
      </c>
      <c r="C22" s="123">
        <f>('Water Heaters Purchased'!C6*'Capital Cost'!$E5)/1000000</f>
        <v>3.313032284074886</v>
      </c>
      <c r="D22" s="123">
        <f>('Water Heaters Purchased'!D6*'Capital Cost'!$E5)/1000000</f>
        <v>3.309482060026256</v>
      </c>
      <c r="E22" s="123">
        <f>('Water Heaters Purchased'!E6*'Capital Cost'!$E5)/1000000</f>
        <v>3.3053585091616027</v>
      </c>
      <c r="F22" s="123">
        <f>('Water Heaters Purchased'!F6*'Capital Cost'!$E5)/1000000</f>
        <v>3.3002771570437717</v>
      </c>
      <c r="G22" s="123">
        <f>('Water Heaters Purchased'!G6*'Capital Cost'!$E5)/1000000</f>
        <v>3.2936936181813876</v>
      </c>
      <c r="H22" s="123">
        <f>('Water Heaters Purchased'!H6*'Capital Cost'!$E5)/1000000</f>
        <v>3.28487648333765</v>
      </c>
      <c r="I22" s="123">
        <f>('Water Heaters Purchased'!I6*'Capital Cost'!$E5)/1000000</f>
        <v>3.2728932937377109</v>
      </c>
      <c r="J22" s="123">
        <f>('Water Heaters Purchased'!J6*'Capital Cost'!$E5)/1000000</f>
        <v>3.2566178910245611</v>
      </c>
      <c r="K22" s="123">
        <f>('Water Heaters Purchased'!K6*'Capital Cost'!$E5)/1000000</f>
        <v>3.2347668838596362</v>
      </c>
      <c r="L22" s="123">
        <f>('Water Heaters Purchased'!L6*'Capital Cost'!$E5)/1000000</f>
        <v>3.2059704115785244</v>
      </c>
      <c r="M22" s="123">
        <f>('Water Heaters Purchased'!M6*'Capital Cost'!$E5)/1000000</f>
        <v>3.1688774181047124</v>
      </c>
      <c r="N22" s="123">
        <f>('Water Heaters Purchased'!N6*'Capital Cost'!$E5)/1000000</f>
        <v>3.1222884640425694</v>
      </c>
      <c r="O22" s="123">
        <f>('Water Heaters Purchased'!O6*'Capital Cost'!$E5)/1000000</f>
        <v>3.0653008618707211</v>
      </c>
      <c r="P22" s="123">
        <f>('Water Heaters Purchased'!P6*'Capital Cost'!$E5)/1000000</f>
        <v>2.9974438657095845</v>
      </c>
      <c r="Q22" s="123">
        <f>('Water Heaters Purchased'!Q6*'Capital Cost'!$E5)/1000000</f>
        <v>2.9187786315806679</v>
      </c>
      <c r="R22" s="123">
        <f>('Water Heaters Purchased'!R6*'Capital Cost'!$E5)/1000000</f>
        <v>2.8299409753202518</v>
      </c>
      <c r="S22" s="123">
        <f>('Water Heaters Purchased'!S6*'Capital Cost'!$E5)/1000000</f>
        <v>2.7321149321791829</v>
      </c>
      <c r="T22" s="123">
        <f>('Water Heaters Purchased'!T6*'Capital Cost'!$E5)/1000000</f>
        <v>2.6269394080334236</v>
      </c>
      <c r="U22" s="123">
        <f>('Water Heaters Purchased'!U6*'Capital Cost'!$E5)/1000000</f>
        <v>2.5163643839364336</v>
      </c>
      <c r="V22" s="123">
        <f>('Water Heaters Purchased'!V6*'Capital Cost'!$E5)/1000000</f>
        <v>2.4024825985832576</v>
      </c>
      <c r="W22" s="123">
        <f>('Water Heaters Purchased'!W6*'Capital Cost'!$E5)/1000000</f>
        <v>2.2873647239181469</v>
      </c>
    </row>
    <row r="23" spans="1:23">
      <c r="A23" s="9" t="str">
        <f>'Water Heaters Purchased'!A7</f>
        <v>HPWH</v>
      </c>
      <c r="B23" s="123">
        <f>('Water Heaters Purchased'!B7*'Capital Cost'!$E6)/1000000</f>
        <v>0</v>
      </c>
      <c r="C23" s="123">
        <f>('Water Heaters Purchased'!C7*'Capital Cost'!$E6)/1000000</f>
        <v>1.1635608170827703E-3</v>
      </c>
      <c r="D23" s="123">
        <f>('Water Heaters Purchased'!D7*'Capital Cost'!$E6)/1000000</f>
        <v>2.3256260289229763E-3</v>
      </c>
      <c r="E23" s="123">
        <f>('Water Heaters Purchased'!E7*'Capital Cost'!$E6)/1000000</f>
        <v>4.4192355252452914E-3</v>
      </c>
      <c r="F23" s="123">
        <f>('Water Heaters Purchased'!F7*'Capital Cost'!$E6)/1000000</f>
        <v>8.0125395460832124E-3</v>
      </c>
      <c r="G23" s="123">
        <f>('Water Heaters Purchased'!G7*'Capital Cost'!$E6)/1000000</f>
        <v>1.3906829072465187E-2</v>
      </c>
      <c r="H23" s="123">
        <f>('Water Heaters Purchased'!H7*'Capital Cost'!$E6)/1000000</f>
        <v>2.3174192227906985E-2</v>
      </c>
      <c r="I23" s="123">
        <f>('Water Heaters Purchased'!I7*'Capital Cost'!$E6)/1000000</f>
        <v>3.7175195319329474E-2</v>
      </c>
      <c r="J23" s="123">
        <f>('Water Heaters Purchased'!J7*'Capital Cost'!$E6)/1000000</f>
        <v>5.7544611481743314E-2</v>
      </c>
      <c r="K23" s="123">
        <f>('Water Heaters Purchased'!K7*'Capital Cost'!$E6)/1000000</f>
        <v>8.6134253154195761E-2</v>
      </c>
      <c r="L23" s="123">
        <f>('Water Heaters Purchased'!L7*'Capital Cost'!$E6)/1000000</f>
        <v>0.1249059518919928</v>
      </c>
      <c r="M23" s="123">
        <f>('Water Heaters Purchased'!M7*'Capital Cost'!$E6)/1000000</f>
        <v>0.17577518227535813</v>
      </c>
      <c r="N23" s="123">
        <f>('Water Heaters Purchased'!N7*'Capital Cost'!$E6)/1000000</f>
        <v>0.24041638666235907</v>
      </c>
      <c r="O23" s="123">
        <f>('Water Heaters Purchased'!O7*'Capital Cost'!$E6)/1000000</f>
        <v>0.32005294794600164</v>
      </c>
      <c r="P23" s="123">
        <f>('Water Heaters Purchased'!P7*'Capital Cost'!$E6)/1000000</f>
        <v>0.41526465641859955</v>
      </c>
      <c r="Q23" s="123">
        <f>('Water Heaters Purchased'!Q7*'Capital Cost'!$E6)/1000000</f>
        <v>0.52584931004199431</v>
      </c>
      <c r="R23" s="123">
        <f>('Water Heaters Purchased'!R7*'Capital Cost'!$E6)/1000000</f>
        <v>0.65076958151582065</v>
      </c>
      <c r="S23" s="123">
        <f>('Water Heaters Purchased'!S7*'Capital Cost'!$E6)/1000000</f>
        <v>0.78820120408172167</v>
      </c>
      <c r="T23" s="123">
        <f>('Water Heaters Purchased'!T7*'Capital Cost'!$E6)/1000000</f>
        <v>0.93567751118598963</v>
      </c>
      <c r="U23" s="123">
        <f>('Water Heaters Purchased'!U7*'Capital Cost'!$E6)/1000000</f>
        <v>1.0903049508065183</v>
      </c>
      <c r="V23" s="123">
        <f>('Water Heaters Purchased'!V7*'Capital Cost'!$E6)/1000000</f>
        <v>1.249011003172239</v>
      </c>
      <c r="W23" s="123">
        <f>('Water Heaters Purchased'!W7*'Capital Cost'!$E6)/1000000</f>
        <v>1.4087836303859671</v>
      </c>
    </row>
    <row r="24" spans="1:23">
      <c r="A24" s="9" t="str">
        <f>'Water Heaters Purchased'!A8</f>
        <v>Gas Tank</v>
      </c>
      <c r="B24" s="123">
        <f>('Water Heaters Purchased'!B8*'Capital Cost'!$E7)/1000000</f>
        <v>0</v>
      </c>
      <c r="C24" s="123">
        <f>('Water Heaters Purchased'!C8*'Capital Cost'!$E7)/1000000</f>
        <v>1.5105555791236638</v>
      </c>
      <c r="D24" s="123">
        <f>('Water Heaters Purchased'!D8*'Capital Cost'!$E7)/1000000</f>
        <v>1.5136100241578845</v>
      </c>
      <c r="E24" s="123">
        <f>('Water Heaters Purchased'!E8*'Capital Cost'!$E7)/1000000</f>
        <v>1.5163099709278587</v>
      </c>
      <c r="F24" s="123">
        <f>('Water Heaters Purchased'!F8*'Capital Cost'!$E7)/1000000</f>
        <v>1.5184755720182916</v>
      </c>
      <c r="G24" s="123">
        <f>('Water Heaters Purchased'!G8*'Capital Cost'!$E7)/1000000</f>
        <v>1.5198512545082825</v>
      </c>
      <c r="H24" s="123">
        <f>('Water Heaters Purchased'!H8*'Capital Cost'!$E7)/1000000</f>
        <v>1.5200922237051899</v>
      </c>
      <c r="I24" s="123">
        <f>('Water Heaters Purchased'!I8*'Capital Cost'!$E7)/1000000</f>
        <v>1.5187568936682132</v>
      </c>
      <c r="J24" s="123">
        <f>('Water Heaters Purchased'!J8*'Capital Cost'!$E7)/1000000</f>
        <v>1.5153092326562936</v>
      </c>
      <c r="K24" s="123">
        <f>('Water Heaters Purchased'!K8*'Capital Cost'!$E7)/1000000</f>
        <v>1.5091348285088984</v>
      </c>
      <c r="L24" s="123">
        <f>('Water Heaters Purchased'!L8*'Capital Cost'!$E7)/1000000</f>
        <v>1.4995733404320593</v>
      </c>
      <c r="M24" s="123">
        <f>('Water Heaters Purchased'!M8*'Capital Cost'!$E7)/1000000</f>
        <v>1.4859677015749262</v>
      </c>
      <c r="N24" s="123">
        <f>('Water Heaters Purchased'!N8*'Capital Cost'!$E7)/1000000</f>
        <v>1.4677270349709683</v>
      </c>
      <c r="O24" s="123">
        <f>('Water Heaters Purchased'!O8*'Capital Cost'!$E7)/1000000</f>
        <v>1.4443962715809333</v>
      </c>
      <c r="P24" s="123">
        <f>('Water Heaters Purchased'!P8*'Capital Cost'!$E7)/1000000</f>
        <v>1.415721971872778</v>
      </c>
      <c r="Q24" s="123">
        <f>('Water Heaters Purchased'!Q8*'Capital Cost'!$E7)/1000000</f>
        <v>1.3817022230174605</v>
      </c>
      <c r="R24" s="123">
        <f>('Water Heaters Purchased'!R8*'Capital Cost'!$E7)/1000000</f>
        <v>1.3426098495514986</v>
      </c>
      <c r="S24" s="123">
        <f>('Water Heaters Purchased'!S8*'Capital Cost'!$E7)/1000000</f>
        <v>1.2989827659468709</v>
      </c>
      <c r="T24" s="123">
        <f>('Water Heaters Purchased'!T8*'Capital Cost'!$E7)/1000000</f>
        <v>1.2515820545066072</v>
      </c>
      <c r="U24" s="123">
        <f>('Water Heaters Purchased'!U8*'Capital Cost'!$E7)/1000000</f>
        <v>1.2013251890931651</v>
      </c>
      <c r="V24" s="123">
        <f>('Water Heaters Purchased'!V8*'Capital Cost'!$E7)/1000000</f>
        <v>1.1492065275735099</v>
      </c>
      <c r="W24" s="123">
        <f>('Water Heaters Purchased'!W8*'Capital Cost'!$E7)/1000000</f>
        <v>1.0962184264612145</v>
      </c>
    </row>
    <row r="25" spans="1:23">
      <c r="A25" s="9" t="str">
        <f>'Water Heaters Purchased'!A9</f>
        <v>Instant Gas</v>
      </c>
      <c r="B25" s="123">
        <f>('Water Heaters Purchased'!B9*'Capital Cost'!$E8)/1000000</f>
        <v>0</v>
      </c>
      <c r="C25" s="123">
        <f>('Water Heaters Purchased'!C9*'Capital Cost'!$E8)/1000000</f>
        <v>7.2317988532075335E-4</v>
      </c>
      <c r="D25" s="123">
        <f>('Water Heaters Purchased'!D9*'Capital Cost'!$E8)/1000000</f>
        <v>1.4548675167184721E-3</v>
      </c>
      <c r="E25" s="123">
        <f>('Water Heaters Purchased'!E9*'Capital Cost'!$E8)/1000000</f>
        <v>2.7826746582915868E-3</v>
      </c>
      <c r="F25" s="123">
        <f>('Water Heaters Purchased'!F9*'Capital Cost'!$E8)/1000000</f>
        <v>5.0783463554235119E-3</v>
      </c>
      <c r="G25" s="123">
        <f>('Water Heaters Purchased'!G9*'Capital Cost'!$E8)/1000000</f>
        <v>8.8720085461953171E-3</v>
      </c>
      <c r="H25" s="123">
        <f>('Water Heaters Purchased'!H9*'Capital Cost'!$E8)/1000000</f>
        <v>1.4881431956433103E-2</v>
      </c>
      <c r="I25" s="123">
        <f>('Water Heaters Purchased'!I9*'Capital Cost'!$E8)/1000000</f>
        <v>2.4029457164586564E-2</v>
      </c>
      <c r="J25" s="123">
        <f>('Water Heaters Purchased'!J9*'Capital Cost'!$E8)/1000000</f>
        <v>3.7441217547646899E-2</v>
      </c>
      <c r="K25" s="123">
        <f>('Water Heaters Purchased'!K9*'Capital Cost'!$E8)/1000000</f>
        <v>5.641304251930012E-2</v>
      </c>
      <c r="L25" s="123">
        <f>('Water Heaters Purchased'!L9*'Capital Cost'!$E8)/1000000</f>
        <v>8.2347142625118386E-2</v>
      </c>
      <c r="M25" s="123">
        <f>('Water Heaters Purchased'!M9*'Capital Cost'!$E8)/1000000</f>
        <v>0.1166508411552762</v>
      </c>
      <c r="N25" s="123">
        <f>('Water Heaters Purchased'!N9*'Capital Cost'!$E8)/1000000</f>
        <v>0.1606061426584493</v>
      </c>
      <c r="O25" s="123">
        <f>('Water Heaters Purchased'!O9*'Capital Cost'!$E8)/1000000</f>
        <v>0.21522377158825415</v>
      </c>
      <c r="P25" s="123">
        <f>('Water Heaters Purchased'!P9*'Capital Cost'!$E8)/1000000</f>
        <v>0.28110330075055889</v>
      </c>
      <c r="Q25" s="123">
        <f>('Water Heaters Purchased'!Q9*'Capital Cost'!$E8)/1000000</f>
        <v>0.35832474352129184</v>
      </c>
      <c r="R25" s="123">
        <f>('Water Heaters Purchased'!R9*'Capital Cost'!$E8)/1000000</f>
        <v>0.44639455298893588</v>
      </c>
      <c r="S25" s="123">
        <f>('Water Heaters Purchased'!S9*'Capital Cost'!$E8)/1000000</f>
        <v>0.54425974491617057</v>
      </c>
      <c r="T25" s="123">
        <f>('Water Heaters Purchased'!T9*'Capital Cost'!$E8)/1000000</f>
        <v>0.65038992121327477</v>
      </c>
      <c r="U25" s="123">
        <f>('Water Heaters Purchased'!U9*'Capital Cost'!$E8)/1000000</f>
        <v>0.76291259406678924</v>
      </c>
      <c r="V25" s="123">
        <f>('Water Heaters Purchased'!V9*'Capital Cost'!$E8)/1000000</f>
        <v>0.87977705831869757</v>
      </c>
      <c r="W25" s="123">
        <f>('Water Heaters Purchased'!W9*'Capital Cost'!$E8)/1000000</f>
        <v>0.99891904288425681</v>
      </c>
    </row>
    <row r="26" spans="1:23">
      <c r="A26" s="9" t="str">
        <f>'Water Heaters Purchased'!A10</f>
        <v>Condensing Gas</v>
      </c>
      <c r="B26" s="123">
        <f>('Water Heaters Purchased'!B10*'Capital Cost'!$E9)/1000000</f>
        <v>0</v>
      </c>
      <c r="C26" s="123">
        <f>('Water Heaters Purchased'!C10*'Capital Cost'!$E9)/1000000</f>
        <v>1.6496926208976258E-3</v>
      </c>
      <c r="D26" s="123">
        <f>('Water Heaters Purchased'!D10*'Capital Cost'!$E9)/1000000</f>
        <v>3.312313982174729E-3</v>
      </c>
      <c r="E26" s="123">
        <f>('Water Heaters Purchased'!E10*'Capital Cost'!$E9)/1000000</f>
        <v>6.3228815814774138E-3</v>
      </c>
      <c r="F26" s="123">
        <f>('Water Heaters Purchased'!F10*'Capital Cost'!$E9)/1000000</f>
        <v>1.151629335429972E-2</v>
      </c>
      <c r="G26" s="123">
        <f>('Water Heaters Purchased'!G10*'Capital Cost'!$E9)/1000000</f>
        <v>2.0079059964646467E-2</v>
      </c>
      <c r="H26" s="123">
        <f>('Water Heaters Purchased'!H10*'Capital Cost'!$E9)/1000000</f>
        <v>3.3611695939863753E-2</v>
      </c>
      <c r="I26" s="123">
        <f>('Water Heaters Purchased'!I10*'Capital Cost'!$E9)/1000000</f>
        <v>5.4163561646861827E-2</v>
      </c>
      <c r="J26" s="123">
        <f>('Water Heaters Purchased'!J10*'Capital Cost'!$E9)/1000000</f>
        <v>8.4221711622273321E-2</v>
      </c>
      <c r="K26" s="123">
        <f>('Water Heaters Purchased'!K10*'Capital Cost'!$E9)/1000000</f>
        <v>0.12663617538031721</v>
      </c>
      <c r="L26" s="123">
        <f>('Water Heaters Purchased'!L10*'Capital Cost'!$E9)/1000000</f>
        <v>0.18446938512747513</v>
      </c>
      <c r="M26" s="123">
        <f>('Water Heaters Purchased'!M10*'Capital Cost'!$E9)/1000000</f>
        <v>0.26076812949945638</v>
      </c>
      <c r="N26" s="123">
        <f>('Water Heaters Purchased'!N10*'Capital Cost'!$E9)/1000000</f>
        <v>0.35827215425652059</v>
      </c>
      <c r="O26" s="123">
        <f>('Water Heaters Purchased'!O10*'Capital Cost'!$E9)/1000000</f>
        <v>0.4790919054207512</v>
      </c>
      <c r="P26" s="123">
        <f>('Water Heaters Purchased'!P10*'Capital Cost'!$E9)/1000000</f>
        <v>0.6244040194591064</v>
      </c>
      <c r="Q26" s="123">
        <f>('Water Heaters Purchased'!Q10*'Capital Cost'!$E9)/1000000</f>
        <v>0.79422066727196916</v>
      </c>
      <c r="R26" s="123">
        <f>('Water Heaters Purchased'!R10*'Capital Cost'!$E9)/1000000</f>
        <v>0.98728250086613711</v>
      </c>
      <c r="S26" s="123">
        <f>('Water Heaters Purchased'!S10*'Capital Cost'!$E9)/1000000</f>
        <v>1.2011036823300576</v>
      </c>
      <c r="T26" s="123">
        <f>('Water Heaters Purchased'!T10*'Capital Cost'!$E9)/1000000</f>
        <v>1.4321662104762032</v>
      </c>
      <c r="U26" s="123">
        <f>('Water Heaters Purchased'!U10*'Capital Cost'!$E9)/1000000</f>
        <v>1.6762291392988404</v>
      </c>
      <c r="V26" s="123">
        <f>('Water Heaters Purchased'!V10*'Capital Cost'!$E9)/1000000</f>
        <v>1.9286965562318412</v>
      </c>
      <c r="W26" s="123">
        <f>('Water Heaters Purchased'!W10*'Capital Cost'!$E9)/1000000</f>
        <v>2.1849825321992711</v>
      </c>
    </row>
    <row r="27" spans="1:23">
      <c r="A27" s="12"/>
    </row>
    <row r="28" spans="1:23">
      <c r="A28" s="12" t="s">
        <v>119</v>
      </c>
    </row>
    <row r="29" spans="1:23">
      <c r="A29" s="14" t="str">
        <f>'Energy Usage'!A16</f>
        <v>Water Heat Ending</v>
      </c>
      <c r="B29" s="9">
        <f>'Water Heater Stock'!B13</f>
        <v>2014</v>
      </c>
      <c r="C29" s="9">
        <f>'Water Heater Stock'!C13</f>
        <v>2015</v>
      </c>
      <c r="D29" s="9">
        <f>'Water Heater Stock'!D13</f>
        <v>2016</v>
      </c>
      <c r="E29" s="9">
        <f>'Water Heater Stock'!E13</f>
        <v>2017</v>
      </c>
      <c r="F29" s="9">
        <f>'Water Heater Stock'!F13</f>
        <v>2018</v>
      </c>
      <c r="G29" s="9">
        <f>'Water Heater Stock'!G13</f>
        <v>2019</v>
      </c>
      <c r="H29" s="9">
        <f>'Water Heater Stock'!H13</f>
        <v>2020</v>
      </c>
      <c r="I29" s="9">
        <f>'Water Heater Stock'!I13</f>
        <v>2021</v>
      </c>
      <c r="J29" s="9">
        <f>'Water Heater Stock'!J13</f>
        <v>2022</v>
      </c>
      <c r="K29" s="9">
        <f>'Water Heater Stock'!K13</f>
        <v>2023</v>
      </c>
      <c r="L29" s="9">
        <f>'Water Heater Stock'!L13</f>
        <v>2024</v>
      </c>
      <c r="M29" s="9">
        <f>'Water Heater Stock'!M13</f>
        <v>2025</v>
      </c>
      <c r="N29" s="9">
        <f>'Water Heater Stock'!N13</f>
        <v>2026</v>
      </c>
      <c r="O29" s="9">
        <f>'Water Heater Stock'!O13</f>
        <v>2027</v>
      </c>
      <c r="P29" s="9">
        <f>'Water Heater Stock'!P13</f>
        <v>2028</v>
      </c>
      <c r="Q29" s="9">
        <f>'Water Heater Stock'!Q13</f>
        <v>2029</v>
      </c>
      <c r="R29" s="9">
        <f>'Water Heater Stock'!R13</f>
        <v>2030</v>
      </c>
      <c r="S29" s="9">
        <f>'Water Heater Stock'!S13</f>
        <v>2031</v>
      </c>
      <c r="T29" s="9">
        <f>'Water Heater Stock'!T13</f>
        <v>2032</v>
      </c>
      <c r="U29" s="9">
        <f>'Water Heater Stock'!U13</f>
        <v>2033</v>
      </c>
      <c r="V29" s="9">
        <f>'Water Heater Stock'!V13</f>
        <v>2034</v>
      </c>
      <c r="W29" s="9">
        <f>'Water Heater Stock'!W13</f>
        <v>2035</v>
      </c>
    </row>
    <row r="30" spans="1:23" ht="16.5" thickBot="1">
      <c r="A30" s="48" t="s">
        <v>49</v>
      </c>
      <c r="B30" s="129">
        <f t="shared" ref="B30:W30" si="8">SUM(B31:B35)</f>
        <v>0.45503913829745152</v>
      </c>
      <c r="C30" s="129">
        <f t="shared" si="8"/>
        <v>0.47334339658214075</v>
      </c>
      <c r="D30" s="129">
        <f t="shared" si="8"/>
        <v>0.49040454855440851</v>
      </c>
      <c r="E30" s="129">
        <f t="shared" si="8"/>
        <v>0.50632931920917679</v>
      </c>
      <c r="F30" s="129">
        <f t="shared" si="8"/>
        <v>0.52122841628041761</v>
      </c>
      <c r="G30" s="129">
        <f t="shared" si="8"/>
        <v>0.53522114814187749</v>
      </c>
      <c r="H30" s="129">
        <f t="shared" si="8"/>
        <v>0.5484405908350537</v>
      </c>
      <c r="I30" s="129">
        <f t="shared" si="8"/>
        <v>0.5610388860227864</v>
      </c>
      <c r="J30" s="129">
        <f t="shared" si="8"/>
        <v>0.57319202435293781</v>
      </c>
      <c r="K30" s="129">
        <f t="shared" si="8"/>
        <v>0.58510326855189065</v>
      </c>
      <c r="L30" s="129">
        <f t="shared" si="8"/>
        <v>0.59700425692747761</v>
      </c>
      <c r="M30" s="129">
        <f t="shared" si="8"/>
        <v>0.60915286965264481</v>
      </c>
      <c r="N30" s="129">
        <f t="shared" si="8"/>
        <v>0.62182719742303061</v>
      </c>
      <c r="O30" s="129">
        <f t="shared" si="8"/>
        <v>0.6353154472090099</v>
      </c>
      <c r="P30" s="129">
        <f t="shared" si="8"/>
        <v>0.64990230576303598</v>
      </c>
      <c r="Q30" s="129">
        <f t="shared" si="8"/>
        <v>0.66585302615199604</v>
      </c>
      <c r="R30" s="129">
        <f t="shared" si="8"/>
        <v>0.68339710929262087</v>
      </c>
      <c r="S30" s="129">
        <f t="shared" si="8"/>
        <v>0.70271372291705558</v>
      </c>
      <c r="T30" s="129">
        <f t="shared" si="8"/>
        <v>0.7239208176490699</v>
      </c>
      <c r="U30" s="129">
        <f t="shared" si="8"/>
        <v>0.74706928891816737</v>
      </c>
      <c r="V30" s="129">
        <f t="shared" si="8"/>
        <v>0.77214266053385361</v>
      </c>
      <c r="W30" s="129">
        <f t="shared" si="8"/>
        <v>0.799061872348233</v>
      </c>
    </row>
    <row r="31" spans="1:23" ht="16.5" thickTop="1">
      <c r="A31" s="9" t="str">
        <f>'Energy Usage'!A18</f>
        <v>Electric Resistance</v>
      </c>
      <c r="B31" s="123">
        <f>'Water Heater Stock'!B6*'O&amp;M Cost'!$D5/1000000</f>
        <v>0.45503913829745152</v>
      </c>
      <c r="C31" s="123">
        <f>'Water Heater Stock'!C6*'O&amp;M Cost'!$D5/1000000</f>
        <v>0.44624376839211738</v>
      </c>
      <c r="D31" s="123">
        <f>'Water Heater Stock'!D6*'O&amp;M Cost'!$D5/1000000</f>
        <v>0.43805123446969546</v>
      </c>
      <c r="E31" s="123">
        <f>'Water Heater Stock'!E6*'O&amp;M Cost'!$D5/1000000</f>
        <v>0.43041437420002554</v>
      </c>
      <c r="F31" s="123">
        <f>'Water Heater Stock'!F6*'O&amp;M Cost'!$D5/1000000</f>
        <v>0.42328664276524175</v>
      </c>
      <c r="G31" s="123">
        <f>'Water Heater Stock'!G6*'O&amp;M Cost'!$D5/1000000</f>
        <v>0.41662092445881738</v>
      </c>
      <c r="H31" s="123">
        <f>'Water Heater Stock'!H6*'O&amp;M Cost'!$D5/1000000</f>
        <v>0.41036823515715654</v>
      </c>
      <c r="I31" s="123">
        <f>'Water Heater Stock'!I6*'O&amp;M Cost'!$D5/1000000</f>
        <v>0.40447641710589544</v>
      </c>
      <c r="J31" s="123">
        <f>'Water Heater Stock'!J6*'O&amp;M Cost'!$D5/1000000</f>
        <v>0.39888897953063318</v>
      </c>
      <c r="K31" s="123">
        <f>'Water Heater Stock'!K6*'O&amp;M Cost'!$D5/1000000</f>
        <v>0.39354428300920496</v>
      </c>
      <c r="L31" s="123">
        <f>'Water Heater Stock'!L6*'O&amp;M Cost'!$D5/1000000</f>
        <v>0.38837528847427022</v>
      </c>
      <c r="M31" s="123">
        <f>'Water Heater Stock'!M6*'O&amp;M Cost'!$D5/1000000</f>
        <v>0.3833100774642903</v>
      </c>
      <c r="N31" s="123">
        <f>'Water Heater Stock'!N6*'O&amp;M Cost'!$D5/1000000</f>
        <v>0.37827328559166989</v>
      </c>
      <c r="O31" s="123">
        <f>'Water Heater Stock'!O6*'O&amp;M Cost'!$D5/1000000</f>
        <v>0.373188472180016</v>
      </c>
      <c r="P31" s="123">
        <f>'Water Heater Stock'!P6*'O&amp;M Cost'!$D5/1000000</f>
        <v>0.36798128803372532</v>
      </c>
      <c r="Q31" s="123">
        <f>'Water Heater Stock'!Q6*'O&amp;M Cost'!$D5/1000000</f>
        <v>0.36258313223482275</v>
      </c>
      <c r="R31" s="123">
        <f>'Water Heater Stock'!R6*'O&amp;M Cost'!$D5/1000000</f>
        <v>0.35693485370748063</v>
      </c>
      <c r="S31" s="123">
        <f>'Water Heater Stock'!S6*'O&amp;M Cost'!$D5/1000000</f>
        <v>0.35098999918262497</v>
      </c>
      <c r="T31" s="123">
        <f>'Water Heater Stock'!T6*'O&amp;M Cost'!$D5/1000000</f>
        <v>0.34471716117897588</v>
      </c>
      <c r="U31" s="123">
        <f>'Water Heater Stock'!U6*'O&amp;M Cost'!$D5/1000000</f>
        <v>0.3381011292984229</v>
      </c>
      <c r="V31" s="123">
        <f>'Water Heater Stock'!V6*'O&amp;M Cost'!$D5/1000000</f>
        <v>0.33114275483790567</v>
      </c>
      <c r="W31" s="123">
        <f>'Water Heater Stock'!W6*'O&amp;M Cost'!$D5/1000000</f>
        <v>0.32385764562003178</v>
      </c>
    </row>
    <row r="32" spans="1:23">
      <c r="A32" s="9" t="str">
        <f>'Energy Usage'!A19</f>
        <v>HPWH</v>
      </c>
      <c r="B32" s="123">
        <f>'Water Heater Stock'!B7*'O&amp;M Cost'!$D6/1000000</f>
        <v>0</v>
      </c>
      <c r="C32" s="123">
        <f>'Water Heater Stock'!C7*'O&amp;M Cost'!$D6/1000000</f>
        <v>7.0083083330992815E-6</v>
      </c>
      <c r="D32" s="123">
        <f>'Water Heater Stock'!D7*'O&amp;M Cost'!$D6/1000000</f>
        <v>2.0515323283222254E-5</v>
      </c>
      <c r="E32" s="123">
        <f>'Water Heater Stock'!E7*'O&amp;M Cost'!$D6/1000000</f>
        <v>4.5667688079993219E-5</v>
      </c>
      <c r="F32" s="123">
        <f>'Water Heater Stock'!F7*'O&amp;M Cost'!$D6/1000000</f>
        <v>9.0666486114621025E-5</v>
      </c>
      <c r="G32" s="123">
        <f>'Water Heater Stock'!G7*'O&amp;M Cost'!$D6/1000000</f>
        <v>1.679533096988817E-4</v>
      </c>
      <c r="H32" s="123">
        <f>'Water Heater Stock'!H7*'O&amp;M Cost'!$D6/1000000</f>
        <v>2.9553842000814624E-4</v>
      </c>
      <c r="I32" s="123">
        <f>'Water Heater Stock'!I7*'O&amp;M Cost'!$D6/1000000</f>
        <v>4.9834053412498773E-4</v>
      </c>
      <c r="J32" s="123">
        <f>'Water Heater Stock'!J7*'O&amp;M Cost'!$D6/1000000</f>
        <v>8.0934495440864861E-4</v>
      </c>
      <c r="K32" s="123">
        <f>'Water Heater Stock'!K7*'O&amp;M Cost'!$D6/1000000</f>
        <v>1.2703346454218107E-3</v>
      </c>
      <c r="L32" s="123">
        <f>'Water Heater Stock'!L7*'O&amp;M Cost'!$D6/1000000</f>
        <v>1.9319244917892437E-3</v>
      </c>
      <c r="M32" s="123">
        <f>'Water Heater Stock'!M7*'O&amp;M Cost'!$D6/1000000</f>
        <v>2.8526512314715393E-3</v>
      </c>
      <c r="N32" s="123">
        <f>'Water Heater Stock'!N7*'O&amp;M Cost'!$D6/1000000</f>
        <v>4.0969558344198121E-3</v>
      </c>
      <c r="O32" s="123">
        <f>'Water Heater Stock'!O7*'O&amp;M Cost'!$D6/1000000</f>
        <v>5.7320449701895671E-3</v>
      </c>
      <c r="P32" s="123">
        <f>'Water Heater Stock'!P7*'O&amp;M Cost'!$D6/1000000</f>
        <v>7.8238169993255068E-3</v>
      </c>
      <c r="Q32" s="123">
        <f>'Water Heater Stock'!Q7*'O&amp;M Cost'!$D6/1000000</f>
        <v>1.0432245362196965E-2</v>
      </c>
      <c r="R32" s="123">
        <f>'Water Heater Stock'!R7*'O&amp;M Cost'!$D6/1000000</f>
        <v>1.3606771697836318E-2</v>
      </c>
      <c r="S32" s="123">
        <f>'Water Heater Stock'!S7*'O&amp;M Cost'!$D6/1000000</f>
        <v>1.738231825633399E-2</v>
      </c>
      <c r="T32" s="123">
        <f>'Water Heater Stock'!T7*'O&amp;M Cost'!$D6/1000000</f>
        <v>2.1776455723857814E-2</v>
      </c>
      <c r="U32" s="123">
        <f>'Water Heater Stock'!U7*'O&amp;M Cost'!$D6/1000000</f>
        <v>2.6788071422299768E-2</v>
      </c>
      <c r="V32" s="123">
        <f>'Water Heater Stock'!V7*'O&amp;M Cost'!$D6/1000000</f>
        <v>3.2397625884622222E-2</v>
      </c>
      <c r="W32" s="123">
        <f>'Water Heater Stock'!W7*'O&amp;M Cost'!$D6/1000000</f>
        <v>3.8568833345829619E-2</v>
      </c>
    </row>
    <row r="33" spans="1:23">
      <c r="A33" s="45" t="str">
        <f>'Energy Usage'!A20</f>
        <v>Gas Tank</v>
      </c>
      <c r="B33" s="123">
        <f>'Water Heater Stock'!B8*'O&amp;M Cost'!$D7/1000000</f>
        <v>0</v>
      </c>
      <c r="C33" s="123">
        <f>'Water Heater Stock'!C8*'O&amp;M Cost'!$D7/1000000</f>
        <v>2.7064875646231324E-2</v>
      </c>
      <c r="D33" s="123">
        <f>'Water Heater Stock'!D8*'O&amp;M Cost'!$D7/1000000</f>
        <v>5.2251272889054977E-2</v>
      </c>
      <c r="E33" s="123">
        <f>'Water Heater Stock'!E8*'O&amp;M Cost'!$D7/1000000</f>
        <v>7.5687017152901798E-2</v>
      </c>
      <c r="F33" s="123">
        <f>'Water Heater Stock'!F8*'O&amp;M Cost'!$D7/1000000</f>
        <v>9.7487581118679376E-2</v>
      </c>
      <c r="G33" s="123">
        <f>'Water Heater Stock'!G8*'O&amp;M Cost'!$D7/1000000</f>
        <v>0.11775561027611151</v>
      </c>
      <c r="H33" s="123">
        <f>'Water Heater Stock'!H8*'O&amp;M Cost'!$D7/1000000</f>
        <v>0.13658024055035048</v>
      </c>
      <c r="I33" s="123">
        <f>'Water Heater Stock'!I8*'O&amp;M Cost'!$D7/1000000</f>
        <v>0.15403632904597703</v>
      </c>
      <c r="J33" s="123">
        <f>'Water Heater Stock'!J8*'O&amp;M Cost'!$D7/1000000</f>
        <v>0.17018378176163765</v>
      </c>
      <c r="K33" s="123">
        <f>'Water Heater Stock'!K8*'O&amp;M Cost'!$D7/1000000</f>
        <v>0.18506721717116589</v>
      </c>
      <c r="L33" s="123">
        <f>'Water Heater Stock'!L8*'O&amp;M Cost'!$D7/1000000</f>
        <v>0.19871623527867308</v>
      </c>
      <c r="M33" s="123">
        <f>'Water Heater Stock'!M8*'O&amp;M Cost'!$D7/1000000</f>
        <v>0.21114654902616928</v>
      </c>
      <c r="N33" s="123">
        <f>'Water Heater Stock'!N8*'O&amp;M Cost'!$D7/1000000</f>
        <v>0.22236216216174104</v>
      </c>
      <c r="O33" s="123">
        <f>'Water Heater Stock'!O8*'O&amp;M Cost'!$D7/1000000</f>
        <v>0.2323586389037752</v>
      </c>
      <c r="P33" s="123">
        <f>'Water Heater Stock'!P8*'O&amp;M Cost'!$D7/1000000</f>
        <v>0.24112731939393819</v>
      </c>
      <c r="Q33" s="123">
        <f>'Water Heater Stock'!Q8*'O&amp;M Cost'!$D7/1000000</f>
        <v>0.24866012806272975</v>
      </c>
      <c r="R33" s="123">
        <f>'Water Heater Stock'!R8*'O&amp;M Cost'!$D7/1000000</f>
        <v>0.25495445440965731</v>
      </c>
      <c r="S33" s="123">
        <f>'Water Heater Stock'!S8*'O&amp;M Cost'!$D7/1000000</f>
        <v>0.26001751230164522</v>
      </c>
      <c r="T33" s="123">
        <f>'Water Heater Stock'!T8*'O&amp;M Cost'!$D7/1000000</f>
        <v>0.26386963676766539</v>
      </c>
      <c r="U33" s="123">
        <f>'Water Heater Stock'!U8*'O&amp;M Cost'!$D7/1000000</f>
        <v>0.26654614886646888</v>
      </c>
      <c r="V33" s="123">
        <f>'Water Heater Stock'!V8*'O&amp;M Cost'!$D7/1000000</f>
        <v>0.26809766279938813</v>
      </c>
      <c r="W33" s="123">
        <f>'Water Heater Stock'!W8*'O&amp;M Cost'!$D7/1000000</f>
        <v>0.26858895768442825</v>
      </c>
    </row>
    <row r="34" spans="1:23">
      <c r="A34" s="44" t="str">
        <f>'Energy Usage'!A21</f>
        <v>Instant Gas</v>
      </c>
      <c r="B34" s="123">
        <f>'Water Heater Stock'!B9*'O&amp;M Cost'!$D8/1000000</f>
        <v>0</v>
      </c>
      <c r="C34" s="123">
        <f>'Water Heater Stock'!C9*'O&amp;M Cost'!$D8/1000000</f>
        <v>1.4631912798082379E-5</v>
      </c>
      <c r="D34" s="123">
        <f>'Water Heater Stock'!D9*'O&amp;M Cost'!$D8/1000000</f>
        <v>4.3022736806116196E-5</v>
      </c>
      <c r="E34" s="123">
        <f>'Water Heater Stock'!E9*'O&amp;M Cost'!$D8/1000000</f>
        <v>9.625082552798688E-5</v>
      </c>
      <c r="F34" s="123">
        <f>'Water Heater Stock'!F9*'O&amp;M Cost'!$D8/1000000</f>
        <v>1.921246434860917E-4</v>
      </c>
      <c r="G34" s="123">
        <f>'Water Heater Stock'!G9*'O&amp;M Cost'!$D8/1000000</f>
        <v>3.5790652391159478E-4</v>
      </c>
      <c r="H34" s="123">
        <f>'Water Heater Stock'!H9*'O&amp;M Cost'!$D8/1000000</f>
        <v>6.3343396118306313E-4</v>
      </c>
      <c r="I34" s="123">
        <f>'Water Heater Stock'!I9*'O&amp;M Cost'!$D8/1000000</f>
        <v>1.0743705106655049E-3</v>
      </c>
      <c r="J34" s="123">
        <f>'Water Heater Stock'!J9*'O&amp;M Cost'!$D8/1000000</f>
        <v>1.7551682939963707E-3</v>
      </c>
      <c r="K34" s="123">
        <f>'Water Heater Stock'!K9*'O&amp;M Cost'!$D8/1000000</f>
        <v>2.7711897240590179E-3</v>
      </c>
      <c r="L34" s="123">
        <f>'Water Heater Stock'!L9*'O&amp;M Cost'!$D8/1000000</f>
        <v>4.239356178486078E-3</v>
      </c>
      <c r="M34" s="123">
        <f>'Water Heater Stock'!M9*'O&amp;M Cost'!$D8/1000000</f>
        <v>6.2967115184537504E-3</v>
      </c>
      <c r="N34" s="123">
        <f>'Water Heater Stock'!N9*'O&amp;M Cost'!$D8/1000000</f>
        <v>9.0964492265326949E-3</v>
      </c>
      <c r="O34" s="123">
        <f>'Water Heater Stock'!O9*'O&amp;M Cost'!$D8/1000000</f>
        <v>1.2801270121844994E-2</v>
      </c>
      <c r="P34" s="123">
        <f>'Water Heater Stock'!P9*'O&amp;M Cost'!$D8/1000000</f>
        <v>1.7574384538953037E-2</v>
      </c>
      <c r="Q34" s="123">
        <f>'Water Heater Stock'!Q9*'O&amp;M Cost'!$D8/1000000</f>
        <v>2.3568963821454694E-2</v>
      </c>
      <c r="R34" s="123">
        <f>'Water Heater Stock'!R9*'O&amp;M Cost'!$D8/1000000</f>
        <v>3.091725269484738E-2</v>
      </c>
      <c r="S34" s="123">
        <f>'Water Heater Stock'!S9*'O&amp;M Cost'!$D8/1000000</f>
        <v>3.9720745073298633E-2</v>
      </c>
      <c r="T34" s="123">
        <f>'Water Heater Stock'!T9*'O&amp;M Cost'!$D8/1000000</f>
        <v>5.0042721154365935E-2</v>
      </c>
      <c r="U34" s="123">
        <f>'Water Heater Stock'!U9*'O&amp;M Cost'!$D8/1000000</f>
        <v>6.1904055556702919E-2</v>
      </c>
      <c r="V34" s="123">
        <f>'Water Heater Stock'!V9*'O&amp;M Cost'!$D8/1000000</f>
        <v>7.5282640464241782E-2</v>
      </c>
      <c r="W34" s="123">
        <f>'Water Heater Stock'!W9*'O&amp;M Cost'!$D8/1000000</f>
        <v>9.0116181324192191E-2</v>
      </c>
    </row>
    <row r="35" spans="1:23">
      <c r="A35" s="45" t="str">
        <f>'Energy Usage'!A22</f>
        <v>Condensing Gas</v>
      </c>
      <c r="B35" s="123">
        <f>'Water Heater Stock'!B10*'O&amp;M Cost'!$D9/1000000</f>
        <v>0</v>
      </c>
      <c r="C35" s="123">
        <f>'Water Heater Stock'!C10*'O&amp;M Cost'!$D9/1000000</f>
        <v>1.3112322660826726E-5</v>
      </c>
      <c r="D35" s="123">
        <f>'Water Heater Stock'!D10*'O&amp;M Cost'!$D9/1000000</f>
        <v>3.8503135568745717E-5</v>
      </c>
      <c r="E35" s="123">
        <f>'Water Heater Stock'!E10*'O&amp;M Cost'!$D9/1000000</f>
        <v>8.6009342641484395E-5</v>
      </c>
      <c r="F35" s="123">
        <f>'Water Heater Stock'!F10*'O&amp;M Cost'!$D9/1000000</f>
        <v>1.7140126689580665E-4</v>
      </c>
      <c r="G35" s="123">
        <f>'Water Heater Stock'!G10*'O&amp;M Cost'!$D9/1000000</f>
        <v>3.1875357333825503E-4</v>
      </c>
      <c r="H35" s="123">
        <f>'Water Heater Stock'!H10*'O&amp;M Cost'!$D9/1000000</f>
        <v>5.6314274635554007E-4</v>
      </c>
      <c r="I35" s="123">
        <f>'Water Heater Stock'!I10*'O&amp;M Cost'!$D9/1000000</f>
        <v>9.5342882612344654E-4</v>
      </c>
      <c r="J35" s="123">
        <f>'Water Heater Stock'!J10*'O&amp;M Cost'!$D9/1000000</f>
        <v>1.5547498122619465E-3</v>
      </c>
      <c r="K35" s="123">
        <f>'Water Heater Stock'!K10*'O&amp;M Cost'!$D9/1000000</f>
        <v>2.4502440020389787E-3</v>
      </c>
      <c r="L35" s="123">
        <f>'Water Heater Stock'!L10*'O&amp;M Cost'!$D9/1000000</f>
        <v>3.741452504259057E-3</v>
      </c>
      <c r="M35" s="123">
        <f>'Water Heater Stock'!M10*'O&amp;M Cost'!$D9/1000000</f>
        <v>5.5468804122599776E-3</v>
      </c>
      <c r="N35" s="123">
        <f>'Water Heater Stock'!N10*'O&amp;M Cost'!$D9/1000000</f>
        <v>7.9983446086671472E-3</v>
      </c>
      <c r="O35" s="123">
        <f>'Water Heater Stock'!O10*'O&amp;M Cost'!$D9/1000000</f>
        <v>1.1235021033184139E-2</v>
      </c>
      <c r="P35" s="123">
        <f>'Water Heater Stock'!P10*'O&amp;M Cost'!$D9/1000000</f>
        <v>1.5395496797093932E-2</v>
      </c>
      <c r="Q35" s="123">
        <f>'Water Heater Stock'!Q10*'O&amp;M Cost'!$D9/1000000</f>
        <v>2.0608556670792019E-2</v>
      </c>
      <c r="R35" s="123">
        <f>'Water Heater Stock'!R10*'O&amp;M Cost'!$D9/1000000</f>
        <v>2.6983776782799233E-2</v>
      </c>
      <c r="S35" s="123">
        <f>'Water Heater Stock'!S10*'O&amp;M Cost'!$D9/1000000</f>
        <v>3.4603148103152938E-2</v>
      </c>
      <c r="T35" s="123">
        <f>'Water Heater Stock'!T10*'O&amp;M Cost'!$D9/1000000</f>
        <v>4.3514842824204938E-2</v>
      </c>
      <c r="U35" s="123">
        <f>'Water Heater Stock'!U10*'O&amp;M Cost'!$D9/1000000</f>
        <v>5.3729883774272819E-2</v>
      </c>
      <c r="V35" s="123">
        <f>'Water Heater Stock'!V10*'O&amp;M Cost'!$D9/1000000</f>
        <v>6.5221976547695834E-2</v>
      </c>
      <c r="W35" s="123">
        <f>'Water Heater Stock'!W10*'O&amp;M Cost'!$D9/1000000</f>
        <v>7.7930254373751229E-2</v>
      </c>
    </row>
    <row r="37" spans="1:23">
      <c r="A37" s="12" t="s">
        <v>120</v>
      </c>
    </row>
    <row r="38" spans="1:23">
      <c r="A38" s="14" t="str">
        <f>'Energy Usage'!A25</f>
        <v>Water Heat Ending</v>
      </c>
      <c r="B38" s="9">
        <f>'Energy Usage'!B25</f>
        <v>2014</v>
      </c>
      <c r="C38" s="9">
        <f>'Energy Usage'!C25</f>
        <v>2015</v>
      </c>
      <c r="D38" s="9">
        <f>'Energy Usage'!D25</f>
        <v>2016</v>
      </c>
      <c r="E38" s="9">
        <f>'Energy Usage'!E25</f>
        <v>2017</v>
      </c>
      <c r="F38" s="9">
        <f>'Energy Usage'!F25</f>
        <v>2018</v>
      </c>
      <c r="G38" s="9">
        <f>'Energy Usage'!G25</f>
        <v>2019</v>
      </c>
      <c r="H38" s="9">
        <f>'Energy Usage'!H25</f>
        <v>2020</v>
      </c>
      <c r="I38" s="9">
        <f>'Energy Usage'!I25</f>
        <v>2021</v>
      </c>
      <c r="J38" s="9">
        <f>'Energy Usage'!J25</f>
        <v>2022</v>
      </c>
      <c r="K38" s="9">
        <f>'Energy Usage'!K25</f>
        <v>2023</v>
      </c>
      <c r="L38" s="9">
        <f>'Energy Usage'!L25</f>
        <v>2024</v>
      </c>
      <c r="M38" s="9">
        <f>'Energy Usage'!M25</f>
        <v>2025</v>
      </c>
      <c r="N38" s="9">
        <f>'Energy Usage'!N25</f>
        <v>2026</v>
      </c>
      <c r="O38" s="9">
        <f>'Energy Usage'!O25</f>
        <v>2027</v>
      </c>
      <c r="P38" s="9">
        <f>'Energy Usage'!P25</f>
        <v>2028</v>
      </c>
      <c r="Q38" s="9">
        <f>'Energy Usage'!Q25</f>
        <v>2029</v>
      </c>
      <c r="R38" s="9">
        <f>'Energy Usage'!R25</f>
        <v>2030</v>
      </c>
      <c r="S38" s="9">
        <f>'Energy Usage'!S25</f>
        <v>2031</v>
      </c>
      <c r="T38" s="9">
        <f>'Energy Usage'!T25</f>
        <v>2032</v>
      </c>
      <c r="U38" s="9">
        <f>'Energy Usage'!U25</f>
        <v>2033</v>
      </c>
      <c r="V38" s="9">
        <f>'Energy Usage'!V25</f>
        <v>2034</v>
      </c>
      <c r="W38" s="9">
        <f>'Energy Usage'!W25</f>
        <v>2035</v>
      </c>
    </row>
    <row r="39" spans="1:23" ht="16.5" thickBot="1">
      <c r="A39" s="48" t="s">
        <v>49</v>
      </c>
      <c r="B39" s="129">
        <f t="shared" ref="B39" si="9">SUM(B40:B44)</f>
        <v>30.26304142506536</v>
      </c>
      <c r="C39" s="129">
        <f t="shared" ref="C39:W39" si="10">SUM(C40:C44)</f>
        <v>30.352917706104954</v>
      </c>
      <c r="D39" s="129">
        <f t="shared" si="10"/>
        <v>30.462141508061485</v>
      </c>
      <c r="E39" s="129">
        <f t="shared" si="10"/>
        <v>30.58965624953608</v>
      </c>
      <c r="F39" s="129">
        <f t="shared" si="10"/>
        <v>30.734333127235317</v>
      </c>
      <c r="G39" s="129">
        <f t="shared" si="10"/>
        <v>30.89491228818876</v>
      </c>
      <c r="H39" s="129">
        <f t="shared" si="10"/>
        <v>31.069933926634249</v>
      </c>
      <c r="I39" s="129">
        <f t="shared" si="10"/>
        <v>31.257663662909035</v>
      </c>
      <c r="J39" s="129">
        <f t="shared" si="10"/>
        <v>31.456019713734989</v>
      </c>
      <c r="K39" s="129">
        <f t="shared" si="10"/>
        <v>31.662512472542634</v>
      </c>
      <c r="L39" s="129">
        <f t="shared" si="10"/>
        <v>31.874209432558033</v>
      </c>
      <c r="M39" s="129">
        <f t="shared" si="10"/>
        <v>32.087738945861396</v>
      </c>
      <c r="N39" s="129">
        <f t="shared" si="10"/>
        <v>32.29934416017911</v>
      </c>
      <c r="O39" s="129">
        <f t="shared" si="10"/>
        <v>32.504993032275884</v>
      </c>
      <c r="P39" s="129">
        <f t="shared" si="10"/>
        <v>32.700541844536879</v>
      </c>
      <c r="Q39" s="129">
        <f t="shared" si="10"/>
        <v>32.881939568634763</v>
      </c>
      <c r="R39" s="129">
        <f t="shared" si="10"/>
        <v>33.045451179253519</v>
      </c>
      <c r="S39" s="129">
        <f t="shared" si="10"/>
        <v>33.187872398329283</v>
      </c>
      <c r="T39" s="129">
        <f t="shared" si="10"/>
        <v>33.306708354128681</v>
      </c>
      <c r="U39" s="129">
        <f t="shared" si="10"/>
        <v>33.400294568067864</v>
      </c>
      <c r="V39" s="129">
        <f t="shared" si="10"/>
        <v>33.467848896796887</v>
      </c>
      <c r="W39" s="129">
        <f t="shared" si="10"/>
        <v>33.509454644211282</v>
      </c>
    </row>
    <row r="40" spans="1:23" ht="16.5" thickTop="1">
      <c r="A40" s="9" t="str">
        <f>'Energy Usage'!A27</f>
        <v>Electric Resistance</v>
      </c>
      <c r="B40" s="123">
        <f>(('Energy Usage'!B18*'Retail Rates'!B$5*'Device Energy Use'!$E5+'Energy Usage'!B18*'Retail Rates'!B$6*(1-'Device Energy Use'!$E5)))/1000000</f>
        <v>30.26304142506536</v>
      </c>
      <c r="C40" s="123">
        <f>(('Energy Usage'!C18*'Retail Rates'!C$5*'Device Energy Use'!$E5+'Energy Usage'!C18*'Retail Rates'!C$6*(1-'Device Energy Use'!$E5)))/1000000</f>
        <v>30.063907727023313</v>
      </c>
      <c r="D40" s="123">
        <f>(('Energy Usage'!D18*'Retail Rates'!D$5*'Device Energy Use'!$E5+'Energy Usage'!D18*'Retail Rates'!D$6*(1-'Device Energy Use'!$E5)))/1000000</f>
        <v>29.895623765191623</v>
      </c>
      <c r="E40" s="123">
        <f>(('Energy Usage'!E18*'Retail Rates'!E$5*'Device Energy Use'!$E5+'Energy Usage'!E18*'Retail Rates'!E$6*(1-'Device Energy Use'!$E5)))/1000000</f>
        <v>29.756299603901468</v>
      </c>
      <c r="F40" s="123">
        <f>(('Energy Usage'!F18*'Retail Rates'!F$5*'Device Energy Use'!$E5+'Energy Usage'!F18*'Retail Rates'!F$6*(1-'Device Energy Use'!$E5)))/1000000</f>
        <v>29.643956380993156</v>
      </c>
      <c r="G40" s="123">
        <f>(('Energy Usage'!G18*'Retail Rates'!G$5*'Device Energy Use'!$E5+'Energy Usage'!G18*'Retail Rates'!G$6*(1-'Device Energy Use'!$E5)))/1000000</f>
        <v>29.556440130008319</v>
      </c>
      <c r="H40" s="123">
        <f>(('Energy Usage'!H18*'Retail Rates'!H$5*'Device Energy Use'!$E5+'Energy Usage'!H18*'Retail Rates'!H$6*(1-'Device Energy Use'!$E5)))/1000000</f>
        <v>29.49132116659214</v>
      </c>
      <c r="I40" s="123">
        <f>(('Energy Usage'!I18*'Retail Rates'!I$5*'Device Energy Use'!$E5+'Energy Usage'!I18*'Retail Rates'!I$6*(1-'Device Energy Use'!$E5)))/1000000</f>
        <v>29.445785411559005</v>
      </c>
      <c r="J40" s="123">
        <f>(('Energy Usage'!J18*'Retail Rates'!J$5*'Device Energy Use'!$E5+'Energy Usage'!J18*'Retail Rates'!J$6*(1-'Device Energy Use'!$E5)))/1000000</f>
        <v>29.416528583434154</v>
      </c>
      <c r="K40" s="123">
        <f>(('Energy Usage'!K18*'Retail Rates'!K$5*'Device Energy Use'!$E5+'Energy Usage'!K18*'Retail Rates'!K$6*(1-'Device Energy Use'!$E5)))/1000000</f>
        <v>29.399668675320239</v>
      </c>
      <c r="L40" s="123">
        <f>(('Energy Usage'!L18*'Retail Rates'!L$5*'Device Energy Use'!$E5+'Energy Usage'!L18*'Retail Rates'!L$6*(1-'Device Energy Use'!$E5)))/1000000</f>
        <v>29.390695443012323</v>
      </c>
      <c r="M40" s="123">
        <f>(('Energy Usage'!M18*'Retail Rates'!M$5*'Device Energy Use'!$E5+'Energy Usage'!M18*'Retail Rates'!M$6*(1-'Device Energy Use'!$E5)))/1000000</f>
        <v>29.38447638760454</v>
      </c>
      <c r="N40" s="123">
        <f>(('Energy Usage'!N18*'Retail Rates'!N$5*'Device Energy Use'!$E5+'Energy Usage'!N18*'Retail Rates'!N$6*(1-'Device Energy Use'!$E5)))/1000000</f>
        <v>29.375335536671049</v>
      </c>
      <c r="O40" s="123">
        <f>(('Energy Usage'!O18*'Retail Rates'!O$5*'Device Energy Use'!$E5+'Energy Usage'!O18*'Retail Rates'!O$6*(1-'Device Energy Use'!$E5)))/1000000</f>
        <v>29.357213388698575</v>
      </c>
      <c r="P40" s="123">
        <f>(('Energy Usage'!P18*'Retail Rates'!P$5*'Device Energy Use'!$E5+'Energy Usage'!P18*'Retail Rates'!P$6*(1-'Device Energy Use'!$E5)))/1000000</f>
        <v>29.323904083836656</v>
      </c>
      <c r="Q40" s="123">
        <f>(('Energy Usage'!Q18*'Retail Rates'!Q$5*'Device Energy Use'!$E5+'Energy Usage'!Q18*'Retail Rates'!Q$6*(1-'Device Energy Use'!$E5)))/1000000</f>
        <v>29.269351271961433</v>
      </c>
      <c r="R40" s="123">
        <f>(('Energy Usage'!R18*'Retail Rates'!R$5*'Device Energy Use'!$E5+'Energy Usage'!R18*'Retail Rates'!R$6*(1-'Device Energy Use'!$E5)))/1000000</f>
        <v>29.187970825138198</v>
      </c>
      <c r="S40" s="123">
        <f>(('Energy Usage'!S18*'Retail Rates'!S$5*'Device Energy Use'!$E5+'Energy Usage'!S18*'Retail Rates'!S$6*(1-'Device Energy Use'!$E5)))/1000000</f>
        <v>29.074960498790279</v>
      </c>
      <c r="T40" s="123">
        <f>(('Energy Usage'!T18*'Retail Rates'!T$5*'Device Energy Use'!$E5+'Energy Usage'!T18*'Retail Rates'!T$6*(1-'Device Energy Use'!$E5)))/1000000</f>
        <v>28.926556768445334</v>
      </c>
      <c r="U40" s="123">
        <f>(('Energy Usage'!U18*'Retail Rates'!U$5*'Device Energy Use'!$E5+'Energy Usage'!U18*'Retail Rates'!U$6*(1-'Device Energy Use'!$E5)))/1000000</f>
        <v>28.740207757205752</v>
      </c>
      <c r="V40" s="123">
        <f>(('Energy Usage'!V18*'Retail Rates'!V$5*'Device Energy Use'!$E5+'Energy Usage'!V18*'Retail Rates'!V$6*(1-'Device Energy Use'!$E5)))/1000000</f>
        <v>28.514646022530105</v>
      </c>
      <c r="W40" s="123">
        <f>(('Energy Usage'!W18*'Retail Rates'!W$5*'Device Energy Use'!$E5+'Energy Usage'!W18*'Retail Rates'!W$6*(1-'Device Energy Use'!$E5)))/1000000</f>
        <v>28.24986175756565</v>
      </c>
    </row>
    <row r="41" spans="1:23">
      <c r="A41" s="9" t="str">
        <f>'Energy Usage'!A28</f>
        <v>HPWH</v>
      </c>
      <c r="B41" s="123">
        <f>(('Energy Usage'!B19*'Retail Rates'!B$5*'Device Energy Use'!$E6+'Energy Usage'!B19*'Retail Rates'!B$6*(1-'Device Energy Use'!$E6)))/1000000</f>
        <v>0</v>
      </c>
      <c r="C41" s="123">
        <f>(('Energy Usage'!C19*'Retail Rates'!C$5*'Device Energy Use'!$E6+'Energy Usage'!C19*'Retail Rates'!C$6*(1-'Device Energy Use'!$E6)))/1000000</f>
        <v>1.0126864612173062E-4</v>
      </c>
      <c r="D41" s="123">
        <f>(('Energy Usage'!D19*'Retail Rates'!D$5*'Device Energy Use'!$E6+'Energy Usage'!D19*'Retail Rates'!D$6*(1-'Device Energy Use'!$E6)))/1000000</f>
        <v>3.0029604589160142E-4</v>
      </c>
      <c r="E41" s="123">
        <f>(('Energy Usage'!E19*'Retail Rates'!E$5*'Device Energy Use'!$E6+'Energy Usage'!E19*'Retail Rates'!E$6*(1-'Device Energy Use'!$E6)))/1000000</f>
        <v>6.7715754237296312E-4</v>
      </c>
      <c r="F41" s="123">
        <f>(('Energy Usage'!F19*'Retail Rates'!F$5*'Device Energy Use'!$E6+'Energy Usage'!F19*'Retail Rates'!F$6*(1-'Device Energy Use'!$E6)))/1000000</f>
        <v>1.3618739849036604E-3</v>
      </c>
      <c r="G41" s="123">
        <f>(('Energy Usage'!G19*'Retail Rates'!G$5*'Device Energy Use'!$E6+'Energy Usage'!G19*'Retail Rates'!G$6*(1-'Device Energy Use'!$E6)))/1000000</f>
        <v>2.5555721771934356E-3</v>
      </c>
      <c r="H41" s="123">
        <f>(('Energy Usage'!H19*'Retail Rates'!H$5*'Device Energy Use'!$E6+'Energy Usage'!H19*'Retail Rates'!H$6*(1-'Device Energy Use'!$E6)))/1000000</f>
        <v>4.5553628669852842E-3</v>
      </c>
      <c r="I41" s="123">
        <f>(('Energy Usage'!I19*'Retail Rates'!I$5*'Device Energy Use'!$E6+'Energy Usage'!I19*'Retail Rates'!I$6*(1-'Device Energy Use'!$E6)))/1000000</f>
        <v>7.7811661500344353E-3</v>
      </c>
      <c r="J41" s="123">
        <f>(('Energy Usage'!J19*'Retail Rates'!J$5*'Device Energy Use'!$E6+'Energy Usage'!J19*'Retail Rates'!J$6*(1-'Device Energy Use'!$E6)))/1000000</f>
        <v>1.2801521338145857E-2</v>
      </c>
      <c r="K41" s="123">
        <f>(('Energy Usage'!K19*'Retail Rates'!K$5*'Device Energy Use'!$E6+'Energy Usage'!K19*'Retail Rates'!K$6*(1-'Device Energy Use'!$E6)))/1000000</f>
        <v>2.0354268954328847E-2</v>
      </c>
      <c r="L41" s="123">
        <f>(('Energy Usage'!L19*'Retail Rates'!L$5*'Device Energy Use'!$E6+'Energy Usage'!L19*'Retail Rates'!L$6*(1-'Device Energy Use'!$E6)))/1000000</f>
        <v>3.1357177172221314E-2</v>
      </c>
      <c r="M41" s="123">
        <f>(('Energy Usage'!M19*'Retail Rates'!M$5*'Device Energy Use'!$E6+'Energy Usage'!M19*'Retail Rates'!M$6*(1-'Device Energy Use'!$E6)))/1000000</f>
        <v>4.690346575754218E-2</v>
      </c>
      <c r="N41" s="123">
        <f>(('Energy Usage'!N19*'Retail Rates'!N$5*'Device Energy Use'!$E6+'Energy Usage'!N19*'Retail Rates'!N$6*(1-'Device Energy Use'!$E6)))/1000000</f>
        <v>6.8238109202513914E-2</v>
      </c>
      <c r="O41" s="123">
        <f>(('Energy Usage'!O19*'Retail Rates'!O$5*'Device Energy Use'!$E6+'Energy Usage'!O19*'Retail Rates'!O$6*(1-'Device Energy Use'!$E6)))/1000000</f>
        <v>9.6712973603195196E-2</v>
      </c>
      <c r="P41" s="123">
        <f>(('Energy Usage'!P19*'Retail Rates'!P$5*'Device Energy Use'!$E6+'Energy Usage'!P19*'Retail Rates'!P$6*(1-'Device Energy Use'!$E6)))/1000000</f>
        <v>0.1337221272352935</v>
      </c>
      <c r="Q41" s="123">
        <f>(('Energy Usage'!Q19*'Retail Rates'!Q$5*'Device Energy Use'!$E6+'Energy Usage'!Q19*'Retail Rates'!Q$6*(1-'Device Energy Use'!$E6)))/1000000</f>
        <v>0.18062249261927871</v>
      </c>
      <c r="R41" s="123">
        <f>(('Energy Usage'!R19*'Retail Rates'!R$5*'Device Energy Use'!$E6+'Energy Usage'!R19*'Retail Rates'!R$6*(1-'Device Energy Use'!$E6)))/1000000</f>
        <v>0.23864843007370454</v>
      </c>
      <c r="S41" s="123">
        <f>(('Energy Usage'!S19*'Retail Rates'!S$5*'Device Energy Use'!$E6+'Energy Usage'!S19*'Retail Rates'!S$6*(1-'Device Energy Use'!$E6)))/1000000</f>
        <v>0.30883081415275854</v>
      </c>
      <c r="T41" s="123">
        <f>(('Energy Usage'!T19*'Retail Rates'!T$5*'Device Energy Use'!$E6+'Energy Usage'!T19*'Retail Rates'!T$6*(1-'Device Energy Use'!$E6)))/1000000</f>
        <v>0.39193095979791442</v>
      </c>
      <c r="U41" s="123">
        <f>(('Energy Usage'!U19*'Retail Rates'!U$5*'Device Energy Use'!$E6+'Energy Usage'!U19*'Retail Rates'!U$6*(1-'Device Energy Use'!$E6)))/1000000</f>
        <v>0.48839731532127795</v>
      </c>
      <c r="V41" s="123">
        <f>(('Energy Usage'!V19*'Retail Rates'!V$5*'Device Energy Use'!$E6+'Energy Usage'!V19*'Retail Rates'!V$6*(1-'Device Energy Use'!$E6)))/1000000</f>
        <v>0.59834883697720831</v>
      </c>
      <c r="W41" s="123">
        <f>(('Energy Usage'!W19*'Retail Rates'!W$5*'Device Energy Use'!$E6+'Energy Usage'!W19*'Retail Rates'!W$6*(1-'Device Energy Use'!$E6)))/1000000</f>
        <v>0.72158452828575548</v>
      </c>
    </row>
    <row r="42" spans="1:23">
      <c r="A42" s="9" t="str">
        <f>'Energy Usage'!A29</f>
        <v>Gas Tank</v>
      </c>
      <c r="B42" s="123">
        <f>(('Energy Usage'!B20*'Retail Rates'!B$5*'Device Energy Use'!$E7+'Energy Usage'!B20*'Retail Rates'!B$6*(1-'Device Energy Use'!$E7)))/1000000</f>
        <v>0</v>
      </c>
      <c r="C42" s="123">
        <f>(('Energy Usage'!C20*'Retail Rates'!C$5*'Device Energy Use'!$E7+'Energy Usage'!C20*'Retail Rates'!C$6*(1-'Device Energy Use'!$E7)))/1000000</f>
        <v>0.28882486001821878</v>
      </c>
      <c r="D42" s="123">
        <f>(('Energy Usage'!D20*'Retail Rates'!D$5*'Device Energy Use'!$E7+'Energy Usage'!D20*'Retail Rates'!D$6*(1-'Device Energy Use'!$E7)))/1000000</f>
        <v>0.56596744713871705</v>
      </c>
      <c r="E42" s="123">
        <f>(('Energy Usage'!E20*'Retail Rates'!E$5*'Device Energy Use'!$E7+'Energy Usage'!E20*'Retail Rates'!E$6*(1-'Device Energy Use'!$E7)))/1000000</f>
        <v>0.83211243083177011</v>
      </c>
      <c r="F42" s="123">
        <f>(('Energy Usage'!F20*'Retail Rates'!F$5*'Device Energy Use'!$E7+'Energy Usage'!F20*'Retail Rates'!F$6*(1-'Device Energy Use'!$E7)))/1000000</f>
        <v>1.0878673862354142</v>
      </c>
      <c r="G42" s="123">
        <f>(('Energy Usage'!G20*'Retail Rates'!G$5*'Device Energy Use'!$E7+'Energy Usage'!G20*'Retail Rates'!G$6*(1-'Device Energy Use'!$E7)))/1000000</f>
        <v>1.3337496303947207</v>
      </c>
      <c r="H42" s="123">
        <f>(('Energy Usage'!H20*'Retail Rates'!H$5*'Device Energy Use'!$E7+'Energy Usage'!H20*'Retail Rates'!H$6*(1-'Device Energy Use'!$E7)))/1000000</f>
        <v>1.5701697999781823</v>
      </c>
      <c r="I42" s="123">
        <f>(('Energy Usage'!I20*'Retail Rates'!I$5*'Device Energy Use'!$E7+'Energy Usage'!I20*'Retail Rates'!I$6*(1-'Device Energy Use'!$E7)))/1000000</f>
        <v>1.7974132924191693</v>
      </c>
      <c r="J42" s="123">
        <f>(('Energy Usage'!J20*'Retail Rates'!J$5*'Device Energy Use'!$E7+'Energy Usage'!J20*'Retail Rates'!J$6*(1-'Device Energy Use'!$E7)))/1000000</f>
        <v>2.0156215893216083</v>
      </c>
      <c r="K42" s="123">
        <f>(('Energy Usage'!K20*'Retail Rates'!K$5*'Device Energy Use'!$E7+'Energy Usage'!K20*'Retail Rates'!K$6*(1-'Device Energy Use'!$E7)))/1000000</f>
        <v>2.2247763956277784</v>
      </c>
      <c r="L42" s="123">
        <f>(('Energy Usage'!L20*'Retail Rates'!L$5*'Device Energy Use'!$E7+'Energy Usage'!L20*'Retail Rates'!L$6*(1-'Device Energy Use'!$E7)))/1000000</f>
        <v>2.4246902524401368</v>
      </c>
      <c r="M42" s="123">
        <f>(('Energy Usage'!M20*'Retail Rates'!M$5*'Device Energy Use'!$E7+'Energy Usage'!M20*'Retail Rates'!M$6*(1-'Device Energy Use'!$E7)))/1000000</f>
        <v>2.6150075418865288</v>
      </c>
      <c r="N42" s="123">
        <f>(('Energy Usage'!N20*'Retail Rates'!N$5*'Device Energy Use'!$E7+'Energy Usage'!N20*'Retail Rates'!N$6*(1-'Device Energy Use'!$E7)))/1000000</f>
        <v>2.7952193146014737</v>
      </c>
      <c r="O42" s="123">
        <f>(('Energy Usage'!O20*'Retail Rates'!O$5*'Device Energy Use'!$E7+'Energy Usage'!O20*'Retail Rates'!O$6*(1-'Device Energy Use'!$E7)))/1000000</f>
        <v>2.9646939447796168</v>
      </c>
      <c r="P42" s="123">
        <f>(('Energy Usage'!P20*'Retail Rates'!P$5*'Device Energy Use'!$E7+'Energy Usage'!P20*'Retail Rates'!P$6*(1-'Device Energy Use'!$E7)))/1000000</f>
        <v>3.1227232940736704</v>
      </c>
      <c r="Q42" s="123">
        <f>(('Energy Usage'!Q20*'Retail Rates'!Q$5*'Device Energy Use'!$E7+'Energy Usage'!Q20*'Retail Rates'!Q$6*(1-'Device Energy Use'!$E7)))/1000000</f>
        <v>3.2685812117968331</v>
      </c>
      <c r="R42" s="123">
        <f>(('Energy Usage'!R20*'Retail Rates'!R$5*'Device Energy Use'!$E7+'Energy Usage'!R20*'Retail Rates'!R$6*(1-'Device Energy Use'!$E7)))/1000000</f>
        <v>3.4015884904038458</v>
      </c>
      <c r="S42" s="123">
        <f>(('Energy Usage'!S20*'Retail Rates'!S$5*'Device Energy Use'!$E7+'Energy Usage'!S20*'Retail Rates'!S$6*(1-'Device Energy Use'!$E7)))/1000000</f>
        <v>3.5211766269573452</v>
      </c>
      <c r="T42" s="123">
        <f>(('Energy Usage'!T20*'Retail Rates'!T$5*'Device Energy Use'!$E7+'Energy Usage'!T20*'Retail Rates'!T$6*(1-'Device Energy Use'!$E7)))/1000000</f>
        <v>3.6269425207761725</v>
      </c>
      <c r="U42" s="123">
        <f>(('Energy Usage'!U20*'Retail Rates'!U$5*'Device Energy Use'!$E7+'Energy Usage'!U20*'Retail Rates'!U$6*(1-'Device Energy Use'!$E7)))/1000000</f>
        <v>3.7186877069641975</v>
      </c>
      <c r="V42" s="123">
        <f>(('Energy Usage'!V20*'Retail Rates'!V$5*'Device Energy Use'!$E7+'Energy Usage'!V20*'Retail Rates'!V$6*(1-'Device Energy Use'!$E7)))/1000000</f>
        <v>3.7964384759077077</v>
      </c>
      <c r="W42" s="123">
        <f>(('Energy Usage'!W20*'Retail Rates'!W$5*'Device Energy Use'!$E7+'Energy Usage'!W20*'Retail Rates'!W$6*(1-'Device Energy Use'!$E7)))/1000000</f>
        <v>3.8604464662152558</v>
      </c>
    </row>
    <row r="43" spans="1:23">
      <c r="A43" s="9" t="str">
        <f>'Energy Usage'!A30</f>
        <v>Instant Gas</v>
      </c>
      <c r="B43" s="123">
        <f>(('Energy Usage'!B21*'Retail Rates'!B$5*'Device Energy Use'!$E8+'Energy Usage'!B21*'Retail Rates'!B$6*(1-'Device Energy Use'!$E8)))/1000000</f>
        <v>0</v>
      </c>
      <c r="C43" s="123">
        <f>(('Energy Usage'!C21*'Retail Rates'!C$5*'Device Energy Use'!$E8+'Energy Usage'!C21*'Retail Rates'!C$6*(1-'Device Energy Use'!$E8)))/1000000</f>
        <v>2.1906033419908879E-5</v>
      </c>
      <c r="D43" s="123">
        <f>(('Energy Usage'!D21*'Retail Rates'!D$5*'Device Energy Use'!$E8+'Energy Usage'!D21*'Retail Rates'!D$6*(1-'Device Energy Use'!$E8)))/1000000</f>
        <v>6.5377260385973248E-5</v>
      </c>
      <c r="E43" s="123">
        <f>(('Energy Usage'!E21*'Retail Rates'!E$5*'Device Energy Use'!$E8+'Energy Usage'!E21*'Retail Rates'!E$6*(1-'Device Energy Use'!$E8)))/1000000</f>
        <v>1.4845649036543184E-4</v>
      </c>
      <c r="F43" s="123">
        <f>(('Energy Usage'!F21*'Retail Rates'!F$5*'Device Energy Use'!$E8+'Energy Usage'!F21*'Retail Rates'!F$6*(1-'Device Energy Use'!$E8)))/1000000</f>
        <v>3.0077645963158035E-4</v>
      </c>
      <c r="G43" s="123">
        <f>(('Energy Usage'!G21*'Retail Rates'!G$5*'Device Energy Use'!$E8+'Energy Usage'!G21*'Retail Rates'!G$6*(1-'Device Energy Use'!$E8)))/1000000</f>
        <v>5.6871728173800114E-4</v>
      </c>
      <c r="H43" s="123">
        <f>(('Energy Usage'!H21*'Retail Rates'!H$5*'Device Energy Use'!$E8+'Energy Usage'!H21*'Retail Rates'!H$6*(1-'Device Energy Use'!$E8)))/1000000</f>
        <v>1.0216313164030288E-3</v>
      </c>
      <c r="I43" s="123">
        <f>(('Energy Usage'!I21*'Retail Rates'!I$5*'Device Energy Use'!$E8+'Energy Usage'!I21*'Retail Rates'!I$6*(1-'Device Energy Use'!$E8)))/1000000</f>
        <v>1.7587858968309438E-3</v>
      </c>
      <c r="J43" s="123">
        <f>(('Energy Usage'!J21*'Retail Rates'!J$5*'Device Energy Use'!$E8+'Energy Usage'!J21*'Retail Rates'!J$6*(1-'Device Energy Use'!$E8)))/1000000</f>
        <v>2.9163772549336501E-3</v>
      </c>
      <c r="K43" s="123">
        <f>(('Energy Usage'!K21*'Retail Rates'!K$5*'Device Energy Use'!$E8+'Energy Usage'!K21*'Retail Rates'!K$6*(1-'Device Energy Use'!$E8)))/1000000</f>
        <v>4.6736613398360594E-3</v>
      </c>
      <c r="L43" s="123">
        <f>(('Energy Usage'!L21*'Retail Rates'!L$5*'Device Energy Use'!$E8+'Energy Usage'!L21*'Retail Rates'!L$6*(1-'Device Energy Use'!$E8)))/1000000</f>
        <v>7.2569967435816779E-3</v>
      </c>
      <c r="M43" s="123">
        <f>(('Energy Usage'!M21*'Retail Rates'!M$5*'Device Energy Use'!$E8+'Energy Usage'!M21*'Retail Rates'!M$6*(1-'Device Energy Use'!$E8)))/1000000</f>
        <v>1.0940492201347787E-2</v>
      </c>
      <c r="N43" s="123">
        <f>(('Energy Usage'!N21*'Retail Rates'!N$5*'Device Energy Use'!$E8+'Energy Usage'!N21*'Retail Rates'!N$6*(1-'Device Energy Use'!$E8)))/1000000</f>
        <v>1.6042092130811907E-2</v>
      </c>
      <c r="O43" s="123">
        <f>(('Energy Usage'!O21*'Retail Rates'!O$5*'Device Energy Use'!$E8+'Energy Usage'!O21*'Retail Rates'!O$6*(1-'Device Energy Use'!$E8)))/1000000</f>
        <v>2.2914385252473839E-2</v>
      </c>
      <c r="P43" s="123">
        <f>(('Energy Usage'!P21*'Retail Rates'!P$5*'Device Energy Use'!$E8+'Energy Usage'!P21*'Retail Rates'!P$6*(1-'Device Energy Use'!$E8)))/1000000</f>
        <v>3.1930176246471473E-2</v>
      </c>
      <c r="Q43" s="123">
        <f>(('Energy Usage'!Q21*'Retail Rates'!Q$5*'Device Energy Use'!$E8+'Energy Usage'!Q21*'Retail Rates'!Q$6*(1-'Device Energy Use'!$E8)))/1000000</f>
        <v>4.3463802934560661E-2</v>
      </c>
      <c r="R43" s="123">
        <f>(('Energy Usage'!R21*'Retail Rates'!R$5*'Device Energy Use'!$E8+'Energy Usage'!R21*'Retail Rates'!R$6*(1-'Device Energy Use'!$E8)))/1000000</f>
        <v>5.7870091762005194E-2</v>
      </c>
      <c r="S43" s="123">
        <f>(('Energy Usage'!S21*'Retail Rates'!S$5*'Device Energy Use'!$E8+'Energy Usage'!S21*'Retail Rates'!S$6*(1-'Device Energy Use'!$E8)))/1000000</f>
        <v>7.5463458306227443E-2</v>
      </c>
      <c r="T43" s="123">
        <f>(('Energy Usage'!T21*'Retail Rates'!T$5*'Device Energy Use'!$E8+'Energy Usage'!T21*'Retail Rates'!T$6*(1-'Device Energy Use'!$E8)))/1000000</f>
        <v>9.6499769737697458E-2</v>
      </c>
      <c r="U43" s="123">
        <f>(('Energy Usage'!U21*'Retail Rates'!U$5*'Device Energy Use'!$E8+'Energy Usage'!U21*'Retail Rates'!U$6*(1-'Device Energy Use'!$E8)))/1000000</f>
        <v>0.12116313569267692</v>
      </c>
      <c r="V43" s="123">
        <f>(('Energy Usage'!V21*'Retail Rates'!V$5*'Device Energy Use'!$E8+'Energy Usage'!V21*'Retail Rates'!V$6*(1-'Device Energy Use'!$E8)))/1000000</f>
        <v>0.14955890870703273</v>
      </c>
      <c r="W43" s="123">
        <f>(('Energy Usage'!W21*'Retail Rates'!W$5*'Device Energy Use'!$E8+'Energy Usage'!W21*'Retail Rates'!W$6*(1-'Device Energy Use'!$E8)))/1000000</f>
        <v>0.18171311231072421</v>
      </c>
    </row>
    <row r="44" spans="1:23">
      <c r="A44" s="9" t="str">
        <f>'Energy Usage'!A31</f>
        <v>Condensing Gas</v>
      </c>
      <c r="B44" s="123">
        <f>(('Energy Usage'!B22*'Retail Rates'!B$5*'Device Energy Use'!$E9+'Energy Usage'!B22*'Retail Rates'!B$6*(1-'Device Energy Use'!$E9)))/1000000</f>
        <v>0</v>
      </c>
      <c r="C44" s="123">
        <f>(('Energy Usage'!C22*'Retail Rates'!C$5*'Device Energy Use'!$E9+'Energy Usage'!C22*'Retail Rates'!C$6*(1-'Device Energy Use'!$E9)))/1000000</f>
        <v>6.1944383875977232E-5</v>
      </c>
      <c r="D44" s="123">
        <f>(('Energy Usage'!D22*'Retail Rates'!D$5*'Device Energy Use'!$E9+'Energy Usage'!D22*'Retail Rates'!D$6*(1-'Device Energy Use'!$E9)))/1000000</f>
        <v>1.8462242486473661E-4</v>
      </c>
      <c r="E44" s="123">
        <f>(('Energy Usage'!E22*'Retail Rates'!E$5*'Device Energy Use'!$E9+'Energy Usage'!E22*'Retail Rates'!E$6*(1-'Device Energy Use'!$E9)))/1000000</f>
        <v>4.1860077010372887E-4</v>
      </c>
      <c r="F44" s="123">
        <f>(('Energy Usage'!F22*'Retail Rates'!F$5*'Device Energy Use'!$E9+'Energy Usage'!F22*'Retail Rates'!F$6*(1-'Device Energy Use'!$E9)))/1000000</f>
        <v>8.4670956221219028E-4</v>
      </c>
      <c r="G44" s="123">
        <f>(('Energy Usage'!G22*'Retail Rates'!G$5*'Device Energy Use'!$E9+'Energy Usage'!G22*'Retail Rates'!G$6*(1-'Device Energy Use'!$E9)))/1000000</f>
        <v>1.5982383267875906E-3</v>
      </c>
      <c r="H44" s="123">
        <f>(('Energy Usage'!H22*'Retail Rates'!H$5*'Device Energy Use'!$E9+'Energy Usage'!H22*'Retail Rates'!H$6*(1-'Device Energy Use'!$E9)))/1000000</f>
        <v>2.8659658805411641E-3</v>
      </c>
      <c r="I44" s="123">
        <f>(('Energy Usage'!I22*'Retail Rates'!I$5*'Device Energy Use'!$E9+'Energy Usage'!I22*'Retail Rates'!I$6*(1-'Device Energy Use'!$E9)))/1000000</f>
        <v>4.9250068839936491E-3</v>
      </c>
      <c r="J44" s="123">
        <f>(('Energy Usage'!J22*'Retail Rates'!J$5*'Device Energy Use'!$E9+'Energy Usage'!J22*'Retail Rates'!J$6*(1-'Device Energy Use'!$E9)))/1000000</f>
        <v>8.1516423861468148E-3</v>
      </c>
      <c r="K44" s="123">
        <f>(('Energy Usage'!K22*'Retail Rates'!K$5*'Device Energy Use'!$E9+'Energy Usage'!K22*'Retail Rates'!K$6*(1-'Device Energy Use'!$E9)))/1000000</f>
        <v>1.3039471300452962E-2</v>
      </c>
      <c r="L44" s="123">
        <f>(('Energy Usage'!L22*'Retail Rates'!L$5*'Device Energy Use'!$E9+'Energy Usage'!L22*'Retail Rates'!L$6*(1-'Device Energy Use'!$E9)))/1000000</f>
        <v>2.020956318977064E-2</v>
      </c>
      <c r="M44" s="123">
        <f>(('Energy Usage'!M22*'Retail Rates'!M$5*'Device Energy Use'!$E9+'Energy Usage'!M22*'Retail Rates'!M$6*(1-'Device Energy Use'!$E9)))/1000000</f>
        <v>3.0411058411435564E-2</v>
      </c>
      <c r="N44" s="123">
        <f>(('Energy Usage'!N22*'Retail Rates'!N$5*'Device Energy Use'!$E9+'Energy Usage'!N22*'Retail Rates'!N$6*(1-'Device Energy Use'!$E9)))/1000000</f>
        <v>4.4509107573262478E-2</v>
      </c>
      <c r="O44" s="123">
        <f>(('Energy Usage'!O22*'Retail Rates'!O$5*'Device Energy Use'!$E9+'Energy Usage'!O22*'Retail Rates'!O$6*(1-'Device Energy Use'!$E9)))/1000000</f>
        <v>6.3458339942013053E-2</v>
      </c>
      <c r="P44" s="123">
        <f>(('Energy Usage'!P22*'Retail Rates'!P$5*'Device Energy Use'!$E9+'Energy Usage'!P22*'Retail Rates'!P$6*(1-'Device Energy Use'!$E9)))/1000000</f>
        <v>8.8262163144790587E-2</v>
      </c>
      <c r="Q44" s="123">
        <f>(('Energy Usage'!Q22*'Retail Rates'!Q$5*'Device Energy Use'!$E9+'Energy Usage'!Q22*'Retail Rates'!Q$6*(1-'Device Energy Use'!$E9)))/1000000</f>
        <v>0.11992078932265747</v>
      </c>
      <c r="R44" s="123">
        <f>(('Energy Usage'!R22*'Retail Rates'!R$5*'Device Energy Use'!$E9+'Energy Usage'!R22*'Retail Rates'!R$6*(1-'Device Energy Use'!$E9)))/1000000</f>
        <v>0.15937334187576324</v>
      </c>
      <c r="S44" s="123">
        <f>(('Energy Usage'!S22*'Retail Rates'!S$5*'Device Energy Use'!$E9+'Energy Usage'!S22*'Retail Rates'!S$6*(1-'Device Energy Use'!$E9)))/1000000</f>
        <v>0.20744100012267103</v>
      </c>
      <c r="T44" s="123">
        <f>(('Energy Usage'!T22*'Retail Rates'!T$5*'Device Energy Use'!$E9+'Energy Usage'!T22*'Retail Rates'!T$6*(1-'Device Energy Use'!$E9)))/1000000</f>
        <v>0.2647783353715607</v>
      </c>
      <c r="U44" s="123">
        <f>(('Energy Usage'!U22*'Retail Rates'!U$5*'Device Energy Use'!$E9+'Energy Usage'!U22*'Retail Rates'!U$6*(1-'Device Energy Use'!$E9)))/1000000</f>
        <v>0.3318386528839567</v>
      </c>
      <c r="V44" s="123">
        <f>(('Energy Usage'!V22*'Retail Rates'!V$5*'Device Energy Use'!$E9+'Energy Usage'!V22*'Retail Rates'!V$6*(1-'Device Energy Use'!$E9)))/1000000</f>
        <v>0.40885665267482635</v>
      </c>
      <c r="W44" s="123">
        <f>(('Energy Usage'!W22*'Retail Rates'!W$5*'Device Energy Use'!$E9+'Energy Usage'!W22*'Retail Rates'!W$6*(1-'Device Energy Use'!$E9)))/1000000</f>
        <v>0.49584877983389525</v>
      </c>
    </row>
    <row r="47" spans="1:23">
      <c r="A47" s="12" t="s">
        <v>121</v>
      </c>
    </row>
    <row r="48" spans="1:23">
      <c r="A48" s="14" t="str">
        <f t="shared" ref="A48:W48" si="11">A57</f>
        <v>Water Heat Ending</v>
      </c>
      <c r="B48" s="9">
        <f t="shared" si="11"/>
        <v>2014</v>
      </c>
      <c r="C48" s="9">
        <f t="shared" si="11"/>
        <v>2015</v>
      </c>
      <c r="D48" s="9">
        <f t="shared" si="11"/>
        <v>2016</v>
      </c>
      <c r="E48" s="9">
        <f t="shared" si="11"/>
        <v>2017</v>
      </c>
      <c r="F48" s="9">
        <f t="shared" si="11"/>
        <v>2018</v>
      </c>
      <c r="G48" s="9">
        <f t="shared" si="11"/>
        <v>2019</v>
      </c>
      <c r="H48" s="9">
        <f t="shared" si="11"/>
        <v>2020</v>
      </c>
      <c r="I48" s="9">
        <f t="shared" si="11"/>
        <v>2021</v>
      </c>
      <c r="J48" s="9">
        <f t="shared" si="11"/>
        <v>2022</v>
      </c>
      <c r="K48" s="9">
        <f t="shared" si="11"/>
        <v>2023</v>
      </c>
      <c r="L48" s="9">
        <f t="shared" si="11"/>
        <v>2024</v>
      </c>
      <c r="M48" s="9">
        <f t="shared" si="11"/>
        <v>2025</v>
      </c>
      <c r="N48" s="9">
        <f t="shared" si="11"/>
        <v>2026</v>
      </c>
      <c r="O48" s="9">
        <f t="shared" si="11"/>
        <v>2027</v>
      </c>
      <c r="P48" s="9">
        <f t="shared" si="11"/>
        <v>2028</v>
      </c>
      <c r="Q48" s="9">
        <f t="shared" si="11"/>
        <v>2029</v>
      </c>
      <c r="R48" s="9">
        <f t="shared" si="11"/>
        <v>2030</v>
      </c>
      <c r="S48" s="9">
        <f t="shared" si="11"/>
        <v>2031</v>
      </c>
      <c r="T48" s="9">
        <f t="shared" si="11"/>
        <v>2032</v>
      </c>
      <c r="U48" s="9">
        <f t="shared" si="11"/>
        <v>2033</v>
      </c>
      <c r="V48" s="9">
        <f t="shared" si="11"/>
        <v>2034</v>
      </c>
      <c r="W48" s="9">
        <f t="shared" si="11"/>
        <v>2035</v>
      </c>
    </row>
    <row r="49" spans="1:23" ht="16.5" thickBot="1">
      <c r="A49" s="48" t="str">
        <f t="shared" ref="A49:A54" si="12">A58</f>
        <v>Total</v>
      </c>
      <c r="B49" s="129">
        <f t="shared" ref="B49:W49" si="13">SUM(B50:B54)</f>
        <v>30.718080563362811</v>
      </c>
      <c r="C49" s="129">
        <f t="shared" si="13"/>
        <v>35.644614297985534</v>
      </c>
      <c r="D49" s="129">
        <f t="shared" si="13"/>
        <v>35.040541585023433</v>
      </c>
      <c r="E49" s="129">
        <f t="shared" si="13"/>
        <v>34.489730997703212</v>
      </c>
      <c r="F49" s="129">
        <f t="shared" si="13"/>
        <v>33.989240115214571</v>
      </c>
      <c r="G49" s="129">
        <f t="shared" si="13"/>
        <v>33.536305960663725</v>
      </c>
      <c r="H49" s="129">
        <f t="shared" si="13"/>
        <v>33.128334400312568</v>
      </c>
      <c r="I49" s="129">
        <f t="shared" si="13"/>
        <v>32.762890169379233</v>
      </c>
      <c r="J49" s="129">
        <f t="shared" si="13"/>
        <v>32.43768748769854</v>
      </c>
      <c r="K49" s="129">
        <f t="shared" si="13"/>
        <v>32.150581230672749</v>
      </c>
      <c r="L49" s="129">
        <f t="shared" si="13"/>
        <v>31.899558622951787</v>
      </c>
      <c r="M49" s="129">
        <f t="shared" si="13"/>
        <v>31.682731424176353</v>
      </c>
      <c r="N49" s="129">
        <f t="shared" si="13"/>
        <v>31.498328577901621</v>
      </c>
      <c r="O49" s="129">
        <f t="shared" si="13"/>
        <v>31.344689296501748</v>
      </c>
      <c r="P49" s="129">
        <f t="shared" si="13"/>
        <v>31.220256556440148</v>
      </c>
      <c r="Q49" s="129">
        <f t="shared" si="13"/>
        <v>31.123570979784304</v>
      </c>
      <c r="R49" s="129">
        <f t="shared" si="13"/>
        <v>31.053265079251506</v>
      </c>
      <c r="S49" s="129">
        <f t="shared" si="13"/>
        <v>31.008057845397815</v>
      </c>
      <c r="T49" s="129">
        <f t="shared" si="13"/>
        <v>30.986749655812286</v>
      </c>
      <c r="U49" s="129">
        <f t="shared" si="13"/>
        <v>30.98821748735574</v>
      </c>
      <c r="V49" s="129">
        <f t="shared" si="13"/>
        <v>31.011410413592206</v>
      </c>
      <c r="W49" s="129">
        <f t="shared" si="13"/>
        <v>31.055345370606283</v>
      </c>
    </row>
    <row r="50" spans="1:23" ht="16.5" thickTop="1">
      <c r="A50" s="9" t="str">
        <f t="shared" si="12"/>
        <v>Electric Resistance</v>
      </c>
      <c r="B50" s="123">
        <f t="shared" ref="B50:W50" si="14">B59+B68+B77</f>
        <v>30.718080563362811</v>
      </c>
      <c r="C50" s="123">
        <f t="shared" si="14"/>
        <v>28.889250094610905</v>
      </c>
      <c r="D50" s="123">
        <f t="shared" si="14"/>
        <v>27.169366132429555</v>
      </c>
      <c r="E50" s="123">
        <f t="shared" si="14"/>
        <v>25.551933898094823</v>
      </c>
      <c r="F50" s="123">
        <f t="shared" si="14"/>
        <v>24.030846126203393</v>
      </c>
      <c r="G50" s="123">
        <f t="shared" si="14"/>
        <v>22.600359920002514</v>
      </c>
      <c r="H50" s="123">
        <f t="shared" si="14"/>
        <v>21.255074990734684</v>
      </c>
      <c r="I50" s="123">
        <f t="shared" si="14"/>
        <v>19.989913198116497</v>
      </c>
      <c r="J50" s="123">
        <f t="shared" si="14"/>
        <v>18.800099314042562</v>
      </c>
      <c r="K50" s="123">
        <f t="shared" si="14"/>
        <v>17.681142936278409</v>
      </c>
      <c r="L50" s="123">
        <f t="shared" si="14"/>
        <v>16.628821483298111</v>
      </c>
      <c r="M50" s="123">
        <f t="shared" si="14"/>
        <v>15.639164205550726</v>
      </c>
      <c r="N50" s="123">
        <f t="shared" si="14"/>
        <v>14.708437152319441</v>
      </c>
      <c r="O50" s="123">
        <f t="shared" si="14"/>
        <v>13.833129036984674</v>
      </c>
      <c r="P50" s="123">
        <f t="shared" si="14"/>
        <v>13.009937946930085</v>
      </c>
      <c r="Q50" s="123">
        <f t="shared" si="14"/>
        <v>12.235758847552662</v>
      </c>
      <c r="R50" s="123">
        <f t="shared" si="14"/>
        <v>11.50767183286678</v>
      </c>
      <c r="S50" s="123">
        <f t="shared" si="14"/>
        <v>10.822931078038762</v>
      </c>
      <c r="T50" s="123">
        <f t="shared" si="14"/>
        <v>10.178954451864566</v>
      </c>
      <c r="U50" s="123">
        <f t="shared" si="14"/>
        <v>9.5733137497184284</v>
      </c>
      <c r="V50" s="123">
        <f t="shared" si="14"/>
        <v>9.0037255098647115</v>
      </c>
      <c r="W50" s="123">
        <f t="shared" si="14"/>
        <v>8.4680423782477003</v>
      </c>
    </row>
    <row r="51" spans="1:23">
      <c r="A51" s="9" t="str">
        <f t="shared" si="12"/>
        <v>HPWH</v>
      </c>
      <c r="B51" s="123">
        <f t="shared" ref="B51:W51" si="15">B60+B69+B78</f>
        <v>0</v>
      </c>
      <c r="C51" s="123">
        <f t="shared" si="15"/>
        <v>0</v>
      </c>
      <c r="D51" s="123">
        <f t="shared" si="15"/>
        <v>0</v>
      </c>
      <c r="E51" s="123">
        <f t="shared" si="15"/>
        <v>0</v>
      </c>
      <c r="F51" s="123">
        <f t="shared" si="15"/>
        <v>0</v>
      </c>
      <c r="G51" s="123">
        <f t="shared" si="15"/>
        <v>0</v>
      </c>
      <c r="H51" s="123">
        <f t="shared" si="15"/>
        <v>0</v>
      </c>
      <c r="I51" s="123">
        <f t="shared" si="15"/>
        <v>0</v>
      </c>
      <c r="J51" s="123">
        <f t="shared" si="15"/>
        <v>0</v>
      </c>
      <c r="K51" s="123">
        <f t="shared" si="15"/>
        <v>0</v>
      </c>
      <c r="L51" s="123">
        <f t="shared" si="15"/>
        <v>0</v>
      </c>
      <c r="M51" s="123">
        <f t="shared" si="15"/>
        <v>0</v>
      </c>
      <c r="N51" s="123">
        <f t="shared" si="15"/>
        <v>0</v>
      </c>
      <c r="O51" s="123">
        <f t="shared" si="15"/>
        <v>0</v>
      </c>
      <c r="P51" s="123">
        <f t="shared" si="15"/>
        <v>0</v>
      </c>
      <c r="Q51" s="123">
        <f t="shared" si="15"/>
        <v>0</v>
      </c>
      <c r="R51" s="123">
        <f t="shared" si="15"/>
        <v>0</v>
      </c>
      <c r="S51" s="123">
        <f t="shared" si="15"/>
        <v>0</v>
      </c>
      <c r="T51" s="123">
        <f t="shared" si="15"/>
        <v>0</v>
      </c>
      <c r="U51" s="123">
        <f t="shared" si="15"/>
        <v>0</v>
      </c>
      <c r="V51" s="123">
        <f t="shared" si="15"/>
        <v>0</v>
      </c>
      <c r="W51" s="123">
        <f t="shared" si="15"/>
        <v>0</v>
      </c>
    </row>
    <row r="52" spans="1:23">
      <c r="A52" s="9" t="str">
        <f t="shared" si="12"/>
        <v>Gas Tank</v>
      </c>
      <c r="B52" s="123">
        <f t="shared" ref="B52:W52" si="16">B61+B70+B79</f>
        <v>0</v>
      </c>
      <c r="C52" s="123">
        <f t="shared" si="16"/>
        <v>6.7553642033746311</v>
      </c>
      <c r="D52" s="123">
        <f t="shared" si="16"/>
        <v>7.8711754525938744</v>
      </c>
      <c r="E52" s="123">
        <f t="shared" si="16"/>
        <v>8.9377970996083889</v>
      </c>
      <c r="F52" s="123">
        <f t="shared" si="16"/>
        <v>9.9583939890111743</v>
      </c>
      <c r="G52" s="123">
        <f t="shared" si="16"/>
        <v>10.935946040661207</v>
      </c>
      <c r="H52" s="123">
        <f t="shared" si="16"/>
        <v>11.873259409577887</v>
      </c>
      <c r="I52" s="123">
        <f t="shared" si="16"/>
        <v>12.772976971262738</v>
      </c>
      <c r="J52" s="123">
        <f t="shared" si="16"/>
        <v>13.637588173655981</v>
      </c>
      <c r="K52" s="123">
        <f t="shared" si="16"/>
        <v>14.46943829439434</v>
      </c>
      <c r="L52" s="123">
        <f t="shared" si="16"/>
        <v>15.270737139653676</v>
      </c>
      <c r="M52" s="123">
        <f t="shared" si="16"/>
        <v>16.043567218625626</v>
      </c>
      <c r="N52" s="123">
        <f t="shared" si="16"/>
        <v>16.78989142558218</v>
      </c>
      <c r="O52" s="123">
        <f t="shared" si="16"/>
        <v>17.511560259517072</v>
      </c>
      <c r="P52" s="123">
        <f t="shared" si="16"/>
        <v>18.210318609510061</v>
      </c>
      <c r="Q52" s="123">
        <f t="shared" si="16"/>
        <v>18.887812132231645</v>
      </c>
      <c r="R52" s="123">
        <f t="shared" si="16"/>
        <v>19.545593246384726</v>
      </c>
      <c r="S52" s="123">
        <f t="shared" si="16"/>
        <v>20.185126767359051</v>
      </c>
      <c r="T52" s="123">
        <f t="shared" si="16"/>
        <v>20.80779520394772</v>
      </c>
      <c r="U52" s="123">
        <f t="shared" si="16"/>
        <v>21.414903737637314</v>
      </c>
      <c r="V52" s="123">
        <f t="shared" si="16"/>
        <v>22.007684903727494</v>
      </c>
      <c r="W52" s="123">
        <f t="shared" si="16"/>
        <v>22.58730299235858</v>
      </c>
    </row>
    <row r="53" spans="1:23">
      <c r="A53" s="9" t="str">
        <f t="shared" si="12"/>
        <v>Instant Gas</v>
      </c>
      <c r="B53" s="123">
        <f t="shared" ref="B53:W53" si="17">B62+B71+B80</f>
        <v>0</v>
      </c>
      <c r="C53" s="123">
        <f t="shared" si="17"/>
        <v>0</v>
      </c>
      <c r="D53" s="123">
        <f t="shared" si="17"/>
        <v>0</v>
      </c>
      <c r="E53" s="123">
        <f t="shared" si="17"/>
        <v>0</v>
      </c>
      <c r="F53" s="123">
        <f t="shared" si="17"/>
        <v>0</v>
      </c>
      <c r="G53" s="123">
        <f t="shared" si="17"/>
        <v>0</v>
      </c>
      <c r="H53" s="123">
        <f t="shared" si="17"/>
        <v>0</v>
      </c>
      <c r="I53" s="123">
        <f t="shared" si="17"/>
        <v>0</v>
      </c>
      <c r="J53" s="123">
        <f t="shared" si="17"/>
        <v>0</v>
      </c>
      <c r="K53" s="123">
        <f t="shared" si="17"/>
        <v>0</v>
      </c>
      <c r="L53" s="123">
        <f t="shared" si="17"/>
        <v>0</v>
      </c>
      <c r="M53" s="123">
        <f t="shared" si="17"/>
        <v>0</v>
      </c>
      <c r="N53" s="123">
        <f t="shared" si="17"/>
        <v>0</v>
      </c>
      <c r="O53" s="123">
        <f t="shared" si="17"/>
        <v>0</v>
      </c>
      <c r="P53" s="123">
        <f t="shared" si="17"/>
        <v>0</v>
      </c>
      <c r="Q53" s="123">
        <f t="shared" si="17"/>
        <v>0</v>
      </c>
      <c r="R53" s="123">
        <f t="shared" si="17"/>
        <v>0</v>
      </c>
      <c r="S53" s="123">
        <f t="shared" si="17"/>
        <v>0</v>
      </c>
      <c r="T53" s="123">
        <f t="shared" si="17"/>
        <v>0</v>
      </c>
      <c r="U53" s="123">
        <f t="shared" si="17"/>
        <v>0</v>
      </c>
      <c r="V53" s="123">
        <f t="shared" si="17"/>
        <v>0</v>
      </c>
      <c r="W53" s="123">
        <f t="shared" si="17"/>
        <v>0</v>
      </c>
    </row>
    <row r="54" spans="1:23">
      <c r="A54" s="9" t="str">
        <f t="shared" si="12"/>
        <v>Condensing Gas</v>
      </c>
      <c r="B54" s="123">
        <f t="shared" ref="B54:W54" si="18">B63+B72+B81</f>
        <v>0</v>
      </c>
      <c r="C54" s="123">
        <f t="shared" si="18"/>
        <v>0</v>
      </c>
      <c r="D54" s="123">
        <f t="shared" si="18"/>
        <v>0</v>
      </c>
      <c r="E54" s="123">
        <f t="shared" si="18"/>
        <v>0</v>
      </c>
      <c r="F54" s="123">
        <f t="shared" si="18"/>
        <v>0</v>
      </c>
      <c r="G54" s="123">
        <f t="shared" si="18"/>
        <v>0</v>
      </c>
      <c r="H54" s="123">
        <f t="shared" si="18"/>
        <v>0</v>
      </c>
      <c r="I54" s="123">
        <f t="shared" si="18"/>
        <v>0</v>
      </c>
      <c r="J54" s="123">
        <f t="shared" si="18"/>
        <v>0</v>
      </c>
      <c r="K54" s="123">
        <f t="shared" si="18"/>
        <v>0</v>
      </c>
      <c r="L54" s="123">
        <f t="shared" si="18"/>
        <v>0</v>
      </c>
      <c r="M54" s="123">
        <f t="shared" si="18"/>
        <v>0</v>
      </c>
      <c r="N54" s="123">
        <f t="shared" si="18"/>
        <v>0</v>
      </c>
      <c r="O54" s="123">
        <f t="shared" si="18"/>
        <v>0</v>
      </c>
      <c r="P54" s="123">
        <f t="shared" si="18"/>
        <v>0</v>
      </c>
      <c r="Q54" s="123">
        <f t="shared" si="18"/>
        <v>0</v>
      </c>
      <c r="R54" s="123">
        <f t="shared" si="18"/>
        <v>0</v>
      </c>
      <c r="S54" s="123">
        <f t="shared" si="18"/>
        <v>0</v>
      </c>
      <c r="T54" s="123">
        <f t="shared" si="18"/>
        <v>0</v>
      </c>
      <c r="U54" s="123">
        <f t="shared" si="18"/>
        <v>0</v>
      </c>
      <c r="V54" s="123">
        <f t="shared" si="18"/>
        <v>0</v>
      </c>
      <c r="W54" s="123">
        <f t="shared" si="18"/>
        <v>0</v>
      </c>
    </row>
    <row r="55" spans="1:23">
      <c r="A55" s="12"/>
    </row>
    <row r="56" spans="1:23">
      <c r="A56" s="12" t="s">
        <v>122</v>
      </c>
    </row>
    <row r="57" spans="1:23">
      <c r="A57" s="14" t="str">
        <f>'Water Heaters Purchased'!A13</f>
        <v>Water Heat Ending</v>
      </c>
      <c r="B57" s="9">
        <f>'Water Heaters Purchased'!B13</f>
        <v>2014</v>
      </c>
      <c r="C57" s="9">
        <f>'Water Heaters Purchased'!C13</f>
        <v>2015</v>
      </c>
      <c r="D57" s="9">
        <f>'Water Heaters Purchased'!D13</f>
        <v>2016</v>
      </c>
      <c r="E57" s="9">
        <f>'Water Heaters Purchased'!E13</f>
        <v>2017</v>
      </c>
      <c r="F57" s="9">
        <f>'Water Heaters Purchased'!F13</f>
        <v>2018</v>
      </c>
      <c r="G57" s="9">
        <f>'Water Heaters Purchased'!G13</f>
        <v>2019</v>
      </c>
      <c r="H57" s="9">
        <f>'Water Heaters Purchased'!H13</f>
        <v>2020</v>
      </c>
      <c r="I57" s="9">
        <f>'Water Heaters Purchased'!I13</f>
        <v>2021</v>
      </c>
      <c r="J57" s="9">
        <f>'Water Heaters Purchased'!J13</f>
        <v>2022</v>
      </c>
      <c r="K57" s="9">
        <f>'Water Heaters Purchased'!K13</f>
        <v>2023</v>
      </c>
      <c r="L57" s="9">
        <f>'Water Heaters Purchased'!L13</f>
        <v>2024</v>
      </c>
      <c r="M57" s="9">
        <f>'Water Heaters Purchased'!M13</f>
        <v>2025</v>
      </c>
      <c r="N57" s="9">
        <f>'Water Heaters Purchased'!N13</f>
        <v>2026</v>
      </c>
      <c r="O57" s="9">
        <f>'Water Heaters Purchased'!O13</f>
        <v>2027</v>
      </c>
      <c r="P57" s="9">
        <f>'Water Heaters Purchased'!P13</f>
        <v>2028</v>
      </c>
      <c r="Q57" s="9">
        <f>'Water Heaters Purchased'!Q13</f>
        <v>2029</v>
      </c>
      <c r="R57" s="9">
        <f>'Water Heaters Purchased'!R13</f>
        <v>2030</v>
      </c>
      <c r="S57" s="9">
        <f>'Water Heaters Purchased'!S13</f>
        <v>2031</v>
      </c>
      <c r="T57" s="9">
        <f>'Water Heaters Purchased'!T13</f>
        <v>2032</v>
      </c>
      <c r="U57" s="9">
        <f>'Water Heaters Purchased'!U13</f>
        <v>2033</v>
      </c>
      <c r="V57" s="9">
        <f>'Water Heaters Purchased'!V13</f>
        <v>2034</v>
      </c>
      <c r="W57" s="9">
        <f>'Water Heaters Purchased'!W13</f>
        <v>2035</v>
      </c>
    </row>
    <row r="58" spans="1:23" ht="16.5" thickBot="1">
      <c r="A58" s="48" t="s">
        <v>49</v>
      </c>
      <c r="B58" s="129">
        <f t="shared" ref="B58" si="19">SUM(B59:B63)</f>
        <v>0</v>
      </c>
      <c r="C58" s="129">
        <f t="shared" ref="C58:D58" si="20">SUM(C59:C63)</f>
        <v>5.5870017042386184</v>
      </c>
      <c r="D58" s="129">
        <f t="shared" si="20"/>
        <v>5.5870017042386184</v>
      </c>
      <c r="E58" s="129">
        <f t="shared" ref="E58:W58" si="21">SUM(E59:E63)</f>
        <v>5.5870017042386193</v>
      </c>
      <c r="F58" s="129">
        <f t="shared" si="21"/>
        <v>5.5870017042386193</v>
      </c>
      <c r="G58" s="129">
        <f t="shared" si="21"/>
        <v>5.5870017042386193</v>
      </c>
      <c r="H58" s="129">
        <f t="shared" si="21"/>
        <v>5.5870017042386184</v>
      </c>
      <c r="I58" s="129">
        <f t="shared" si="21"/>
        <v>5.5870017042386193</v>
      </c>
      <c r="J58" s="129">
        <f t="shared" si="21"/>
        <v>5.5870017042386193</v>
      </c>
      <c r="K58" s="129">
        <f t="shared" si="21"/>
        <v>5.5870017042386184</v>
      </c>
      <c r="L58" s="129">
        <f t="shared" si="21"/>
        <v>5.5870017042386193</v>
      </c>
      <c r="M58" s="129">
        <f t="shared" si="21"/>
        <v>5.5870017042386184</v>
      </c>
      <c r="N58" s="129">
        <f t="shared" si="21"/>
        <v>5.5870017042386193</v>
      </c>
      <c r="O58" s="129">
        <f t="shared" si="21"/>
        <v>5.5870017042386193</v>
      </c>
      <c r="P58" s="129">
        <f t="shared" si="21"/>
        <v>5.5870017042386193</v>
      </c>
      <c r="Q58" s="129">
        <f t="shared" si="21"/>
        <v>5.5870017042386193</v>
      </c>
      <c r="R58" s="129">
        <f t="shared" si="21"/>
        <v>5.5870017042386193</v>
      </c>
      <c r="S58" s="129">
        <f t="shared" si="21"/>
        <v>5.5870017042386193</v>
      </c>
      <c r="T58" s="129">
        <f t="shared" si="21"/>
        <v>5.5870017042386193</v>
      </c>
      <c r="U58" s="129">
        <f t="shared" si="21"/>
        <v>5.5870017042386184</v>
      </c>
      <c r="V58" s="129">
        <f t="shared" si="21"/>
        <v>5.5870017042386184</v>
      </c>
      <c r="W58" s="129">
        <f t="shared" si="21"/>
        <v>5.5870017042386184</v>
      </c>
    </row>
    <row r="59" spans="1:23" ht="16.5" thickTop="1">
      <c r="A59" s="38" t="str">
        <f>'Water Heaters Purchased'!A15</f>
        <v>Electric Resistance</v>
      </c>
      <c r="B59" s="123">
        <f>'Water Heaters Purchased'!B15*'Capital Cost'!$E5/1000000</f>
        <v>0</v>
      </c>
      <c r="C59" s="123">
        <f>'Water Heaters Purchased'!C15*'Capital Cost'!$E5/1000000</f>
        <v>0</v>
      </c>
      <c r="D59" s="123">
        <f>'Water Heaters Purchased'!D15*'Capital Cost'!$E5/1000000</f>
        <v>0</v>
      </c>
      <c r="E59" s="123">
        <f>'Water Heaters Purchased'!E15*'Capital Cost'!$E5/1000000</f>
        <v>0</v>
      </c>
      <c r="F59" s="123">
        <f>'Water Heaters Purchased'!F15*'Capital Cost'!$E5/1000000</f>
        <v>0</v>
      </c>
      <c r="G59" s="123">
        <f>'Water Heaters Purchased'!G15*'Capital Cost'!$E5/1000000</f>
        <v>0</v>
      </c>
      <c r="H59" s="123">
        <f>'Water Heaters Purchased'!H15*'Capital Cost'!$E5/1000000</f>
        <v>0</v>
      </c>
      <c r="I59" s="123">
        <f>'Water Heaters Purchased'!I15*'Capital Cost'!$E5/1000000</f>
        <v>0</v>
      </c>
      <c r="J59" s="123">
        <f>'Water Heaters Purchased'!J15*'Capital Cost'!$E5/1000000</f>
        <v>0</v>
      </c>
      <c r="K59" s="123">
        <f>'Water Heaters Purchased'!K15*'Capital Cost'!$E5/1000000</f>
        <v>0</v>
      </c>
      <c r="L59" s="123">
        <f>'Water Heaters Purchased'!L15*'Capital Cost'!$E5/1000000</f>
        <v>0</v>
      </c>
      <c r="M59" s="123">
        <f>'Water Heaters Purchased'!M15*'Capital Cost'!$E5/1000000</f>
        <v>0</v>
      </c>
      <c r="N59" s="123">
        <f>'Water Heaters Purchased'!N15*'Capital Cost'!$E5/1000000</f>
        <v>0</v>
      </c>
      <c r="O59" s="123">
        <f>'Water Heaters Purchased'!O15*'Capital Cost'!$E5/1000000</f>
        <v>0</v>
      </c>
      <c r="P59" s="123">
        <f>'Water Heaters Purchased'!P15*'Capital Cost'!$E5/1000000</f>
        <v>0</v>
      </c>
      <c r="Q59" s="123">
        <f>'Water Heaters Purchased'!Q15*'Capital Cost'!$E5/1000000</f>
        <v>0</v>
      </c>
      <c r="R59" s="123">
        <f>'Water Heaters Purchased'!R15*'Capital Cost'!$E5/1000000</f>
        <v>0</v>
      </c>
      <c r="S59" s="123">
        <f>'Water Heaters Purchased'!S15*'Capital Cost'!$E5/1000000</f>
        <v>0</v>
      </c>
      <c r="T59" s="123">
        <f>'Water Heaters Purchased'!T15*'Capital Cost'!$E5/1000000</f>
        <v>0</v>
      </c>
      <c r="U59" s="123">
        <f>'Water Heaters Purchased'!U15*'Capital Cost'!$E5/1000000</f>
        <v>0</v>
      </c>
      <c r="V59" s="123">
        <f>'Water Heaters Purchased'!V15*'Capital Cost'!$E5/1000000</f>
        <v>0</v>
      </c>
      <c r="W59" s="123">
        <f>'Water Heaters Purchased'!W15*'Capital Cost'!$E5/1000000</f>
        <v>0</v>
      </c>
    </row>
    <row r="60" spans="1:23">
      <c r="A60" s="38" t="str">
        <f>'Water Heaters Purchased'!A16</f>
        <v>HPWH</v>
      </c>
      <c r="B60" s="123">
        <f>'Water Heaters Purchased'!B16*'Capital Cost'!$E6/1000000</f>
        <v>0</v>
      </c>
      <c r="C60" s="123">
        <f>'Water Heaters Purchased'!C16*'Capital Cost'!$E6/1000000</f>
        <v>0</v>
      </c>
      <c r="D60" s="123">
        <f>'Water Heaters Purchased'!D16*'Capital Cost'!$E6/1000000</f>
        <v>0</v>
      </c>
      <c r="E60" s="123">
        <f>'Water Heaters Purchased'!E16*'Capital Cost'!$E6/1000000</f>
        <v>0</v>
      </c>
      <c r="F60" s="123">
        <f>'Water Heaters Purchased'!F16*'Capital Cost'!$E6/1000000</f>
        <v>0</v>
      </c>
      <c r="G60" s="123">
        <f>'Water Heaters Purchased'!G16*'Capital Cost'!$E6/1000000</f>
        <v>0</v>
      </c>
      <c r="H60" s="123">
        <f>'Water Heaters Purchased'!H16*'Capital Cost'!$E6/1000000</f>
        <v>0</v>
      </c>
      <c r="I60" s="123">
        <f>'Water Heaters Purchased'!I16*'Capital Cost'!$E6/1000000</f>
        <v>0</v>
      </c>
      <c r="J60" s="123">
        <f>'Water Heaters Purchased'!J16*'Capital Cost'!$E6/1000000</f>
        <v>0</v>
      </c>
      <c r="K60" s="123">
        <f>'Water Heaters Purchased'!K16*'Capital Cost'!$E6/1000000</f>
        <v>0</v>
      </c>
      <c r="L60" s="123">
        <f>'Water Heaters Purchased'!L16*'Capital Cost'!$E6/1000000</f>
        <v>0</v>
      </c>
      <c r="M60" s="123">
        <f>'Water Heaters Purchased'!M16*'Capital Cost'!$E6/1000000</f>
        <v>0</v>
      </c>
      <c r="N60" s="123">
        <f>'Water Heaters Purchased'!N16*'Capital Cost'!$E6/1000000</f>
        <v>0</v>
      </c>
      <c r="O60" s="123">
        <f>'Water Heaters Purchased'!O16*'Capital Cost'!$E6/1000000</f>
        <v>0</v>
      </c>
      <c r="P60" s="123">
        <f>'Water Heaters Purchased'!P16*'Capital Cost'!$E6/1000000</f>
        <v>0</v>
      </c>
      <c r="Q60" s="123">
        <f>'Water Heaters Purchased'!Q16*'Capital Cost'!$E6/1000000</f>
        <v>0</v>
      </c>
      <c r="R60" s="123">
        <f>'Water Heaters Purchased'!R16*'Capital Cost'!$E6/1000000</f>
        <v>0</v>
      </c>
      <c r="S60" s="123">
        <f>'Water Heaters Purchased'!S16*'Capital Cost'!$E6/1000000</f>
        <v>0</v>
      </c>
      <c r="T60" s="123">
        <f>'Water Heaters Purchased'!T16*'Capital Cost'!$E6/1000000</f>
        <v>0</v>
      </c>
      <c r="U60" s="123">
        <f>'Water Heaters Purchased'!U16*'Capital Cost'!$E6/1000000</f>
        <v>0</v>
      </c>
      <c r="V60" s="123">
        <f>'Water Heaters Purchased'!V16*'Capital Cost'!$E6/1000000</f>
        <v>0</v>
      </c>
      <c r="W60" s="123">
        <f>'Water Heaters Purchased'!W16*'Capital Cost'!$E6/1000000</f>
        <v>0</v>
      </c>
    </row>
    <row r="61" spans="1:23">
      <c r="A61" s="38" t="str">
        <f>'Water Heaters Purchased'!A17</f>
        <v>Gas Tank</v>
      </c>
      <c r="B61" s="123">
        <f>'Water Heaters Purchased'!B17*'Capital Cost'!$E7/1000000</f>
        <v>0</v>
      </c>
      <c r="C61" s="123">
        <f>'Water Heaters Purchased'!C17*'Capital Cost'!$E7/1000000</f>
        <v>5.5870017042386184</v>
      </c>
      <c r="D61" s="123">
        <f>'Water Heaters Purchased'!D17*'Capital Cost'!$E7/1000000</f>
        <v>5.5870017042386184</v>
      </c>
      <c r="E61" s="123">
        <f>'Water Heaters Purchased'!E17*'Capital Cost'!$E7/1000000</f>
        <v>5.5870017042386193</v>
      </c>
      <c r="F61" s="123">
        <f>'Water Heaters Purchased'!F17*'Capital Cost'!$E7/1000000</f>
        <v>5.5870017042386193</v>
      </c>
      <c r="G61" s="123">
        <f>'Water Heaters Purchased'!G17*'Capital Cost'!$E7/1000000</f>
        <v>5.5870017042386193</v>
      </c>
      <c r="H61" s="123">
        <f>'Water Heaters Purchased'!H17*'Capital Cost'!$E7/1000000</f>
        <v>5.5870017042386184</v>
      </c>
      <c r="I61" s="123">
        <f>'Water Heaters Purchased'!I17*'Capital Cost'!$E7/1000000</f>
        <v>5.5870017042386193</v>
      </c>
      <c r="J61" s="123">
        <f>'Water Heaters Purchased'!J17*'Capital Cost'!$E7/1000000</f>
        <v>5.5870017042386193</v>
      </c>
      <c r="K61" s="123">
        <f>'Water Heaters Purchased'!K17*'Capital Cost'!$E7/1000000</f>
        <v>5.5870017042386184</v>
      </c>
      <c r="L61" s="123">
        <f>'Water Heaters Purchased'!L17*'Capital Cost'!$E7/1000000</f>
        <v>5.5870017042386193</v>
      </c>
      <c r="M61" s="123">
        <f>'Water Heaters Purchased'!M17*'Capital Cost'!$E7/1000000</f>
        <v>5.5870017042386184</v>
      </c>
      <c r="N61" s="123">
        <f>'Water Heaters Purchased'!N17*'Capital Cost'!$E7/1000000</f>
        <v>5.5870017042386193</v>
      </c>
      <c r="O61" s="123">
        <f>'Water Heaters Purchased'!O17*'Capital Cost'!$E7/1000000</f>
        <v>5.5870017042386193</v>
      </c>
      <c r="P61" s="123">
        <f>'Water Heaters Purchased'!P17*'Capital Cost'!$E7/1000000</f>
        <v>5.5870017042386193</v>
      </c>
      <c r="Q61" s="123">
        <f>'Water Heaters Purchased'!Q17*'Capital Cost'!$E7/1000000</f>
        <v>5.5870017042386193</v>
      </c>
      <c r="R61" s="123">
        <f>'Water Heaters Purchased'!R17*'Capital Cost'!$E7/1000000</f>
        <v>5.5870017042386193</v>
      </c>
      <c r="S61" s="123">
        <f>'Water Heaters Purchased'!S17*'Capital Cost'!$E7/1000000</f>
        <v>5.5870017042386193</v>
      </c>
      <c r="T61" s="123">
        <f>'Water Heaters Purchased'!T17*'Capital Cost'!$E7/1000000</f>
        <v>5.5870017042386193</v>
      </c>
      <c r="U61" s="123">
        <f>'Water Heaters Purchased'!U17*'Capital Cost'!$E7/1000000</f>
        <v>5.5870017042386184</v>
      </c>
      <c r="V61" s="123">
        <f>'Water Heaters Purchased'!V17*'Capital Cost'!$E7/1000000</f>
        <v>5.5870017042386184</v>
      </c>
      <c r="W61" s="123">
        <f>'Water Heaters Purchased'!W17*'Capital Cost'!$E7/1000000</f>
        <v>5.5870017042386184</v>
      </c>
    </row>
    <row r="62" spans="1:23">
      <c r="A62" s="38" t="str">
        <f>'Water Heaters Purchased'!A18</f>
        <v>Instant Gas</v>
      </c>
      <c r="B62" s="123">
        <f>'Water Heaters Purchased'!B18*'Capital Cost'!$E8/1000000</f>
        <v>0</v>
      </c>
      <c r="C62" s="123">
        <f>'Water Heaters Purchased'!C18*'Capital Cost'!$E8/1000000</f>
        <v>0</v>
      </c>
      <c r="D62" s="123">
        <f>'Water Heaters Purchased'!D18*'Capital Cost'!$E8/1000000</f>
        <v>0</v>
      </c>
      <c r="E62" s="123">
        <f>'Water Heaters Purchased'!E18*'Capital Cost'!$E8/1000000</f>
        <v>0</v>
      </c>
      <c r="F62" s="123">
        <f>'Water Heaters Purchased'!F18*'Capital Cost'!$E8/1000000</f>
        <v>0</v>
      </c>
      <c r="G62" s="123">
        <f>'Water Heaters Purchased'!G18*'Capital Cost'!$E8/1000000</f>
        <v>0</v>
      </c>
      <c r="H62" s="123">
        <f>'Water Heaters Purchased'!H18*'Capital Cost'!$E8/1000000</f>
        <v>0</v>
      </c>
      <c r="I62" s="123">
        <f>'Water Heaters Purchased'!I18*'Capital Cost'!$E8/1000000</f>
        <v>0</v>
      </c>
      <c r="J62" s="123">
        <f>'Water Heaters Purchased'!J18*'Capital Cost'!$E8/1000000</f>
        <v>0</v>
      </c>
      <c r="K62" s="123">
        <f>'Water Heaters Purchased'!K18*'Capital Cost'!$E8/1000000</f>
        <v>0</v>
      </c>
      <c r="L62" s="123">
        <f>'Water Heaters Purchased'!L18*'Capital Cost'!$E8/1000000</f>
        <v>0</v>
      </c>
      <c r="M62" s="123">
        <f>'Water Heaters Purchased'!M18*'Capital Cost'!$E8/1000000</f>
        <v>0</v>
      </c>
      <c r="N62" s="123">
        <f>'Water Heaters Purchased'!N18*'Capital Cost'!$E8/1000000</f>
        <v>0</v>
      </c>
      <c r="O62" s="123">
        <f>'Water Heaters Purchased'!O18*'Capital Cost'!$E8/1000000</f>
        <v>0</v>
      </c>
      <c r="P62" s="123">
        <f>'Water Heaters Purchased'!P18*'Capital Cost'!$E8/1000000</f>
        <v>0</v>
      </c>
      <c r="Q62" s="123">
        <f>'Water Heaters Purchased'!Q18*'Capital Cost'!$E8/1000000</f>
        <v>0</v>
      </c>
      <c r="R62" s="123">
        <f>'Water Heaters Purchased'!R18*'Capital Cost'!$E8/1000000</f>
        <v>0</v>
      </c>
      <c r="S62" s="123">
        <f>'Water Heaters Purchased'!S18*'Capital Cost'!$E8/1000000</f>
        <v>0</v>
      </c>
      <c r="T62" s="123">
        <f>'Water Heaters Purchased'!T18*'Capital Cost'!$E8/1000000</f>
        <v>0</v>
      </c>
      <c r="U62" s="123">
        <f>'Water Heaters Purchased'!U18*'Capital Cost'!$E8/1000000</f>
        <v>0</v>
      </c>
      <c r="V62" s="123">
        <f>'Water Heaters Purchased'!V18*'Capital Cost'!$E8/1000000</f>
        <v>0</v>
      </c>
      <c r="W62" s="123">
        <f>'Water Heaters Purchased'!W18*'Capital Cost'!$E8/1000000</f>
        <v>0</v>
      </c>
    </row>
    <row r="63" spans="1:23">
      <c r="A63" s="38" t="str">
        <f>'Water Heaters Purchased'!A19</f>
        <v>Condensing Gas</v>
      </c>
      <c r="B63" s="123">
        <f>'Water Heaters Purchased'!B19*'Capital Cost'!$E9/1000000</f>
        <v>0</v>
      </c>
      <c r="C63" s="123">
        <f>'Water Heaters Purchased'!C19*'Capital Cost'!$E9/1000000</f>
        <v>0</v>
      </c>
      <c r="D63" s="123">
        <f>'Water Heaters Purchased'!D19*'Capital Cost'!$E9/1000000</f>
        <v>0</v>
      </c>
      <c r="E63" s="123">
        <f>'Water Heaters Purchased'!E19*'Capital Cost'!$E9/1000000</f>
        <v>0</v>
      </c>
      <c r="F63" s="123">
        <f>'Water Heaters Purchased'!F19*'Capital Cost'!$E9/1000000</f>
        <v>0</v>
      </c>
      <c r="G63" s="123">
        <f>'Water Heaters Purchased'!G19*'Capital Cost'!$E9/1000000</f>
        <v>0</v>
      </c>
      <c r="H63" s="123">
        <f>'Water Heaters Purchased'!H19*'Capital Cost'!$E9/1000000</f>
        <v>0</v>
      </c>
      <c r="I63" s="123">
        <f>'Water Heaters Purchased'!I19*'Capital Cost'!$E9/1000000</f>
        <v>0</v>
      </c>
      <c r="J63" s="123">
        <f>'Water Heaters Purchased'!J19*'Capital Cost'!$E9/1000000</f>
        <v>0</v>
      </c>
      <c r="K63" s="123">
        <f>'Water Heaters Purchased'!K19*'Capital Cost'!$E9/1000000</f>
        <v>0</v>
      </c>
      <c r="L63" s="123">
        <f>'Water Heaters Purchased'!L19*'Capital Cost'!$E9/1000000</f>
        <v>0</v>
      </c>
      <c r="M63" s="123">
        <f>'Water Heaters Purchased'!M19*'Capital Cost'!$E9/1000000</f>
        <v>0</v>
      </c>
      <c r="N63" s="123">
        <f>'Water Heaters Purchased'!N19*'Capital Cost'!$E9/1000000</f>
        <v>0</v>
      </c>
      <c r="O63" s="123">
        <f>'Water Heaters Purchased'!O19*'Capital Cost'!$E9/1000000</f>
        <v>0</v>
      </c>
      <c r="P63" s="123">
        <f>'Water Heaters Purchased'!P19*'Capital Cost'!$E9/1000000</f>
        <v>0</v>
      </c>
      <c r="Q63" s="123">
        <f>'Water Heaters Purchased'!Q19*'Capital Cost'!$E9/1000000</f>
        <v>0</v>
      </c>
      <c r="R63" s="123">
        <f>'Water Heaters Purchased'!R19*'Capital Cost'!$E9/1000000</f>
        <v>0</v>
      </c>
      <c r="S63" s="123">
        <f>'Water Heaters Purchased'!S19*'Capital Cost'!$E9/1000000</f>
        <v>0</v>
      </c>
      <c r="T63" s="123">
        <f>'Water Heaters Purchased'!T19*'Capital Cost'!$E9/1000000</f>
        <v>0</v>
      </c>
      <c r="U63" s="123">
        <f>'Water Heaters Purchased'!U19*'Capital Cost'!$E9/1000000</f>
        <v>0</v>
      </c>
      <c r="V63" s="123">
        <f>'Water Heaters Purchased'!V19*'Capital Cost'!$E9/1000000</f>
        <v>0</v>
      </c>
      <c r="W63" s="123">
        <f>'Water Heaters Purchased'!W19*'Capital Cost'!$E9/1000000</f>
        <v>0</v>
      </c>
    </row>
    <row r="64" spans="1:23">
      <c r="A64" s="12"/>
    </row>
    <row r="65" spans="1:23">
      <c r="A65" s="12" t="s">
        <v>123</v>
      </c>
    </row>
    <row r="66" spans="1:23">
      <c r="A66" s="23" t="str">
        <f>'Water Heater Stock'!A13</f>
        <v>Water Heat Ending</v>
      </c>
      <c r="B66" s="9">
        <f>'Water Heater Stock'!B13</f>
        <v>2014</v>
      </c>
      <c r="C66" s="9">
        <f>'Water Heater Stock'!C13</f>
        <v>2015</v>
      </c>
      <c r="D66" s="9">
        <f>'Water Heater Stock'!D13</f>
        <v>2016</v>
      </c>
      <c r="E66" s="9">
        <f>'Water Heater Stock'!E13</f>
        <v>2017</v>
      </c>
      <c r="F66" s="9">
        <f>'Water Heater Stock'!F13</f>
        <v>2018</v>
      </c>
      <c r="G66" s="9">
        <f>'Water Heater Stock'!G13</f>
        <v>2019</v>
      </c>
      <c r="H66" s="9">
        <f>'Water Heater Stock'!H13</f>
        <v>2020</v>
      </c>
      <c r="I66" s="9">
        <f>'Water Heater Stock'!I13</f>
        <v>2021</v>
      </c>
      <c r="J66" s="9">
        <f>'Water Heater Stock'!J13</f>
        <v>2022</v>
      </c>
      <c r="K66" s="9">
        <f>'Water Heater Stock'!K13</f>
        <v>2023</v>
      </c>
      <c r="L66" s="9">
        <f>'Water Heater Stock'!L13</f>
        <v>2024</v>
      </c>
      <c r="M66" s="9">
        <f>'Water Heater Stock'!M13</f>
        <v>2025</v>
      </c>
      <c r="N66" s="9">
        <f>'Water Heater Stock'!N13</f>
        <v>2026</v>
      </c>
      <c r="O66" s="9">
        <f>'Water Heater Stock'!O13</f>
        <v>2027</v>
      </c>
      <c r="P66" s="9">
        <f>'Water Heater Stock'!P13</f>
        <v>2028</v>
      </c>
      <c r="Q66" s="9">
        <f>'Water Heater Stock'!Q13</f>
        <v>2029</v>
      </c>
      <c r="R66" s="9">
        <f>'Water Heater Stock'!R13</f>
        <v>2030</v>
      </c>
      <c r="S66" s="9">
        <f>'Water Heater Stock'!S13</f>
        <v>2031</v>
      </c>
      <c r="T66" s="9">
        <f>'Water Heater Stock'!T13</f>
        <v>2032</v>
      </c>
      <c r="U66" s="9">
        <f>'Water Heater Stock'!U13</f>
        <v>2033</v>
      </c>
      <c r="V66" s="9">
        <f>'Water Heater Stock'!V13</f>
        <v>2034</v>
      </c>
      <c r="W66" s="9">
        <f>'Water Heater Stock'!W13</f>
        <v>2035</v>
      </c>
    </row>
    <row r="67" spans="1:23" ht="16.5" thickBot="1">
      <c r="A67" s="48" t="str">
        <f t="shared" ref="A67" si="22">A68</f>
        <v>Electric Resistance</v>
      </c>
      <c r="B67" s="129">
        <f t="shared" ref="B67" si="23">SUM(B68:B72)</f>
        <v>0.45503913829745152</v>
      </c>
      <c r="C67" s="129">
        <f t="shared" ref="C67:W67" si="24">SUM(C68:C72)</f>
        <v>0.52263958183764225</v>
      </c>
      <c r="D67" s="129">
        <f t="shared" si="24"/>
        <v>0.58541142226781939</v>
      </c>
      <c r="E67" s="129">
        <f t="shared" si="24"/>
        <v>0.64369955981012672</v>
      </c>
      <c r="F67" s="129">
        <f t="shared" si="24"/>
        <v>0.69782425895655487</v>
      </c>
      <c r="G67" s="129">
        <f t="shared" si="24"/>
        <v>0.7480829081639524</v>
      </c>
      <c r="H67" s="129">
        <f t="shared" si="24"/>
        <v>0.79475165385653601</v>
      </c>
      <c r="I67" s="129">
        <f t="shared" si="24"/>
        <v>0.83808691771393495</v>
      </c>
      <c r="J67" s="129">
        <f t="shared" si="24"/>
        <v>0.87832680558151965</v>
      </c>
      <c r="K67" s="129">
        <f t="shared" si="24"/>
        <v>0.91569241574427696</v>
      </c>
      <c r="L67" s="129">
        <f t="shared" si="24"/>
        <v>0.95038905375255156</v>
      </c>
      <c r="M67" s="129">
        <f t="shared" si="24"/>
        <v>0.9826073604745208</v>
      </c>
      <c r="N67" s="129">
        <f t="shared" si="24"/>
        <v>1.0125243595734923</v>
      </c>
      <c r="O67" s="129">
        <f t="shared" si="24"/>
        <v>1.0403044301653945</v>
      </c>
      <c r="P67" s="129">
        <f t="shared" si="24"/>
        <v>1.066100210000732</v>
      </c>
      <c r="Q67" s="129">
        <f t="shared" si="24"/>
        <v>1.0900534341335455</v>
      </c>
      <c r="R67" s="129">
        <f t="shared" si="24"/>
        <v>1.1122957136854439</v>
      </c>
      <c r="S67" s="129">
        <f t="shared" si="24"/>
        <v>1.132949258983635</v>
      </c>
      <c r="T67" s="129">
        <f t="shared" si="24"/>
        <v>1.1521275510462412</v>
      </c>
      <c r="U67" s="129">
        <f t="shared" si="24"/>
        <v>1.1699359651043755</v>
      </c>
      <c r="V67" s="129">
        <f t="shared" si="24"/>
        <v>1.1864723495869285</v>
      </c>
      <c r="W67" s="129">
        <f t="shared" si="24"/>
        <v>1.2018275637492992</v>
      </c>
    </row>
    <row r="68" spans="1:23" ht="16.5" thickTop="1">
      <c r="A68" s="38" t="str">
        <f>'Water Heater Stock'!A15</f>
        <v>Electric Resistance</v>
      </c>
      <c r="B68" s="123">
        <f>'Water Heater Stock'!B15*'O&amp;M Cost'!$D5/1000000</f>
        <v>0.45503913829745152</v>
      </c>
      <c r="C68" s="123">
        <f>'Water Heater Stock'!C15*'O&amp;M Cost'!$D5/1000000</f>
        <v>0.42253634270477647</v>
      </c>
      <c r="D68" s="123">
        <f>'Water Heater Stock'!D15*'O&amp;M Cost'!$D5/1000000</f>
        <v>0.392355175368721</v>
      </c>
      <c r="E68" s="123">
        <f>'Water Heater Stock'!E15*'O&amp;M Cost'!$D5/1000000</f>
        <v>0.36432980569952667</v>
      </c>
      <c r="F68" s="123">
        <f>'Water Heater Stock'!F15*'O&amp;M Cost'!$D5/1000000</f>
        <v>0.33830624814956045</v>
      </c>
      <c r="G68" s="123">
        <f>'Water Heater Stock'!G15*'O&amp;M Cost'!$D5/1000000</f>
        <v>0.31414151613887753</v>
      </c>
      <c r="H68" s="123">
        <f>'Water Heater Stock'!H15*'O&amp;M Cost'!$D5/1000000</f>
        <v>0.29170283641467204</v>
      </c>
      <c r="I68" s="123">
        <f>'Water Heater Stock'!I15*'O&amp;M Cost'!$D5/1000000</f>
        <v>0.2708669195279097</v>
      </c>
      <c r="J68" s="123">
        <f>'Water Heater Stock'!J15*'O&amp;M Cost'!$D5/1000000</f>
        <v>0.25151928241877336</v>
      </c>
      <c r="K68" s="123">
        <f>'Water Heater Stock'!K15*'O&amp;M Cost'!$D5/1000000</f>
        <v>0.23355361938886093</v>
      </c>
      <c r="L68" s="123">
        <f>'Water Heater Stock'!L15*'O&amp;M Cost'!$D5/1000000</f>
        <v>0.2168712180039423</v>
      </c>
      <c r="M68" s="123">
        <f>'Water Heater Stock'!M15*'O&amp;M Cost'!$D5/1000000</f>
        <v>0.2013804167179464</v>
      </c>
      <c r="N68" s="123">
        <f>'Water Heater Stock'!N15*'O&amp;M Cost'!$D5/1000000</f>
        <v>0.1869961012380931</v>
      </c>
      <c r="O68" s="123">
        <f>'Water Heater Stock'!O15*'O&amp;M Cost'!$D5/1000000</f>
        <v>0.17363923686394361</v>
      </c>
      <c r="P68" s="123">
        <f>'Water Heater Stock'!P15*'O&amp;M Cost'!$D5/1000000</f>
        <v>0.1612364342308048</v>
      </c>
      <c r="Q68" s="123">
        <f>'Water Heater Stock'!Q15*'O&amp;M Cost'!$D5/1000000</f>
        <v>0.1497195460714616</v>
      </c>
      <c r="R68" s="123">
        <f>'Water Heater Stock'!R15*'O&amp;M Cost'!$D5/1000000</f>
        <v>0.13902529278064293</v>
      </c>
      <c r="S68" s="123">
        <f>'Water Heater Stock'!S15*'O&amp;M Cost'!$D5/1000000</f>
        <v>0.12909491472488271</v>
      </c>
      <c r="T68" s="123">
        <f>'Water Heater Stock'!T15*'O&amp;M Cost'!$D5/1000000</f>
        <v>0.1198738493873911</v>
      </c>
      <c r="U68" s="123">
        <f>'Water Heater Stock'!U15*'O&amp;M Cost'!$D5/1000000</f>
        <v>0.11131143157400601</v>
      </c>
      <c r="V68" s="123">
        <f>'Water Heater Stock'!V15*'O&amp;M Cost'!$D5/1000000</f>
        <v>0.10336061503300559</v>
      </c>
      <c r="W68" s="123">
        <f>'Water Heater Stock'!W15*'O&amp;M Cost'!$D5/1000000</f>
        <v>9.5977713959219474E-2</v>
      </c>
    </row>
    <row r="69" spans="1:23">
      <c r="A69" s="38" t="str">
        <f>'Water Heater Stock'!A16</f>
        <v>HPWH</v>
      </c>
      <c r="B69" s="123">
        <f>'Water Heater Stock'!B16*'O&amp;M Cost'!$D6/1000000</f>
        <v>0</v>
      </c>
      <c r="C69" s="123">
        <f>'Water Heater Stock'!C16*'O&amp;M Cost'!$D6/1000000</f>
        <v>0</v>
      </c>
      <c r="D69" s="123">
        <f>'Water Heater Stock'!D16*'O&amp;M Cost'!$D6/1000000</f>
        <v>0</v>
      </c>
      <c r="E69" s="123">
        <f>'Water Heater Stock'!E16*'O&amp;M Cost'!$D6/1000000</f>
        <v>0</v>
      </c>
      <c r="F69" s="123">
        <f>'Water Heater Stock'!F16*'O&amp;M Cost'!$D6/1000000</f>
        <v>0</v>
      </c>
      <c r="G69" s="123">
        <f>'Water Heater Stock'!G16*'O&amp;M Cost'!$D6/1000000</f>
        <v>0</v>
      </c>
      <c r="H69" s="123">
        <f>'Water Heater Stock'!H16*'O&amp;M Cost'!$D6/1000000</f>
        <v>0</v>
      </c>
      <c r="I69" s="123">
        <f>'Water Heater Stock'!I16*'O&amp;M Cost'!$D6/1000000</f>
        <v>0</v>
      </c>
      <c r="J69" s="123">
        <f>'Water Heater Stock'!J16*'O&amp;M Cost'!$D6/1000000</f>
        <v>0</v>
      </c>
      <c r="K69" s="123">
        <f>'Water Heater Stock'!K16*'O&amp;M Cost'!$D6/1000000</f>
        <v>0</v>
      </c>
      <c r="L69" s="123">
        <f>'Water Heater Stock'!L16*'O&amp;M Cost'!$D6/1000000</f>
        <v>0</v>
      </c>
      <c r="M69" s="123">
        <f>'Water Heater Stock'!M16*'O&amp;M Cost'!$D6/1000000</f>
        <v>0</v>
      </c>
      <c r="N69" s="123">
        <f>'Water Heater Stock'!N16*'O&amp;M Cost'!$D6/1000000</f>
        <v>0</v>
      </c>
      <c r="O69" s="123">
        <f>'Water Heater Stock'!O16*'O&amp;M Cost'!$D6/1000000</f>
        <v>0</v>
      </c>
      <c r="P69" s="123">
        <f>'Water Heater Stock'!P16*'O&amp;M Cost'!$D6/1000000</f>
        <v>0</v>
      </c>
      <c r="Q69" s="123">
        <f>'Water Heater Stock'!Q16*'O&amp;M Cost'!$D6/1000000</f>
        <v>0</v>
      </c>
      <c r="R69" s="123">
        <f>'Water Heater Stock'!R16*'O&amp;M Cost'!$D6/1000000</f>
        <v>0</v>
      </c>
      <c r="S69" s="123">
        <f>'Water Heater Stock'!S16*'O&amp;M Cost'!$D6/1000000</f>
        <v>0</v>
      </c>
      <c r="T69" s="123">
        <f>'Water Heater Stock'!T16*'O&amp;M Cost'!$D6/1000000</f>
        <v>0</v>
      </c>
      <c r="U69" s="123">
        <f>'Water Heater Stock'!U16*'O&amp;M Cost'!$D6/1000000</f>
        <v>0</v>
      </c>
      <c r="V69" s="123">
        <f>'Water Heater Stock'!V16*'O&amp;M Cost'!$D6/1000000</f>
        <v>0</v>
      </c>
      <c r="W69" s="123">
        <f>'Water Heater Stock'!W16*'O&amp;M Cost'!$D6/1000000</f>
        <v>0</v>
      </c>
    </row>
    <row r="70" spans="1:23">
      <c r="A70" s="38" t="str">
        <f>'Water Heater Stock'!A17</f>
        <v>Gas Tank</v>
      </c>
      <c r="B70" s="123">
        <f>'Water Heater Stock'!B17*'O&amp;M Cost'!$D7/1000000</f>
        <v>0</v>
      </c>
      <c r="C70" s="123">
        <f>'Water Heater Stock'!C17*'O&amp;M Cost'!$D7/1000000</f>
        <v>0.10010323913286581</v>
      </c>
      <c r="D70" s="123">
        <f>'Water Heater Stock'!D17*'O&amp;M Cost'!$D7/1000000</f>
        <v>0.19305624689909837</v>
      </c>
      <c r="E70" s="123">
        <f>'Water Heater Stock'!E17*'O&amp;M Cost'!$D7/1000000</f>
        <v>0.2793697541106</v>
      </c>
      <c r="F70" s="123">
        <f>'Water Heater Stock'!F17*'O&amp;M Cost'!$D7/1000000</f>
        <v>0.35951801080699441</v>
      </c>
      <c r="G70" s="123">
        <f>'Water Heater Stock'!G17*'O&amp;M Cost'!$D7/1000000</f>
        <v>0.43394139202507492</v>
      </c>
      <c r="H70" s="123">
        <f>'Water Heater Stock'!H17*'O&amp;M Cost'!$D7/1000000</f>
        <v>0.50304881744186392</v>
      </c>
      <c r="I70" s="123">
        <f>'Water Heater Stock'!I17*'O&amp;M Cost'!$D7/1000000</f>
        <v>0.5672199981860252</v>
      </c>
      <c r="J70" s="123">
        <f>'Water Heater Stock'!J17*'O&amp;M Cost'!$D7/1000000</f>
        <v>0.62680752316274635</v>
      </c>
      <c r="K70" s="123">
        <f>'Water Heater Stock'!K17*'O&amp;M Cost'!$D7/1000000</f>
        <v>0.68213879635541608</v>
      </c>
      <c r="L70" s="123">
        <f>'Water Heater Stock'!L17*'O&amp;M Cost'!$D7/1000000</f>
        <v>0.73351783574860929</v>
      </c>
      <c r="M70" s="123">
        <f>'Water Heater Stock'!M17*'O&amp;M Cost'!$D7/1000000</f>
        <v>0.78122694375657442</v>
      </c>
      <c r="N70" s="123">
        <f>'Water Heater Stock'!N17*'O&amp;M Cost'!$D7/1000000</f>
        <v>0.82552825833539922</v>
      </c>
      <c r="O70" s="123">
        <f>'Water Heater Stock'!O17*'O&amp;M Cost'!$D7/1000000</f>
        <v>0.86666519330145086</v>
      </c>
      <c r="P70" s="123">
        <f>'Water Heater Stock'!P17*'O&amp;M Cost'!$D7/1000000</f>
        <v>0.90486377576992727</v>
      </c>
      <c r="Q70" s="123">
        <f>'Water Heater Stock'!Q17*'O&amp;M Cost'!$D7/1000000</f>
        <v>0.94033388806208396</v>
      </c>
      <c r="R70" s="123">
        <f>'Water Heater Stock'!R17*'O&amp;M Cost'!$D7/1000000</f>
        <v>0.97327042090480087</v>
      </c>
      <c r="S70" s="123">
        <f>'Water Heater Stock'!S17*'O&amp;M Cost'!$D7/1000000</f>
        <v>1.0038543442587522</v>
      </c>
      <c r="T70" s="123">
        <f>'Water Heater Stock'!T17*'O&amp;M Cost'!$D7/1000000</f>
        <v>1.03225370165885</v>
      </c>
      <c r="U70" s="123">
        <f>'Water Heater Stock'!U17*'O&amp;M Cost'!$D7/1000000</f>
        <v>1.0586245335303694</v>
      </c>
      <c r="V70" s="123">
        <f>'Water Heater Stock'!V17*'O&amp;M Cost'!$D7/1000000</f>
        <v>1.083111734553923</v>
      </c>
      <c r="W70" s="123">
        <f>'Water Heater Stock'!W17*'O&amp;M Cost'!$D7/1000000</f>
        <v>1.1058498497900797</v>
      </c>
    </row>
    <row r="71" spans="1:23">
      <c r="A71" s="38" t="str">
        <f>'Water Heater Stock'!A18</f>
        <v>Instant Gas</v>
      </c>
      <c r="B71" s="123">
        <f>'Water Heater Stock'!B18*'O&amp;M Cost'!$D8/1000000</f>
        <v>0</v>
      </c>
      <c r="C71" s="123">
        <f>'Water Heater Stock'!C18*'O&amp;M Cost'!$D8/1000000</f>
        <v>0</v>
      </c>
      <c r="D71" s="123">
        <f>'Water Heater Stock'!D18*'O&amp;M Cost'!$D8/1000000</f>
        <v>0</v>
      </c>
      <c r="E71" s="123">
        <f>'Water Heater Stock'!E18*'O&amp;M Cost'!$D8/1000000</f>
        <v>0</v>
      </c>
      <c r="F71" s="123">
        <f>'Water Heater Stock'!F18*'O&amp;M Cost'!$D8/1000000</f>
        <v>0</v>
      </c>
      <c r="G71" s="123">
        <f>'Water Heater Stock'!G18*'O&amp;M Cost'!$D8/1000000</f>
        <v>0</v>
      </c>
      <c r="H71" s="123">
        <f>'Water Heater Stock'!H18*'O&amp;M Cost'!$D8/1000000</f>
        <v>0</v>
      </c>
      <c r="I71" s="123">
        <f>'Water Heater Stock'!I18*'O&amp;M Cost'!$D8/1000000</f>
        <v>0</v>
      </c>
      <c r="J71" s="123">
        <f>'Water Heater Stock'!J18*'O&amp;M Cost'!$D8/1000000</f>
        <v>0</v>
      </c>
      <c r="K71" s="123">
        <f>'Water Heater Stock'!K18*'O&amp;M Cost'!$D8/1000000</f>
        <v>0</v>
      </c>
      <c r="L71" s="123">
        <f>'Water Heater Stock'!L18*'O&amp;M Cost'!$D8/1000000</f>
        <v>0</v>
      </c>
      <c r="M71" s="123">
        <f>'Water Heater Stock'!M18*'O&amp;M Cost'!$D8/1000000</f>
        <v>0</v>
      </c>
      <c r="N71" s="123">
        <f>'Water Heater Stock'!N18*'O&amp;M Cost'!$D8/1000000</f>
        <v>0</v>
      </c>
      <c r="O71" s="123">
        <f>'Water Heater Stock'!O18*'O&amp;M Cost'!$D8/1000000</f>
        <v>0</v>
      </c>
      <c r="P71" s="123">
        <f>'Water Heater Stock'!P18*'O&amp;M Cost'!$D8/1000000</f>
        <v>0</v>
      </c>
      <c r="Q71" s="123">
        <f>'Water Heater Stock'!Q18*'O&amp;M Cost'!$D8/1000000</f>
        <v>0</v>
      </c>
      <c r="R71" s="123">
        <f>'Water Heater Stock'!R18*'O&amp;M Cost'!$D8/1000000</f>
        <v>0</v>
      </c>
      <c r="S71" s="123">
        <f>'Water Heater Stock'!S18*'O&amp;M Cost'!$D8/1000000</f>
        <v>0</v>
      </c>
      <c r="T71" s="123">
        <f>'Water Heater Stock'!T18*'O&amp;M Cost'!$D8/1000000</f>
        <v>0</v>
      </c>
      <c r="U71" s="123">
        <f>'Water Heater Stock'!U18*'O&amp;M Cost'!$D8/1000000</f>
        <v>0</v>
      </c>
      <c r="V71" s="123">
        <f>'Water Heater Stock'!V18*'O&amp;M Cost'!$D8/1000000</f>
        <v>0</v>
      </c>
      <c r="W71" s="123">
        <f>'Water Heater Stock'!W18*'O&amp;M Cost'!$D8/1000000</f>
        <v>0</v>
      </c>
    </row>
    <row r="72" spans="1:23">
      <c r="A72" s="38" t="str">
        <f>'Water Heater Stock'!A19</f>
        <v>Condensing Gas</v>
      </c>
      <c r="B72" s="123">
        <f>'Water Heater Stock'!B19*'O&amp;M Cost'!$D9/1000000</f>
        <v>0</v>
      </c>
      <c r="C72" s="123">
        <f>'Water Heater Stock'!C19*'O&amp;M Cost'!$D9/1000000</f>
        <v>0</v>
      </c>
      <c r="D72" s="123">
        <f>'Water Heater Stock'!D19*'O&amp;M Cost'!$D9/1000000</f>
        <v>0</v>
      </c>
      <c r="E72" s="123">
        <f>'Water Heater Stock'!E19*'O&amp;M Cost'!$D9/1000000</f>
        <v>0</v>
      </c>
      <c r="F72" s="123">
        <f>'Water Heater Stock'!F19*'O&amp;M Cost'!$D9/1000000</f>
        <v>0</v>
      </c>
      <c r="G72" s="123">
        <f>'Water Heater Stock'!G19*'O&amp;M Cost'!$D9/1000000</f>
        <v>0</v>
      </c>
      <c r="H72" s="123">
        <f>'Water Heater Stock'!H19*'O&amp;M Cost'!$D9/1000000</f>
        <v>0</v>
      </c>
      <c r="I72" s="123">
        <f>'Water Heater Stock'!I19*'O&amp;M Cost'!$D9/1000000</f>
        <v>0</v>
      </c>
      <c r="J72" s="123">
        <f>'Water Heater Stock'!J19*'O&amp;M Cost'!$D9/1000000</f>
        <v>0</v>
      </c>
      <c r="K72" s="123">
        <f>'Water Heater Stock'!K19*'O&amp;M Cost'!$D9/1000000</f>
        <v>0</v>
      </c>
      <c r="L72" s="123">
        <f>'Water Heater Stock'!L19*'O&amp;M Cost'!$D9/1000000</f>
        <v>0</v>
      </c>
      <c r="M72" s="123">
        <f>'Water Heater Stock'!M19*'O&amp;M Cost'!$D9/1000000</f>
        <v>0</v>
      </c>
      <c r="N72" s="123">
        <f>'Water Heater Stock'!N19*'O&amp;M Cost'!$D9/1000000</f>
        <v>0</v>
      </c>
      <c r="O72" s="123">
        <f>'Water Heater Stock'!O19*'O&amp;M Cost'!$D9/1000000</f>
        <v>0</v>
      </c>
      <c r="P72" s="123">
        <f>'Water Heater Stock'!P19*'O&amp;M Cost'!$D9/1000000</f>
        <v>0</v>
      </c>
      <c r="Q72" s="123">
        <f>'Water Heater Stock'!Q19*'O&amp;M Cost'!$D9/1000000</f>
        <v>0</v>
      </c>
      <c r="R72" s="123">
        <f>'Water Heater Stock'!R19*'O&amp;M Cost'!$D9/1000000</f>
        <v>0</v>
      </c>
      <c r="S72" s="123">
        <f>'Water Heater Stock'!S19*'O&amp;M Cost'!$D9/1000000</f>
        <v>0</v>
      </c>
      <c r="T72" s="123">
        <f>'Water Heater Stock'!T19*'O&amp;M Cost'!$D9/1000000</f>
        <v>0</v>
      </c>
      <c r="U72" s="123">
        <f>'Water Heater Stock'!U19*'O&amp;M Cost'!$D9/1000000</f>
        <v>0</v>
      </c>
      <c r="V72" s="123">
        <f>'Water Heater Stock'!V19*'O&amp;M Cost'!$D9/1000000</f>
        <v>0</v>
      </c>
      <c r="W72" s="123">
        <f>'Water Heater Stock'!W19*'O&amp;M Cost'!$D9/1000000</f>
        <v>0</v>
      </c>
    </row>
    <row r="74" spans="1:23">
      <c r="A74" s="12" t="s">
        <v>124</v>
      </c>
    </row>
    <row r="75" spans="1:23">
      <c r="A75" s="14" t="str">
        <f>'Energy Usage'!A25</f>
        <v>Water Heat Ending</v>
      </c>
      <c r="B75" s="56">
        <f>'Energy Usage'!B25</f>
        <v>2014</v>
      </c>
      <c r="C75" s="56">
        <f>'Energy Usage'!C25</f>
        <v>2015</v>
      </c>
      <c r="D75" s="56">
        <f>'Energy Usage'!D25</f>
        <v>2016</v>
      </c>
      <c r="E75" s="56">
        <f>'Energy Usage'!E25</f>
        <v>2017</v>
      </c>
      <c r="F75" s="56">
        <f>'Energy Usage'!F25</f>
        <v>2018</v>
      </c>
      <c r="G75" s="56">
        <f>'Energy Usage'!G25</f>
        <v>2019</v>
      </c>
      <c r="H75" s="56">
        <f>'Energy Usage'!H25</f>
        <v>2020</v>
      </c>
      <c r="I75" s="56">
        <f>'Energy Usage'!I25</f>
        <v>2021</v>
      </c>
      <c r="J75" s="56">
        <f>'Energy Usage'!J25</f>
        <v>2022</v>
      </c>
      <c r="K75" s="56">
        <f>'Energy Usage'!K25</f>
        <v>2023</v>
      </c>
      <c r="L75" s="56">
        <f>'Energy Usage'!L25</f>
        <v>2024</v>
      </c>
      <c r="M75" s="56">
        <f>'Energy Usage'!M25</f>
        <v>2025</v>
      </c>
      <c r="N75" s="56">
        <f>'Energy Usage'!N25</f>
        <v>2026</v>
      </c>
      <c r="O75" s="56">
        <f>'Energy Usage'!O25</f>
        <v>2027</v>
      </c>
      <c r="P75" s="56">
        <f>'Energy Usage'!P25</f>
        <v>2028</v>
      </c>
      <c r="Q75" s="56">
        <f>'Energy Usage'!Q25</f>
        <v>2029</v>
      </c>
      <c r="R75" s="56">
        <f>'Energy Usage'!R25</f>
        <v>2030</v>
      </c>
      <c r="S75" s="56">
        <f>'Energy Usage'!S25</f>
        <v>2031</v>
      </c>
      <c r="T75" s="56">
        <f>'Energy Usage'!T25</f>
        <v>2032</v>
      </c>
      <c r="U75" s="56">
        <f>'Energy Usage'!U25</f>
        <v>2033</v>
      </c>
      <c r="V75" s="56">
        <f>'Energy Usage'!V25</f>
        <v>2034</v>
      </c>
      <c r="W75" s="56">
        <f>'Energy Usage'!W25</f>
        <v>2035</v>
      </c>
    </row>
    <row r="76" spans="1:23" ht="16.5" thickBot="1">
      <c r="A76" s="49" t="s">
        <v>49</v>
      </c>
      <c r="B76" s="129">
        <f t="shared" ref="B76:W76" si="25">SUM(B77:B81)</f>
        <v>30.26304142506536</v>
      </c>
      <c r="C76" s="129">
        <f t="shared" si="25"/>
        <v>29.534973011909273</v>
      </c>
      <c r="D76" s="129">
        <f t="shared" si="25"/>
        <v>28.868128458516992</v>
      </c>
      <c r="E76" s="129">
        <f t="shared" si="25"/>
        <v>28.259029733654469</v>
      </c>
      <c r="F76" s="129">
        <f t="shared" si="25"/>
        <v>27.704414152019393</v>
      </c>
      <c r="G76" s="129">
        <f t="shared" si="25"/>
        <v>27.20122134826115</v>
      </c>
      <c r="H76" s="129">
        <f t="shared" si="25"/>
        <v>26.746581042217418</v>
      </c>
      <c r="I76" s="129">
        <f t="shared" si="25"/>
        <v>26.337801547426679</v>
      </c>
      <c r="J76" s="129">
        <f t="shared" si="25"/>
        <v>25.972358977878404</v>
      </c>
      <c r="K76" s="129">
        <f t="shared" si="25"/>
        <v>25.647887110689854</v>
      </c>
      <c r="L76" s="129">
        <f t="shared" si="25"/>
        <v>25.362167864960618</v>
      </c>
      <c r="M76" s="129">
        <f t="shared" si="25"/>
        <v>25.113122359463212</v>
      </c>
      <c r="N76" s="129">
        <f t="shared" si="25"/>
        <v>24.89880251408951</v>
      </c>
      <c r="O76" s="129">
        <f t="shared" si="25"/>
        <v>24.717383162097732</v>
      </c>
      <c r="P76" s="129">
        <f t="shared" si="25"/>
        <v>24.567154642200798</v>
      </c>
      <c r="Q76" s="129">
        <f t="shared" si="25"/>
        <v>24.446515841412143</v>
      </c>
      <c r="R76" s="129">
        <f t="shared" si="25"/>
        <v>24.353967661327445</v>
      </c>
      <c r="S76" s="129">
        <f t="shared" si="25"/>
        <v>24.288106882175555</v>
      </c>
      <c r="T76" s="129">
        <f t="shared" si="25"/>
        <v>24.247620400527424</v>
      </c>
      <c r="U76" s="129">
        <f t="shared" si="25"/>
        <v>24.231279818012748</v>
      </c>
      <c r="V76" s="129">
        <f t="shared" si="25"/>
        <v>24.237936359766657</v>
      </c>
      <c r="W76" s="129">
        <f t="shared" si="25"/>
        <v>24.266516102618361</v>
      </c>
    </row>
    <row r="77" spans="1:23" ht="16.5" thickTop="1">
      <c r="A77" s="38" t="str">
        <f>'Energy Usage'!A27</f>
        <v>Electric Resistance</v>
      </c>
      <c r="B77" s="123">
        <f>(('Energy Usage'!B27*'Retail Rates'!B$5*'Device Energy Use'!$E5+'Energy Usage'!B27*'Retail Rates'!B$6*(1-'Device Energy Use'!$E5)))/1000000</f>
        <v>30.26304142506536</v>
      </c>
      <c r="C77" s="123">
        <f>(('Energy Usage'!C27*'Retail Rates'!C$5*'Device Energy Use'!$E5+'Energy Usage'!C27*'Retail Rates'!C$6*(1-'Device Energy Use'!$E5)))/1000000</f>
        <v>28.466713751906127</v>
      </c>
      <c r="D77" s="123">
        <f>(('Energy Usage'!D27*'Retail Rates'!D$5*'Device Energy Use'!$E5+'Energy Usage'!D27*'Retail Rates'!D$6*(1-'Device Energy Use'!$E5)))/1000000</f>
        <v>26.777010957060835</v>
      </c>
      <c r="E77" s="123">
        <f>(('Energy Usage'!E27*'Retail Rates'!E$5*'Device Energy Use'!$E5+'Energy Usage'!E27*'Retail Rates'!E$6*(1-'Device Energy Use'!$E5)))/1000000</f>
        <v>25.187604092395297</v>
      </c>
      <c r="F77" s="123">
        <f>(('Energy Usage'!F27*'Retail Rates'!F$5*'Device Energy Use'!$E5+'Energy Usage'!F27*'Retail Rates'!F$6*(1-'Device Energy Use'!$E5)))/1000000</f>
        <v>23.692539878053832</v>
      </c>
      <c r="G77" s="123">
        <f>(('Energy Usage'!G27*'Retail Rates'!G$5*'Device Energy Use'!$E5+'Energy Usage'!G27*'Retail Rates'!G$6*(1-'Device Energy Use'!$E5)))/1000000</f>
        <v>22.286218403863636</v>
      </c>
      <c r="H77" s="123">
        <f>(('Energy Usage'!H27*'Retail Rates'!H$5*'Device Energy Use'!$E5+'Energy Usage'!H27*'Retail Rates'!H$6*(1-'Device Energy Use'!$E5)))/1000000</f>
        <v>20.963372154320012</v>
      </c>
      <c r="I77" s="123">
        <f>(('Energy Usage'!I27*'Retail Rates'!I$5*'Device Energy Use'!$E5+'Energy Usage'!I27*'Retail Rates'!I$6*(1-'Device Energy Use'!$E5)))/1000000</f>
        <v>19.719046278588586</v>
      </c>
      <c r="J77" s="123">
        <f>(('Energy Usage'!J27*'Retail Rates'!J$5*'Device Energy Use'!$E5+'Energy Usage'!J27*'Retail Rates'!J$6*(1-'Device Energy Use'!$E5)))/1000000</f>
        <v>18.548580031623789</v>
      </c>
      <c r="K77" s="123">
        <f>(('Energy Usage'!K27*'Retail Rates'!K$5*'Device Energy Use'!$E5+'Energy Usage'!K27*'Retail Rates'!K$6*(1-'Device Energy Use'!$E5)))/1000000</f>
        <v>17.447589316889548</v>
      </c>
      <c r="L77" s="123">
        <f>(('Energy Usage'!L27*'Retail Rates'!L$5*'Device Energy Use'!$E5+'Energy Usage'!L27*'Retail Rates'!L$6*(1-'Device Energy Use'!$E5)))/1000000</f>
        <v>16.41195026529417</v>
      </c>
      <c r="M77" s="123">
        <f>(('Energy Usage'!M27*'Retail Rates'!M$5*'Device Energy Use'!$E5+'Energy Usage'!M27*'Retail Rates'!M$6*(1-'Device Energy Use'!$E5)))/1000000</f>
        <v>15.43778378883278</v>
      </c>
      <c r="N77" s="123">
        <f>(('Energy Usage'!N27*'Retail Rates'!N$5*'Device Energy Use'!$E5+'Energy Usage'!N27*'Retail Rates'!N$6*(1-'Device Energy Use'!$E5)))/1000000</f>
        <v>14.521441051081348</v>
      </c>
      <c r="O77" s="123">
        <f>(('Energy Usage'!O27*'Retail Rates'!O$5*'Device Energy Use'!$E5+'Energy Usage'!O27*'Retail Rates'!O$6*(1-'Device Energy Use'!$E5)))/1000000</f>
        <v>13.659489800120731</v>
      </c>
      <c r="P77" s="123">
        <f>(('Energy Usage'!P27*'Retail Rates'!P$5*'Device Energy Use'!$E5+'Energy Usage'!P27*'Retail Rates'!P$6*(1-'Device Energy Use'!$E5)))/1000000</f>
        <v>12.848701512699281</v>
      </c>
      <c r="Q77" s="123">
        <f>(('Energy Usage'!Q27*'Retail Rates'!Q$5*'Device Energy Use'!$E5+'Energy Usage'!Q27*'Retail Rates'!Q$6*(1-'Device Energy Use'!$E5)))/1000000</f>
        <v>12.0860393014812</v>
      </c>
      <c r="R77" s="123">
        <f>(('Energy Usage'!R27*'Retail Rates'!R$5*'Device Energy Use'!$E5+'Energy Usage'!R27*'Retail Rates'!R$6*(1-'Device Energy Use'!$E5)))/1000000</f>
        <v>11.368646540086138</v>
      </c>
      <c r="S77" s="123">
        <f>(('Energy Usage'!S27*'Retail Rates'!S$5*'Device Energy Use'!$E5+'Energy Usage'!S27*'Retail Rates'!S$6*(1-'Device Energy Use'!$E5)))/1000000</f>
        <v>10.693836163313879</v>
      </c>
      <c r="T77" s="123">
        <f>(('Energy Usage'!T27*'Retail Rates'!T$5*'Device Energy Use'!$E5+'Energy Usage'!T27*'Retail Rates'!T$6*(1-'Device Energy Use'!$E5)))/1000000</f>
        <v>10.059080602477176</v>
      </c>
      <c r="U77" s="123">
        <f>(('Energy Usage'!U27*'Retail Rates'!U$5*'Device Energy Use'!$E5+'Energy Usage'!U27*'Retail Rates'!U$6*(1-'Device Energy Use'!$E5)))/1000000</f>
        <v>9.4620023181444228</v>
      </c>
      <c r="V77" s="123">
        <f>(('Energy Usage'!V27*'Retail Rates'!V$5*'Device Energy Use'!$E5+'Energy Usage'!V27*'Retail Rates'!V$6*(1-'Device Energy Use'!$E5)))/1000000</f>
        <v>8.9003648948317053</v>
      </c>
      <c r="W77" s="123">
        <f>(('Energy Usage'!W27*'Retail Rates'!W$5*'Device Energy Use'!$E5+'Energy Usage'!W27*'Retail Rates'!W$6*(1-'Device Energy Use'!$E5)))/1000000</f>
        <v>8.3720646642884802</v>
      </c>
    </row>
    <row r="78" spans="1:23">
      <c r="A78" s="38" t="str">
        <f>'Energy Usage'!A28</f>
        <v>HPWH</v>
      </c>
      <c r="B78" s="123">
        <f>(('Energy Usage'!B28*'Retail Rates'!B$5*'Device Energy Use'!$E6+'Energy Usage'!B28*'Retail Rates'!B$6*(1-'Device Energy Use'!$E6)))/1000000</f>
        <v>0</v>
      </c>
      <c r="C78" s="123">
        <f>(('Energy Usage'!C28*'Retail Rates'!C$5*'Device Energy Use'!$E6+'Energy Usage'!C28*'Retail Rates'!C$6*(1-'Device Energy Use'!$E6)))/1000000</f>
        <v>0</v>
      </c>
      <c r="D78" s="123">
        <f>(('Energy Usage'!D28*'Retail Rates'!D$5*'Device Energy Use'!$E6+'Energy Usage'!D28*'Retail Rates'!D$6*(1-'Device Energy Use'!$E6)))/1000000</f>
        <v>0</v>
      </c>
      <c r="E78" s="123">
        <f>(('Energy Usage'!E28*'Retail Rates'!E$5*'Device Energy Use'!$E6+'Energy Usage'!E28*'Retail Rates'!E$6*(1-'Device Energy Use'!$E6)))/1000000</f>
        <v>0</v>
      </c>
      <c r="F78" s="123">
        <f>(('Energy Usage'!F28*'Retail Rates'!F$5*'Device Energy Use'!$E6+'Energy Usage'!F28*'Retail Rates'!F$6*(1-'Device Energy Use'!$E6)))/1000000</f>
        <v>0</v>
      </c>
      <c r="G78" s="123">
        <f>(('Energy Usage'!G28*'Retail Rates'!G$5*'Device Energy Use'!$E6+'Energy Usage'!G28*'Retail Rates'!G$6*(1-'Device Energy Use'!$E6)))/1000000</f>
        <v>0</v>
      </c>
      <c r="H78" s="123">
        <f>(('Energy Usage'!H28*'Retail Rates'!H$5*'Device Energy Use'!$E6+'Energy Usage'!H28*'Retail Rates'!H$6*(1-'Device Energy Use'!$E6)))/1000000</f>
        <v>0</v>
      </c>
      <c r="I78" s="123">
        <f>(('Energy Usage'!I28*'Retail Rates'!I$5*'Device Energy Use'!$E6+'Energy Usage'!I28*'Retail Rates'!I$6*(1-'Device Energy Use'!$E6)))/1000000</f>
        <v>0</v>
      </c>
      <c r="J78" s="123">
        <f>(('Energy Usage'!J28*'Retail Rates'!J$5*'Device Energy Use'!$E6+'Energy Usage'!J28*'Retail Rates'!J$6*(1-'Device Energy Use'!$E6)))/1000000</f>
        <v>0</v>
      </c>
      <c r="K78" s="123">
        <f>(('Energy Usage'!K28*'Retail Rates'!K$5*'Device Energy Use'!$E6+'Energy Usage'!K28*'Retail Rates'!K$6*(1-'Device Energy Use'!$E6)))/1000000</f>
        <v>0</v>
      </c>
      <c r="L78" s="123">
        <f>(('Energy Usage'!L28*'Retail Rates'!L$5*'Device Energy Use'!$E6+'Energy Usage'!L28*'Retail Rates'!L$6*(1-'Device Energy Use'!$E6)))/1000000</f>
        <v>0</v>
      </c>
      <c r="M78" s="123">
        <f>(('Energy Usage'!M28*'Retail Rates'!M$5*'Device Energy Use'!$E6+'Energy Usage'!M28*'Retail Rates'!M$6*(1-'Device Energy Use'!$E6)))/1000000</f>
        <v>0</v>
      </c>
      <c r="N78" s="123">
        <f>(('Energy Usage'!N28*'Retail Rates'!N$5*'Device Energy Use'!$E6+'Energy Usage'!N28*'Retail Rates'!N$6*(1-'Device Energy Use'!$E6)))/1000000</f>
        <v>0</v>
      </c>
      <c r="O78" s="123">
        <f>(('Energy Usage'!O28*'Retail Rates'!O$5*'Device Energy Use'!$E6+'Energy Usage'!O28*'Retail Rates'!O$6*(1-'Device Energy Use'!$E6)))/1000000</f>
        <v>0</v>
      </c>
      <c r="P78" s="123">
        <f>(('Energy Usage'!P28*'Retail Rates'!P$5*'Device Energy Use'!$E6+'Energy Usage'!P28*'Retail Rates'!P$6*(1-'Device Energy Use'!$E6)))/1000000</f>
        <v>0</v>
      </c>
      <c r="Q78" s="123">
        <f>(('Energy Usage'!Q28*'Retail Rates'!Q$5*'Device Energy Use'!$E6+'Energy Usage'!Q28*'Retail Rates'!Q$6*(1-'Device Energy Use'!$E6)))/1000000</f>
        <v>0</v>
      </c>
      <c r="R78" s="123">
        <f>(('Energy Usage'!R28*'Retail Rates'!R$5*'Device Energy Use'!$E6+'Energy Usage'!R28*'Retail Rates'!R$6*(1-'Device Energy Use'!$E6)))/1000000</f>
        <v>0</v>
      </c>
      <c r="S78" s="123">
        <f>(('Energy Usage'!S28*'Retail Rates'!S$5*'Device Energy Use'!$E6+'Energy Usage'!S28*'Retail Rates'!S$6*(1-'Device Energy Use'!$E6)))/1000000</f>
        <v>0</v>
      </c>
      <c r="T78" s="123">
        <f>(('Energy Usage'!T28*'Retail Rates'!T$5*'Device Energy Use'!$E6+'Energy Usage'!T28*'Retail Rates'!T$6*(1-'Device Energy Use'!$E6)))/1000000</f>
        <v>0</v>
      </c>
      <c r="U78" s="123">
        <f>(('Energy Usage'!U28*'Retail Rates'!U$5*'Device Energy Use'!$E6+'Energy Usage'!U28*'Retail Rates'!U$6*(1-'Device Energy Use'!$E6)))/1000000</f>
        <v>0</v>
      </c>
      <c r="V78" s="123">
        <f>(('Energy Usage'!V28*'Retail Rates'!V$5*'Device Energy Use'!$E6+'Energy Usage'!V28*'Retail Rates'!V$6*(1-'Device Energy Use'!$E6)))/1000000</f>
        <v>0</v>
      </c>
      <c r="W78" s="123">
        <f>(('Energy Usage'!W28*'Retail Rates'!W$5*'Device Energy Use'!$E6+'Energy Usage'!W28*'Retail Rates'!W$6*(1-'Device Energy Use'!$E6)))/1000000</f>
        <v>0</v>
      </c>
    </row>
    <row r="79" spans="1:23">
      <c r="A79" s="38" t="str">
        <f>'Energy Usage'!A29</f>
        <v>Gas Tank</v>
      </c>
      <c r="B79" s="123">
        <f>(('Energy Usage'!B29*'Retail Rates'!B$5*'Device Energy Use'!$E7+'Energy Usage'!B29*'Retail Rates'!B$6*(1-'Device Energy Use'!$E7)))/1000000</f>
        <v>0</v>
      </c>
      <c r="C79" s="123">
        <f>(('Energy Usage'!C29*'Retail Rates'!C$5*'Device Energy Use'!$E7+'Energy Usage'!C29*'Retail Rates'!C$6*(1-'Device Energy Use'!$E7)))/1000000</f>
        <v>1.068259260003146</v>
      </c>
      <c r="D79" s="123">
        <f>(('Energy Usage'!D29*'Retail Rates'!D$5*'Device Energy Use'!$E7+'Energy Usage'!D29*'Retail Rates'!D$6*(1-'Device Energy Use'!$E7)))/1000000</f>
        <v>2.091117501456158</v>
      </c>
      <c r="E79" s="123">
        <f>(('Energy Usage'!E29*'Retail Rates'!E$5*'Device Energy Use'!$E7+'Energy Usage'!E29*'Retail Rates'!E$6*(1-'Device Energy Use'!$E7)))/1000000</f>
        <v>3.0714256412591703</v>
      </c>
      <c r="F79" s="123">
        <f>(('Energy Usage'!F29*'Retail Rates'!F$5*'Device Energy Use'!$E7+'Energy Usage'!F29*'Retail Rates'!F$6*(1-'Device Energy Use'!$E7)))/1000000</f>
        <v>4.0118742739655602</v>
      </c>
      <c r="G79" s="123">
        <f>(('Energy Usage'!G29*'Retail Rates'!G$5*'Device Energy Use'!$E7+'Energy Usage'!G29*'Retail Rates'!G$6*(1-'Device Energy Use'!$E7)))/1000000</f>
        <v>4.9150029443975143</v>
      </c>
      <c r="H79" s="123">
        <f>(('Energy Usage'!H29*'Retail Rates'!H$5*'Device Energy Use'!$E7+'Energy Usage'!H29*'Retail Rates'!H$6*(1-'Device Energy Use'!$E7)))/1000000</f>
        <v>5.7832088878974046</v>
      </c>
      <c r="I79" s="123">
        <f>(('Energy Usage'!I29*'Retail Rates'!I$5*'Device Energy Use'!$E7+'Energy Usage'!I29*'Retail Rates'!I$6*(1-'Device Energy Use'!$E7)))/1000000</f>
        <v>6.6187552688380933</v>
      </c>
      <c r="J79" s="123">
        <f>(('Energy Usage'!J29*'Retail Rates'!J$5*'Device Energy Use'!$E7+'Energy Usage'!J29*'Retail Rates'!J$6*(1-'Device Energy Use'!$E7)))/1000000</f>
        <v>7.4237789462546147</v>
      </c>
      <c r="K79" s="123">
        <f>(('Energy Usage'!K29*'Retail Rates'!K$5*'Device Energy Use'!$E7+'Energy Usage'!K29*'Retail Rates'!K$6*(1-'Device Energy Use'!$E7)))/1000000</f>
        <v>8.2002977938003063</v>
      </c>
      <c r="L79" s="123">
        <f>(('Energy Usage'!L29*'Retail Rates'!L$5*'Device Energy Use'!$E7+'Energy Usage'!L29*'Retail Rates'!L$6*(1-'Device Energy Use'!$E7)))/1000000</f>
        <v>8.9502175996664484</v>
      </c>
      <c r="M79" s="123">
        <f>(('Energy Usage'!M29*'Retail Rates'!M$5*'Device Energy Use'!$E7+'Energy Usage'!M29*'Retail Rates'!M$6*(1-'Device Energy Use'!$E7)))/1000000</f>
        <v>9.6753385706304336</v>
      </c>
      <c r="N79" s="123">
        <f>(('Energy Usage'!N29*'Retail Rates'!N$5*'Device Energy Use'!$E7+'Energy Usage'!N29*'Retail Rates'!N$6*(1-'Device Energy Use'!$E7)))/1000000</f>
        <v>10.377361463008162</v>
      </c>
      <c r="O79" s="123">
        <f>(('Energy Usage'!O29*'Retail Rates'!O$5*'Device Energy Use'!$E7+'Energy Usage'!O29*'Retail Rates'!O$6*(1-'Device Energy Use'!$E7)))/1000000</f>
        <v>11.057893361977001</v>
      </c>
      <c r="P79" s="123">
        <f>(('Energy Usage'!P29*'Retail Rates'!P$5*'Device Energy Use'!$E7+'Energy Usage'!P29*'Retail Rates'!P$6*(1-'Device Energy Use'!$E7)))/1000000</f>
        <v>11.718453129501516</v>
      </c>
      <c r="Q79" s="123">
        <f>(('Energy Usage'!Q29*'Retail Rates'!Q$5*'Device Energy Use'!$E7+'Energy Usage'!Q29*'Retail Rates'!Q$6*(1-'Device Energy Use'!$E7)))/1000000</f>
        <v>12.360476539930941</v>
      </c>
      <c r="R79" s="123">
        <f>(('Energy Usage'!R29*'Retail Rates'!R$5*'Device Energy Use'!$E7+'Energy Usage'!R29*'Retail Rates'!R$6*(1-'Device Energy Use'!$E7)))/1000000</f>
        <v>12.985321121241308</v>
      </c>
      <c r="S79" s="123">
        <f>(('Energy Usage'!S29*'Retail Rates'!S$5*'Device Energy Use'!$E7+'Energy Usage'!S29*'Retail Rates'!S$6*(1-'Device Energy Use'!$E7)))/1000000</f>
        <v>13.594270718861678</v>
      </c>
      <c r="T79" s="123">
        <f>(('Energy Usage'!T29*'Retail Rates'!T$5*'Device Energy Use'!$E7+'Energy Usage'!T29*'Retail Rates'!T$6*(1-'Device Energy Use'!$E7)))/1000000</f>
        <v>14.18853979805025</v>
      </c>
      <c r="U79" s="123">
        <f>(('Energy Usage'!U29*'Retail Rates'!U$5*'Device Energy Use'!$E7+'Energy Usage'!U29*'Retail Rates'!U$6*(1-'Device Energy Use'!$E7)))/1000000</f>
        <v>14.769277499868325</v>
      </c>
      <c r="V79" s="123">
        <f>(('Energy Usage'!V29*'Retail Rates'!V$5*'Device Energy Use'!$E7+'Energy Usage'!V29*'Retail Rates'!V$6*(1-'Device Energy Use'!$E7)))/1000000</f>
        <v>15.337571464934951</v>
      </c>
      <c r="W79" s="123">
        <f>(('Energy Usage'!W29*'Retail Rates'!W$5*'Device Energy Use'!$E7+'Energy Usage'!W29*'Retail Rates'!W$6*(1-'Device Energy Use'!$E7)))/1000000</f>
        <v>15.894451438329881</v>
      </c>
    </row>
    <row r="80" spans="1:23">
      <c r="A80" s="38" t="str">
        <f>'Energy Usage'!A30</f>
        <v>Instant Gas</v>
      </c>
      <c r="B80" s="123">
        <f>(('Energy Usage'!B30*'Retail Rates'!B$5*'Device Energy Use'!$E8+'Energy Usage'!B30*'Retail Rates'!B$6*(1-'Device Energy Use'!$E8)))/1000000</f>
        <v>0</v>
      </c>
      <c r="C80" s="123">
        <f>(('Energy Usage'!C30*'Retail Rates'!C$5*'Device Energy Use'!$E8+'Energy Usage'!C30*'Retail Rates'!C$6*(1-'Device Energy Use'!$E8)))/1000000</f>
        <v>0</v>
      </c>
      <c r="D80" s="123">
        <f>(('Energy Usage'!D30*'Retail Rates'!D$5*'Device Energy Use'!$E8+'Energy Usage'!D30*'Retail Rates'!D$6*(1-'Device Energy Use'!$E8)))/1000000</f>
        <v>0</v>
      </c>
      <c r="E80" s="123">
        <f>(('Energy Usage'!E30*'Retail Rates'!E$5*'Device Energy Use'!$E8+'Energy Usage'!E30*'Retail Rates'!E$6*(1-'Device Energy Use'!$E8)))/1000000</f>
        <v>0</v>
      </c>
      <c r="F80" s="123">
        <f>(('Energy Usage'!F30*'Retail Rates'!F$5*'Device Energy Use'!$E8+'Energy Usage'!F30*'Retail Rates'!F$6*(1-'Device Energy Use'!$E8)))/1000000</f>
        <v>0</v>
      </c>
      <c r="G80" s="123">
        <f>(('Energy Usage'!G30*'Retail Rates'!G$5*'Device Energy Use'!$E8+'Energy Usage'!G30*'Retail Rates'!G$6*(1-'Device Energy Use'!$E8)))/1000000</f>
        <v>0</v>
      </c>
      <c r="H80" s="123">
        <f>(('Energy Usage'!H30*'Retail Rates'!H$5*'Device Energy Use'!$E8+'Energy Usage'!H30*'Retail Rates'!H$6*(1-'Device Energy Use'!$E8)))/1000000</f>
        <v>0</v>
      </c>
      <c r="I80" s="123">
        <f>(('Energy Usage'!I30*'Retail Rates'!I$5*'Device Energy Use'!$E8+'Energy Usage'!I30*'Retail Rates'!I$6*(1-'Device Energy Use'!$E8)))/1000000</f>
        <v>0</v>
      </c>
      <c r="J80" s="123">
        <f>(('Energy Usage'!J30*'Retail Rates'!J$5*'Device Energy Use'!$E8+'Energy Usage'!J30*'Retail Rates'!J$6*(1-'Device Energy Use'!$E8)))/1000000</f>
        <v>0</v>
      </c>
      <c r="K80" s="123">
        <f>(('Energy Usage'!K30*'Retail Rates'!K$5*'Device Energy Use'!$E8+'Energy Usage'!K30*'Retail Rates'!K$6*(1-'Device Energy Use'!$E8)))/1000000</f>
        <v>0</v>
      </c>
      <c r="L80" s="123">
        <f>(('Energy Usage'!L30*'Retail Rates'!L$5*'Device Energy Use'!$E8+'Energy Usage'!L30*'Retail Rates'!L$6*(1-'Device Energy Use'!$E8)))/1000000</f>
        <v>0</v>
      </c>
      <c r="M80" s="123">
        <f>(('Energy Usage'!M30*'Retail Rates'!M$5*'Device Energy Use'!$E8+'Energy Usage'!M30*'Retail Rates'!M$6*(1-'Device Energy Use'!$E8)))/1000000</f>
        <v>0</v>
      </c>
      <c r="N80" s="123">
        <f>(('Energy Usage'!N30*'Retail Rates'!N$5*'Device Energy Use'!$E8+'Energy Usage'!N30*'Retail Rates'!N$6*(1-'Device Energy Use'!$E8)))/1000000</f>
        <v>0</v>
      </c>
      <c r="O80" s="123">
        <f>(('Energy Usage'!O30*'Retail Rates'!O$5*'Device Energy Use'!$E8+'Energy Usage'!O30*'Retail Rates'!O$6*(1-'Device Energy Use'!$E8)))/1000000</f>
        <v>0</v>
      </c>
      <c r="P80" s="123">
        <f>(('Energy Usage'!P30*'Retail Rates'!P$5*'Device Energy Use'!$E8+'Energy Usage'!P30*'Retail Rates'!P$6*(1-'Device Energy Use'!$E8)))/1000000</f>
        <v>0</v>
      </c>
      <c r="Q80" s="123">
        <f>(('Energy Usage'!Q30*'Retail Rates'!Q$5*'Device Energy Use'!$E8+'Energy Usage'!Q30*'Retail Rates'!Q$6*(1-'Device Energy Use'!$E8)))/1000000</f>
        <v>0</v>
      </c>
      <c r="R80" s="123">
        <f>(('Energy Usage'!R30*'Retail Rates'!R$5*'Device Energy Use'!$E8+'Energy Usage'!R30*'Retail Rates'!R$6*(1-'Device Energy Use'!$E8)))/1000000</f>
        <v>0</v>
      </c>
      <c r="S80" s="123">
        <f>(('Energy Usage'!S30*'Retail Rates'!S$5*'Device Energy Use'!$E8+'Energy Usage'!S30*'Retail Rates'!S$6*(1-'Device Energy Use'!$E8)))/1000000</f>
        <v>0</v>
      </c>
      <c r="T80" s="123">
        <f>(('Energy Usage'!T30*'Retail Rates'!T$5*'Device Energy Use'!$E8+'Energy Usage'!T30*'Retail Rates'!T$6*(1-'Device Energy Use'!$E8)))/1000000</f>
        <v>0</v>
      </c>
      <c r="U80" s="123">
        <f>(('Energy Usage'!U30*'Retail Rates'!U$5*'Device Energy Use'!$E8+'Energy Usage'!U30*'Retail Rates'!U$6*(1-'Device Energy Use'!$E8)))/1000000</f>
        <v>0</v>
      </c>
      <c r="V80" s="123">
        <f>(('Energy Usage'!V30*'Retail Rates'!V$5*'Device Energy Use'!$E8+'Energy Usage'!V30*'Retail Rates'!V$6*(1-'Device Energy Use'!$E8)))/1000000</f>
        <v>0</v>
      </c>
      <c r="W80" s="123">
        <f>(('Energy Usage'!W30*'Retail Rates'!W$5*'Device Energy Use'!$E8+'Energy Usage'!W30*'Retail Rates'!W$6*(1-'Device Energy Use'!$E8)))/1000000</f>
        <v>0</v>
      </c>
    </row>
    <row r="81" spans="1:23">
      <c r="A81" s="38" t="str">
        <f>'Energy Usage'!A31</f>
        <v>Condensing Gas</v>
      </c>
      <c r="B81" s="123">
        <f>(('Energy Usage'!B31*'Retail Rates'!B$5*'Device Energy Use'!$E9+'Energy Usage'!B31*'Retail Rates'!B$6*(1-'Device Energy Use'!$E9)))/1000000</f>
        <v>0</v>
      </c>
      <c r="C81" s="123">
        <f>(('Energy Usage'!C31*'Retail Rates'!C$5*'Device Energy Use'!$E9+'Energy Usage'!C31*'Retail Rates'!C$6*(1-'Device Energy Use'!$E9)))/1000000</f>
        <v>0</v>
      </c>
      <c r="D81" s="123">
        <f>(('Energy Usage'!D31*'Retail Rates'!D$5*'Device Energy Use'!$E9+'Energy Usage'!D31*'Retail Rates'!D$6*(1-'Device Energy Use'!$E9)))/1000000</f>
        <v>0</v>
      </c>
      <c r="E81" s="123">
        <f>(('Energy Usage'!E31*'Retail Rates'!E$5*'Device Energy Use'!$E9+'Energy Usage'!E31*'Retail Rates'!E$6*(1-'Device Energy Use'!$E9)))/1000000</f>
        <v>0</v>
      </c>
      <c r="F81" s="123">
        <f>(('Energy Usage'!F31*'Retail Rates'!F$5*'Device Energy Use'!$E9+'Energy Usage'!F31*'Retail Rates'!F$6*(1-'Device Energy Use'!$E9)))/1000000</f>
        <v>0</v>
      </c>
      <c r="G81" s="123">
        <f>(('Energy Usage'!G31*'Retail Rates'!G$5*'Device Energy Use'!$E9+'Energy Usage'!G31*'Retail Rates'!G$6*(1-'Device Energy Use'!$E9)))/1000000</f>
        <v>0</v>
      </c>
      <c r="H81" s="123">
        <f>(('Energy Usage'!H31*'Retail Rates'!H$5*'Device Energy Use'!$E9+'Energy Usage'!H31*'Retail Rates'!H$6*(1-'Device Energy Use'!$E9)))/1000000</f>
        <v>0</v>
      </c>
      <c r="I81" s="123">
        <f>(('Energy Usage'!I31*'Retail Rates'!I$5*'Device Energy Use'!$E9+'Energy Usage'!I31*'Retail Rates'!I$6*(1-'Device Energy Use'!$E9)))/1000000</f>
        <v>0</v>
      </c>
      <c r="J81" s="123">
        <f>(('Energy Usage'!J31*'Retail Rates'!J$5*'Device Energy Use'!$E9+'Energy Usage'!J31*'Retail Rates'!J$6*(1-'Device Energy Use'!$E9)))/1000000</f>
        <v>0</v>
      </c>
      <c r="K81" s="123">
        <f>(('Energy Usage'!K31*'Retail Rates'!K$5*'Device Energy Use'!$E9+'Energy Usage'!K31*'Retail Rates'!K$6*(1-'Device Energy Use'!$E9)))/1000000</f>
        <v>0</v>
      </c>
      <c r="L81" s="123">
        <f>(('Energy Usage'!L31*'Retail Rates'!L$5*'Device Energy Use'!$E9+'Energy Usage'!L31*'Retail Rates'!L$6*(1-'Device Energy Use'!$E9)))/1000000</f>
        <v>0</v>
      </c>
      <c r="M81" s="123">
        <f>(('Energy Usage'!M31*'Retail Rates'!M$5*'Device Energy Use'!$E9+'Energy Usage'!M31*'Retail Rates'!M$6*(1-'Device Energy Use'!$E9)))/1000000</f>
        <v>0</v>
      </c>
      <c r="N81" s="123">
        <f>(('Energy Usage'!N31*'Retail Rates'!N$5*'Device Energy Use'!$E9+'Energy Usage'!N31*'Retail Rates'!N$6*(1-'Device Energy Use'!$E9)))/1000000</f>
        <v>0</v>
      </c>
      <c r="O81" s="123">
        <f>(('Energy Usage'!O31*'Retail Rates'!O$5*'Device Energy Use'!$E9+'Energy Usage'!O31*'Retail Rates'!O$6*(1-'Device Energy Use'!$E9)))/1000000</f>
        <v>0</v>
      </c>
      <c r="P81" s="123">
        <f>(('Energy Usage'!P31*'Retail Rates'!P$5*'Device Energy Use'!$E9+'Energy Usage'!P31*'Retail Rates'!P$6*(1-'Device Energy Use'!$E9)))/1000000</f>
        <v>0</v>
      </c>
      <c r="Q81" s="123">
        <f>(('Energy Usage'!Q31*'Retail Rates'!Q$5*'Device Energy Use'!$E9+'Energy Usage'!Q31*'Retail Rates'!Q$6*(1-'Device Energy Use'!$E9)))/1000000</f>
        <v>0</v>
      </c>
      <c r="R81" s="123">
        <f>(('Energy Usage'!R31*'Retail Rates'!R$5*'Device Energy Use'!$E9+'Energy Usage'!R31*'Retail Rates'!R$6*(1-'Device Energy Use'!$E9)))/1000000</f>
        <v>0</v>
      </c>
      <c r="S81" s="123">
        <f>(('Energy Usage'!S31*'Retail Rates'!S$5*'Device Energy Use'!$E9+'Energy Usage'!S31*'Retail Rates'!S$6*(1-'Device Energy Use'!$E9)))/1000000</f>
        <v>0</v>
      </c>
      <c r="T81" s="123">
        <f>(('Energy Usage'!T31*'Retail Rates'!T$5*'Device Energy Use'!$E9+'Energy Usage'!T31*'Retail Rates'!T$6*(1-'Device Energy Use'!$E9)))/1000000</f>
        <v>0</v>
      </c>
      <c r="U81" s="123">
        <f>(('Energy Usage'!U31*'Retail Rates'!U$5*'Device Energy Use'!$E9+'Energy Usage'!U31*'Retail Rates'!U$6*(1-'Device Energy Use'!$E9)))/1000000</f>
        <v>0</v>
      </c>
      <c r="V81" s="123">
        <f>(('Energy Usage'!V31*'Retail Rates'!V$5*'Device Energy Use'!$E9+'Energy Usage'!V31*'Retail Rates'!V$6*(1-'Device Energy Use'!$E9)))/1000000</f>
        <v>0</v>
      </c>
      <c r="W81" s="123">
        <f>(('Energy Usage'!W31*'Retail Rates'!W$5*'Device Energy Use'!$E9+'Energy Usage'!W31*'Retail Rates'!W$6*(1-'Device Energy Use'!$E9)))/1000000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Y16"/>
  <sheetViews>
    <sheetView workbookViewId="0">
      <selection activeCell="C2" sqref="C2"/>
    </sheetView>
  </sheetViews>
  <sheetFormatPr defaultRowHeight="15.75"/>
  <cols>
    <col min="1" max="1" width="54.5703125" style="9" customWidth="1"/>
    <col min="2" max="2" width="9.42578125" style="9" bestFit="1" customWidth="1"/>
    <col min="3" max="3" width="13.42578125" style="9" customWidth="1"/>
    <col min="4" max="13" width="11" style="9" bestFit="1" customWidth="1"/>
    <col min="14" max="23" width="12.7109375" style="9" bestFit="1" customWidth="1"/>
    <col min="24" max="25" width="9.140625" style="45"/>
    <col min="26" max="16384" width="9.140625" style="9"/>
  </cols>
  <sheetData>
    <row r="1" spans="1:25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2" spans="1:25" s="149" customFormat="1">
      <c r="X2" s="150"/>
      <c r="Y2" s="150"/>
    </row>
    <row r="3" spans="1:25">
      <c r="A3" s="12" t="s">
        <v>156</v>
      </c>
      <c r="X3" s="9"/>
      <c r="Y3" s="9"/>
    </row>
    <row r="4" spans="1:25">
      <c r="B4" s="9">
        <f>'Energy Usage'!B10</f>
        <v>2014</v>
      </c>
      <c r="C4" s="9">
        <f>'Energy Usage'!C10</f>
        <v>2015</v>
      </c>
      <c r="D4" s="9">
        <f>'Energy Usage'!D10</f>
        <v>2016</v>
      </c>
      <c r="E4" s="9">
        <f>'Energy Usage'!E10</f>
        <v>2017</v>
      </c>
      <c r="F4" s="9">
        <f>'Energy Usage'!F10</f>
        <v>2018</v>
      </c>
      <c r="G4" s="9">
        <f>'Energy Usage'!G10</f>
        <v>2019</v>
      </c>
      <c r="H4" s="9">
        <f>'Energy Usage'!H10</f>
        <v>2020</v>
      </c>
      <c r="I4" s="9">
        <f>'Energy Usage'!I10</f>
        <v>2021</v>
      </c>
      <c r="J4" s="9">
        <f>'Energy Usage'!J10</f>
        <v>2022</v>
      </c>
      <c r="K4" s="9">
        <f>'Energy Usage'!K10</f>
        <v>2023</v>
      </c>
      <c r="L4" s="9">
        <f>'Energy Usage'!L10</f>
        <v>2024</v>
      </c>
      <c r="M4" s="9">
        <f>'Energy Usage'!M10</f>
        <v>2025</v>
      </c>
      <c r="N4" s="9">
        <f>'Energy Usage'!N10</f>
        <v>2026</v>
      </c>
      <c r="O4" s="9">
        <f>'Energy Usage'!O10</f>
        <v>2027</v>
      </c>
      <c r="P4" s="9">
        <f>'Energy Usage'!P10</f>
        <v>2028</v>
      </c>
      <c r="Q4" s="9">
        <f>'Energy Usage'!Q10</f>
        <v>2029</v>
      </c>
      <c r="R4" s="9">
        <f>'Energy Usage'!R10</f>
        <v>2030</v>
      </c>
      <c r="S4" s="9">
        <f>'Energy Usage'!S10</f>
        <v>2031</v>
      </c>
      <c r="T4" s="9">
        <f>'Energy Usage'!T10</f>
        <v>2032</v>
      </c>
      <c r="U4" s="9">
        <f>'Energy Usage'!U10</f>
        <v>2033</v>
      </c>
      <c r="V4" s="9">
        <f>'Energy Usage'!V10</f>
        <v>2034</v>
      </c>
      <c r="W4" s="9">
        <f>'Energy Usage'!W10</f>
        <v>2035</v>
      </c>
      <c r="X4" s="9"/>
      <c r="Y4" s="9"/>
    </row>
    <row r="5" spans="1:25">
      <c r="A5" s="9" t="s">
        <v>149</v>
      </c>
      <c r="B5" s="131">
        <f>'Energy Usage'!B13</f>
        <v>0</v>
      </c>
      <c r="C5" s="131">
        <f>'Energy Usage'!C13</f>
        <v>9.1673576215612923E-2</v>
      </c>
      <c r="D5" s="131">
        <f>'Energy Usage'!D13</f>
        <v>0.17672039166516779</v>
      </c>
      <c r="E5" s="131">
        <f>'Energy Usage'!E13</f>
        <v>0.25561368175145871</v>
      </c>
      <c r="F5" s="131">
        <f>'Energy Usage'!F13</f>
        <v>0.32879191213527492</v>
      </c>
      <c r="G5" s="131">
        <f>'Energy Usage'!G13</f>
        <v>0.39666084809247493</v>
      </c>
      <c r="H5" s="131">
        <f>'Energy Usage'!H13</f>
        <v>0.45959539976355146</v>
      </c>
      <c r="I5" s="131">
        <f>'Energy Usage'!I13</f>
        <v>0.51794128986663712</v>
      </c>
      <c r="J5" s="131">
        <f>'Energy Usage'!J13</f>
        <v>0.5720166086865498</v>
      </c>
      <c r="K5" s="131">
        <f>'Energy Usage'!K13</f>
        <v>0.62211333748904341</v>
      </c>
      <c r="L5" s="131">
        <f>'Energy Usage'!L13</f>
        <v>0.66849893102134383</v>
      </c>
      <c r="M5" s="131">
        <f>'Energy Usage'!M13</f>
        <v>0.71141804664967445</v>
      </c>
      <c r="N5" s="131">
        <f>'Energy Usage'!N13</f>
        <v>0.7510944867441991</v>
      </c>
      <c r="O5" s="131">
        <f>'Energy Usage'!O13</f>
        <v>0.78773337996931936</v>
      </c>
      <c r="P5" s="131">
        <f>'Energy Usage'!P13</f>
        <v>0.82152356971678164</v>
      </c>
      <c r="Q5" s="131">
        <f>'Energy Usage'!Q13</f>
        <v>0.85264011473323809</v>
      </c>
      <c r="R5" s="131">
        <f>'Energy Usage'!R13</f>
        <v>0.88124675434666577</v>
      </c>
      <c r="S5" s="131">
        <f>'Energy Usage'!S13</f>
        <v>0.90749816537901484</v>
      </c>
      <c r="T5" s="131">
        <f>'Energy Usage'!T13</f>
        <v>0.93154185015660218</v>
      </c>
      <c r="U5" s="131">
        <f>'Energy Usage'!U13</f>
        <v>0.9535195435910625</v>
      </c>
      <c r="V5" s="131">
        <f>'Energy Usage'!V13</f>
        <v>0.97356809877031059</v>
      </c>
      <c r="W5" s="131">
        <f>'Energy Usage'!W13</f>
        <v>0.99181988491422168</v>
      </c>
      <c r="X5" s="9"/>
      <c r="Y5" s="9"/>
    </row>
    <row r="6" spans="1:25">
      <c r="A6" s="42" t="s">
        <v>150</v>
      </c>
      <c r="B6" s="132">
        <f t="shared" ref="B6" si="0">B13*ConvertMMBTU/1000</f>
        <v>0</v>
      </c>
      <c r="C6" s="132">
        <f>C13</f>
        <v>0.11471452309125625</v>
      </c>
      <c r="D6" s="132">
        <f t="shared" ref="D6:W6" si="1">D13</f>
        <v>0.22111949568735664</v>
      </c>
      <c r="E6" s="132">
        <f t="shared" si="1"/>
        <v>0.31979442946797465</v>
      </c>
      <c r="F6" s="132">
        <f t="shared" si="1"/>
        <v>0.41126768200620323</v>
      </c>
      <c r="G6" s="132">
        <f t="shared" si="1"/>
        <v>0.49601603128727551</v>
      </c>
      <c r="H6" s="132">
        <f t="shared" si="1"/>
        <v>0.57446357726871322</v>
      </c>
      <c r="I6" s="132">
        <f t="shared" si="1"/>
        <v>0.64698034680133265</v>
      </c>
      <c r="J6" s="132">
        <f t="shared" si="1"/>
        <v>0.71388116347257058</v>
      </c>
      <c r="K6" s="132">
        <f t="shared" si="1"/>
        <v>0.77542550343066985</v>
      </c>
      <c r="L6" s="132">
        <f t="shared" si="1"/>
        <v>0.83181914262363355</v>
      </c>
      <c r="M6" s="132">
        <f t="shared" si="1"/>
        <v>0.88321835384263592</v>
      </c>
      <c r="N6" s="132">
        <f t="shared" si="1"/>
        <v>0.92973718550520656</v>
      </c>
      <c r="O6" s="132">
        <f t="shared" si="1"/>
        <v>0.97145793275850967</v>
      </c>
      <c r="P6" s="132">
        <f t="shared" si="1"/>
        <v>1.0084443378869861</v>
      </c>
      <c r="Q6" s="132">
        <f t="shared" si="1"/>
        <v>1.0407564436856225</v>
      </c>
      <c r="R6" s="132">
        <f t="shared" si="1"/>
        <v>1.0684655341762248</v>
      </c>
      <c r="S6" s="132">
        <f t="shared" si="1"/>
        <v>1.0916673938710297</v>
      </c>
      <c r="T6" s="132">
        <f t="shared" si="1"/>
        <v>1.1104922913813926</v>
      </c>
      <c r="U6" s="132">
        <f t="shared" si="1"/>
        <v>1.12511061836183</v>
      </c>
      <c r="V6" s="132">
        <f t="shared" si="1"/>
        <v>1.135733847632787</v>
      </c>
      <c r="W6" s="132">
        <f t="shared" si="1"/>
        <v>1.1426112128393915</v>
      </c>
      <c r="X6" s="9"/>
      <c r="Y6" s="9"/>
    </row>
    <row r="7" spans="1:25">
      <c r="A7" s="9" t="s">
        <v>152</v>
      </c>
      <c r="B7" s="131">
        <f t="shared" ref="B7:W7" si="2">B5-B6</f>
        <v>0</v>
      </c>
      <c r="C7" s="131">
        <f t="shared" si="2"/>
        <v>-2.3040946875643328E-2</v>
      </c>
      <c r="D7" s="131">
        <f t="shared" si="2"/>
        <v>-4.4399104022188857E-2</v>
      </c>
      <c r="E7" s="131">
        <f t="shared" si="2"/>
        <v>-6.418074771651594E-2</v>
      </c>
      <c r="F7" s="131">
        <f t="shared" si="2"/>
        <v>-8.2475769870928306E-2</v>
      </c>
      <c r="G7" s="131">
        <f t="shared" si="2"/>
        <v>-9.9355183194800578E-2</v>
      </c>
      <c r="H7" s="131">
        <f t="shared" si="2"/>
        <v>-0.11486817750516176</v>
      </c>
      <c r="I7" s="131">
        <f t="shared" si="2"/>
        <v>-0.12903905693469553</v>
      </c>
      <c r="J7" s="131">
        <f t="shared" si="2"/>
        <v>-0.14186455478602078</v>
      </c>
      <c r="K7" s="131">
        <f t="shared" si="2"/>
        <v>-0.15331216594162644</v>
      </c>
      <c r="L7" s="131">
        <f t="shared" si="2"/>
        <v>-0.16332021160228971</v>
      </c>
      <c r="M7" s="131">
        <f t="shared" si="2"/>
        <v>-0.17180030719296147</v>
      </c>
      <c r="N7" s="131">
        <f t="shared" si="2"/>
        <v>-0.17864269876100747</v>
      </c>
      <c r="O7" s="131">
        <f t="shared" si="2"/>
        <v>-0.18372455278919031</v>
      </c>
      <c r="P7" s="131">
        <f t="shared" si="2"/>
        <v>-0.18692076817020442</v>
      </c>
      <c r="Q7" s="131">
        <f t="shared" si="2"/>
        <v>-0.18811632895238439</v>
      </c>
      <c r="R7" s="131">
        <f t="shared" si="2"/>
        <v>-0.18721877982955903</v>
      </c>
      <c r="S7" s="131">
        <f t="shared" si="2"/>
        <v>-0.18416922849201489</v>
      </c>
      <c r="T7" s="131">
        <f t="shared" si="2"/>
        <v>-0.17895044122479042</v>
      </c>
      <c r="U7" s="131">
        <f t="shared" si="2"/>
        <v>-0.17159107477076752</v>
      </c>
      <c r="V7" s="131">
        <f t="shared" si="2"/>
        <v>-0.16216574886247637</v>
      </c>
      <c r="W7" s="131">
        <f t="shared" si="2"/>
        <v>-0.1507913279251698</v>
      </c>
      <c r="X7" s="9"/>
      <c r="Y7" s="9"/>
    </row>
    <row r="8" spans="1:25"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9"/>
      <c r="Y8" s="9"/>
    </row>
    <row r="9" spans="1:25" s="149" customFormat="1" ht="23.25" customHeight="1">
      <c r="A9" s="43" t="s">
        <v>154</v>
      </c>
      <c r="X9" s="150"/>
      <c r="Y9" s="150"/>
    </row>
    <row r="10" spans="1:25" s="149" customFormat="1">
      <c r="B10" s="149">
        <f>'Energy Usage'!B5</f>
        <v>2014</v>
      </c>
      <c r="C10" s="149">
        <f>'Energy Usage'!C5</f>
        <v>2015</v>
      </c>
      <c r="D10" s="149">
        <f>'Energy Usage'!D5</f>
        <v>2016</v>
      </c>
      <c r="E10" s="149">
        <f>'Energy Usage'!E5</f>
        <v>2017</v>
      </c>
      <c r="F10" s="149">
        <f>'Energy Usage'!F5</f>
        <v>2018</v>
      </c>
      <c r="G10" s="149">
        <f>'Energy Usage'!G5</f>
        <v>2019</v>
      </c>
      <c r="H10" s="149">
        <f>'Energy Usage'!H5</f>
        <v>2020</v>
      </c>
      <c r="I10" s="149">
        <f>'Energy Usage'!I5</f>
        <v>2021</v>
      </c>
      <c r="J10" s="149">
        <f>'Energy Usage'!J5</f>
        <v>2022</v>
      </c>
      <c r="K10" s="149">
        <f>'Energy Usage'!K5</f>
        <v>2023</v>
      </c>
      <c r="L10" s="149">
        <f>'Energy Usage'!L5</f>
        <v>2024</v>
      </c>
      <c r="M10" s="149">
        <f>'Energy Usage'!M5</f>
        <v>2025</v>
      </c>
      <c r="N10" s="149">
        <f>'Energy Usage'!N5</f>
        <v>2026</v>
      </c>
      <c r="O10" s="149">
        <f>'Energy Usage'!O5</f>
        <v>2027</v>
      </c>
      <c r="P10" s="149">
        <f>'Energy Usage'!P5</f>
        <v>2028</v>
      </c>
      <c r="Q10" s="149">
        <f>'Energy Usage'!Q5</f>
        <v>2029</v>
      </c>
      <c r="R10" s="149">
        <f>'Energy Usage'!R5</f>
        <v>2030</v>
      </c>
      <c r="S10" s="149">
        <f>'Energy Usage'!S5</f>
        <v>2031</v>
      </c>
      <c r="T10" s="149">
        <f>'Energy Usage'!T5</f>
        <v>2032</v>
      </c>
      <c r="U10" s="149">
        <f>'Energy Usage'!U5</f>
        <v>2033</v>
      </c>
      <c r="V10" s="149">
        <f>'Energy Usage'!V5</f>
        <v>2034</v>
      </c>
      <c r="W10" s="149">
        <f>'Energy Usage'!W5</f>
        <v>2035</v>
      </c>
      <c r="X10" s="150"/>
      <c r="Y10" s="150"/>
    </row>
    <row r="11" spans="1:25" s="149" customFormat="1">
      <c r="A11" s="149" t="s">
        <v>168</v>
      </c>
      <c r="B11" s="152">
        <f>-'Energy Usage'!B8/3412*1000000</f>
        <v>0</v>
      </c>
      <c r="C11" s="152">
        <f>-'Energy Usage'!C8/3412*1000000</f>
        <v>17.73021995228072</v>
      </c>
      <c r="D11" s="152">
        <f>-'Energy Usage'!D8/3412*1000000</f>
        <v>34.176119889854199</v>
      </c>
      <c r="E11" s="152">
        <f>-'Energy Usage'!E8/3412*1000000</f>
        <v>49.42726885130984</v>
      </c>
      <c r="F11" s="152">
        <f>-'Energy Usage'!F8/3412*1000000</f>
        <v>63.565329521824303</v>
      </c>
      <c r="G11" s="152">
        <f>-'Energy Usage'!G8/3412*1000000</f>
        <v>76.663992470985391</v>
      </c>
      <c r="H11" s="152">
        <f>-'Energy Usage'!H8/3412*1000000</f>
        <v>88.788806378471904</v>
      </c>
      <c r="I11" s="152">
        <f>-'Energy Usage'!I8/3412*1000000</f>
        <v>99.996962411334266</v>
      </c>
      <c r="J11" s="152">
        <f>-'Energy Usage'!J8/3412*1000000</f>
        <v>110.33711954753797</v>
      </c>
      <c r="K11" s="152">
        <f>-'Energy Usage'!K8/3412*1000000</f>
        <v>119.84938229222101</v>
      </c>
      <c r="L11" s="152">
        <f>-'Energy Usage'!L8/3412*1000000</f>
        <v>128.56555527413192</v>
      </c>
      <c r="M11" s="152">
        <f>-'Energy Usage'!M8/3412*1000000</f>
        <v>136.50979193858359</v>
      </c>
      <c r="N11" s="152">
        <f>-'Energy Usage'!N8/3412*1000000</f>
        <v>143.69971955258217</v>
      </c>
      <c r="O11" s="152">
        <f>-'Energy Usage'!O8/3412*1000000</f>
        <v>150.1480576133709</v>
      </c>
      <c r="P11" s="152">
        <f>-'Energy Usage'!P8/3412*1000000</f>
        <v>155.86465809690665</v>
      </c>
      <c r="Q11" s="152">
        <f>-'Energy Usage'!Q8/3412*1000000</f>
        <v>160.858801187886</v>
      </c>
      <c r="R11" s="152">
        <f>-'Energy Usage'!R8/3412*1000000</f>
        <v>165.14150450946289</v>
      </c>
      <c r="S11" s="152">
        <f>-'Energy Usage'!S8/3412*1000000</f>
        <v>168.72757246847448</v>
      </c>
      <c r="T11" s="152">
        <f>-'Energy Usage'!T8/3412*1000000</f>
        <v>171.63713931706224</v>
      </c>
      <c r="U11" s="152">
        <f>-'Energy Usage'!U8/3412*1000000</f>
        <v>173.89654070507419</v>
      </c>
      <c r="V11" s="152">
        <f>-'Energy Usage'!V8/3412*1000000</f>
        <v>175.5384617670459</v>
      </c>
      <c r="W11" s="152">
        <f>-'Energy Usage'!W8/3412*1000000</f>
        <v>176.60142393189977</v>
      </c>
      <c r="X11" s="150"/>
      <c r="Y11" s="150"/>
    </row>
    <row r="12" spans="1:25" s="149" customFormat="1">
      <c r="A12" s="153" t="s">
        <v>153</v>
      </c>
      <c r="B12" s="153">
        <f t="shared" ref="B12:W12" si="3">HeatRate</f>
        <v>6470</v>
      </c>
      <c r="C12" s="153">
        <f t="shared" si="3"/>
        <v>6470</v>
      </c>
      <c r="D12" s="153">
        <f t="shared" si="3"/>
        <v>6470</v>
      </c>
      <c r="E12" s="153">
        <f t="shared" si="3"/>
        <v>6470</v>
      </c>
      <c r="F12" s="153">
        <f t="shared" si="3"/>
        <v>6470</v>
      </c>
      <c r="G12" s="153">
        <f t="shared" si="3"/>
        <v>6470</v>
      </c>
      <c r="H12" s="153">
        <f t="shared" si="3"/>
        <v>6470</v>
      </c>
      <c r="I12" s="153">
        <f t="shared" si="3"/>
        <v>6470</v>
      </c>
      <c r="J12" s="153">
        <f t="shared" si="3"/>
        <v>6470</v>
      </c>
      <c r="K12" s="153">
        <f t="shared" si="3"/>
        <v>6470</v>
      </c>
      <c r="L12" s="153">
        <f t="shared" si="3"/>
        <v>6470</v>
      </c>
      <c r="M12" s="153">
        <f t="shared" si="3"/>
        <v>6470</v>
      </c>
      <c r="N12" s="153">
        <f t="shared" si="3"/>
        <v>6470</v>
      </c>
      <c r="O12" s="153">
        <f t="shared" si="3"/>
        <v>6470</v>
      </c>
      <c r="P12" s="153">
        <f t="shared" si="3"/>
        <v>6470</v>
      </c>
      <c r="Q12" s="153">
        <f t="shared" si="3"/>
        <v>6470</v>
      </c>
      <c r="R12" s="153">
        <f t="shared" si="3"/>
        <v>6470</v>
      </c>
      <c r="S12" s="153">
        <f t="shared" si="3"/>
        <v>6470</v>
      </c>
      <c r="T12" s="153">
        <f t="shared" si="3"/>
        <v>6470</v>
      </c>
      <c r="U12" s="153">
        <f t="shared" si="3"/>
        <v>6470</v>
      </c>
      <c r="V12" s="153">
        <f t="shared" si="3"/>
        <v>6470</v>
      </c>
      <c r="W12" s="153">
        <f t="shared" si="3"/>
        <v>6470</v>
      </c>
      <c r="X12" s="150"/>
      <c r="Y12" s="150"/>
    </row>
    <row r="13" spans="1:25" s="149" customFormat="1">
      <c r="A13" s="149" t="s">
        <v>169</v>
      </c>
      <c r="B13" s="151">
        <f t="shared" ref="B13" si="4">B11*1000000000/HeatRate/1000</f>
        <v>0</v>
      </c>
      <c r="C13" s="151">
        <f t="shared" ref="C13:W13" si="5">C11*HeatRate/1000000</f>
        <v>0.11471452309125625</v>
      </c>
      <c r="D13" s="151">
        <f t="shared" si="5"/>
        <v>0.22111949568735664</v>
      </c>
      <c r="E13" s="151">
        <f t="shared" si="5"/>
        <v>0.31979442946797465</v>
      </c>
      <c r="F13" s="151">
        <f t="shared" si="5"/>
        <v>0.41126768200620323</v>
      </c>
      <c r="G13" s="151">
        <f t="shared" si="5"/>
        <v>0.49601603128727551</v>
      </c>
      <c r="H13" s="151">
        <f t="shared" si="5"/>
        <v>0.57446357726871322</v>
      </c>
      <c r="I13" s="151">
        <f t="shared" si="5"/>
        <v>0.64698034680133265</v>
      </c>
      <c r="J13" s="151">
        <f t="shared" si="5"/>
        <v>0.71388116347257058</v>
      </c>
      <c r="K13" s="151">
        <f t="shared" si="5"/>
        <v>0.77542550343066985</v>
      </c>
      <c r="L13" s="151">
        <f t="shared" si="5"/>
        <v>0.83181914262363355</v>
      </c>
      <c r="M13" s="151">
        <f t="shared" si="5"/>
        <v>0.88321835384263592</v>
      </c>
      <c r="N13" s="151">
        <f t="shared" si="5"/>
        <v>0.92973718550520656</v>
      </c>
      <c r="O13" s="151">
        <f t="shared" si="5"/>
        <v>0.97145793275850967</v>
      </c>
      <c r="P13" s="151">
        <f t="shared" si="5"/>
        <v>1.0084443378869861</v>
      </c>
      <c r="Q13" s="151">
        <f t="shared" si="5"/>
        <v>1.0407564436856225</v>
      </c>
      <c r="R13" s="151">
        <f t="shared" si="5"/>
        <v>1.0684655341762248</v>
      </c>
      <c r="S13" s="151">
        <f t="shared" si="5"/>
        <v>1.0916673938710297</v>
      </c>
      <c r="T13" s="151">
        <f t="shared" si="5"/>
        <v>1.1104922913813926</v>
      </c>
      <c r="U13" s="151">
        <f t="shared" si="5"/>
        <v>1.12511061836183</v>
      </c>
      <c r="V13" s="151">
        <f t="shared" si="5"/>
        <v>1.135733847632787</v>
      </c>
      <c r="W13" s="151">
        <f t="shared" si="5"/>
        <v>1.1426112128393915</v>
      </c>
      <c r="X13" s="150"/>
      <c r="Y13" s="150"/>
    </row>
    <row r="14" spans="1:25" s="149" customFormat="1">
      <c r="X14" s="150"/>
      <c r="Y14" s="150"/>
    </row>
    <row r="16" spans="1:25">
      <c r="B16" s="17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AG69"/>
  <sheetViews>
    <sheetView workbookViewId="0"/>
  </sheetViews>
  <sheetFormatPr defaultColWidth="9.140625" defaultRowHeight="15.75"/>
  <cols>
    <col min="1" max="1" width="35.7109375" style="9" customWidth="1"/>
    <col min="2" max="9" width="11.7109375" style="9" customWidth="1"/>
    <col min="10" max="11" width="11" style="9" bestFit="1" customWidth="1"/>
    <col min="12" max="12" width="12" style="9" bestFit="1" customWidth="1"/>
    <col min="13" max="28" width="11" style="9" bestFit="1" customWidth="1"/>
    <col min="29" max="29" width="14.28515625" style="9" bestFit="1" customWidth="1"/>
    <col min="30" max="31" width="11" style="9" bestFit="1" customWidth="1"/>
    <col min="32" max="16384" width="9.140625" style="9"/>
  </cols>
  <sheetData>
    <row r="1" spans="1:33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33" ht="24" customHeight="1">
      <c r="A3" s="26" t="s">
        <v>52</v>
      </c>
      <c r="AG3" s="12"/>
    </row>
    <row r="4" spans="1:33">
      <c r="A4" s="42"/>
      <c r="B4" s="42">
        <f t="shared" ref="B4:W4" si="0">B16</f>
        <v>2014</v>
      </c>
      <c r="C4" s="42">
        <f t="shared" si="0"/>
        <v>2015</v>
      </c>
      <c r="D4" s="42">
        <f t="shared" si="0"/>
        <v>2016</v>
      </c>
      <c r="E4" s="42">
        <f t="shared" si="0"/>
        <v>2017</v>
      </c>
      <c r="F4" s="42">
        <f t="shared" si="0"/>
        <v>2018</v>
      </c>
      <c r="G4" s="42">
        <f t="shared" si="0"/>
        <v>2019</v>
      </c>
      <c r="H4" s="42">
        <f t="shared" si="0"/>
        <v>2020</v>
      </c>
      <c r="I4" s="42">
        <f t="shared" si="0"/>
        <v>2021</v>
      </c>
      <c r="J4" s="42">
        <f t="shared" si="0"/>
        <v>2022</v>
      </c>
      <c r="K4" s="42">
        <f t="shared" si="0"/>
        <v>2023</v>
      </c>
      <c r="L4" s="42">
        <f t="shared" si="0"/>
        <v>2024</v>
      </c>
      <c r="M4" s="42">
        <f t="shared" si="0"/>
        <v>2025</v>
      </c>
      <c r="N4" s="42">
        <f t="shared" si="0"/>
        <v>2026</v>
      </c>
      <c r="O4" s="42">
        <f t="shared" si="0"/>
        <v>2027</v>
      </c>
      <c r="P4" s="42">
        <f t="shared" si="0"/>
        <v>2028</v>
      </c>
      <c r="Q4" s="42">
        <f t="shared" si="0"/>
        <v>2029</v>
      </c>
      <c r="R4" s="42">
        <f t="shared" si="0"/>
        <v>2030</v>
      </c>
      <c r="S4" s="42">
        <f t="shared" si="0"/>
        <v>2031</v>
      </c>
      <c r="T4" s="42">
        <f t="shared" si="0"/>
        <v>2032</v>
      </c>
      <c r="U4" s="42">
        <f t="shared" si="0"/>
        <v>2033</v>
      </c>
      <c r="V4" s="42">
        <f t="shared" si="0"/>
        <v>2034</v>
      </c>
      <c r="W4" s="42">
        <f t="shared" si="0"/>
        <v>2035</v>
      </c>
      <c r="X4" s="45"/>
    </row>
    <row r="5" spans="1:33">
      <c r="A5" s="75" t="s">
        <v>79</v>
      </c>
      <c r="B5" s="91">
        <f t="shared" ref="B5:W5" si="1">B4</f>
        <v>2014</v>
      </c>
      <c r="C5" s="91">
        <f t="shared" si="1"/>
        <v>2015</v>
      </c>
      <c r="D5" s="91">
        <f t="shared" si="1"/>
        <v>2016</v>
      </c>
      <c r="E5" s="91">
        <f t="shared" si="1"/>
        <v>2017</v>
      </c>
      <c r="F5" s="91">
        <f t="shared" si="1"/>
        <v>2018</v>
      </c>
      <c r="G5" s="91">
        <f t="shared" si="1"/>
        <v>2019</v>
      </c>
      <c r="H5" s="91">
        <f t="shared" si="1"/>
        <v>2020</v>
      </c>
      <c r="I5" s="91">
        <f t="shared" si="1"/>
        <v>2021</v>
      </c>
      <c r="J5" s="91">
        <f t="shared" si="1"/>
        <v>2022</v>
      </c>
      <c r="K5" s="91">
        <f t="shared" si="1"/>
        <v>2023</v>
      </c>
      <c r="L5" s="91">
        <f t="shared" si="1"/>
        <v>2024</v>
      </c>
      <c r="M5" s="91">
        <f t="shared" si="1"/>
        <v>2025</v>
      </c>
      <c r="N5" s="91">
        <f t="shared" si="1"/>
        <v>2026</v>
      </c>
      <c r="O5" s="91">
        <f t="shared" si="1"/>
        <v>2027</v>
      </c>
      <c r="P5" s="91">
        <f t="shared" si="1"/>
        <v>2028</v>
      </c>
      <c r="Q5" s="91">
        <f t="shared" si="1"/>
        <v>2029</v>
      </c>
      <c r="R5" s="91">
        <f t="shared" si="1"/>
        <v>2030</v>
      </c>
      <c r="S5" s="91">
        <f t="shared" si="1"/>
        <v>2031</v>
      </c>
      <c r="T5" s="91">
        <f t="shared" si="1"/>
        <v>2032</v>
      </c>
      <c r="U5" s="91">
        <f t="shared" si="1"/>
        <v>2033</v>
      </c>
      <c r="V5" s="91">
        <f t="shared" si="1"/>
        <v>2034</v>
      </c>
      <c r="W5" s="91">
        <f t="shared" si="1"/>
        <v>2035</v>
      </c>
      <c r="X5" s="45"/>
      <c r="Y5" s="45"/>
    </row>
    <row r="6" spans="1:33">
      <c r="A6" s="51" t="s">
        <v>86</v>
      </c>
      <c r="B6" s="90">
        <f>(B$18*'Device Energy Use'!$E$5+B$19*'Device Energy Use'!$E$6+'Energy Usage'!B$20*'Device Energy Use'!$E$7+'Energy Usage'!B$21*'Device Energy Use'!$E$8+'Energy Usage'!B$22*'Device Energy Use'!$E$9)/1000000</f>
        <v>1.1610741737681329</v>
      </c>
      <c r="C6" s="90">
        <f>(C$18*'Device Energy Use'!$E$5+C$19*'Device Energy Use'!$E$6+'Energy Usage'!C$20*'Device Energy Use'!$E$7+'Energy Usage'!C$21*'Device Energy Use'!$E$8+'Energy Usage'!C$22*'Device Energy Use'!$E$9)/1000000</f>
        <v>1.1386358146904483</v>
      </c>
      <c r="D6" s="90">
        <f>(D$18*'Device Energy Use'!$E$5+D$19*'Device Energy Use'!$E$6+'Energy Usage'!D$20*'Device Energy Use'!$E$7+'Energy Usage'!D$21*'Device Energy Use'!$E$8+'Energy Usage'!D$22*'Device Energy Use'!$E$9)/1000000</f>
        <v>1.1177392035479299</v>
      </c>
      <c r="E6" s="90">
        <f>(E$18*'Device Energy Use'!$E$5+E$19*'Device Energy Use'!$E$6+'Energy Usage'!E$20*'Device Energy Use'!$E$7+'Energy Usage'!E$21*'Device Energy Use'!$E$8+'Energy Usage'!E$22*'Device Energy Use'!$E$9)/1000000</f>
        <v>1.0982668179127204</v>
      </c>
      <c r="F6" s="90">
        <f>(F$18*'Device Energy Use'!$E$5+F$19*'Device Energy Use'!$E$6+'Energy Usage'!F$20*'Device Energy Use'!$E$7+'Energy Usage'!F$21*'Device Energy Use'!$E$8+'Energy Usage'!F$22*'Device Energy Use'!$E$9)/1000000</f>
        <v>1.0801043825925121</v>
      </c>
      <c r="G6" s="90">
        <f>(G$18*'Device Energy Use'!$E$5+G$19*'Device Energy Use'!$E$6+'Energy Usage'!G$20*'Device Energy Use'!$E$7+'Energy Usage'!G$21*'Device Energy Use'!$E$8+'Energy Usage'!G$22*'Device Energy Use'!$E$9)/1000000</f>
        <v>1.063138486413332</v>
      </c>
      <c r="H6" s="90">
        <f>(H$18*'Device Energy Use'!$E$5+H$19*'Device Energy Use'!$E$6+'Energy Usage'!H$20*'Device Energy Use'!$E$7+'Energy Usage'!H$21*'Device Energy Use'!$E$8+'Energy Usage'!H$22*'Device Energy Use'!$E$9)/1000000</f>
        <v>1.0472539983155096</v>
      </c>
      <c r="I6" s="90">
        <f>(I$18*'Device Energy Use'!$E$5+I$19*'Device Energy Use'!$E$6+'Energy Usage'!I$20*'Device Energy Use'!$E$7+'Energy Usage'!I$21*'Device Energy Use'!$E$8+'Energy Usage'!I$22*'Device Energy Use'!$E$9)/1000000</f>
        <v>1.0323314702030528</v>
      </c>
      <c r="J6" s="90">
        <f>(J$18*'Device Energy Use'!$E$5+J$19*'Device Energy Use'!$E$6+'Energy Usage'!J$20*'Device Energy Use'!$E$7+'Energy Usage'!J$21*'Device Energy Use'!$E$8+'Energy Usage'!J$22*'Device Energy Use'!$E$9)/1000000</f>
        <v>1.0182448124620955</v>
      </c>
      <c r="K6" s="90">
        <f>(K$18*'Device Energy Use'!$E$5+K$19*'Device Energy Use'!$E$6+'Energy Usage'!K$20*'Device Energy Use'!$E$7+'Energy Usage'!K$21*'Device Energy Use'!$E$8+'Energy Usage'!K$22*'Device Energy Use'!$E$9)/1000000</f>
        <v>1.0048596129065328</v>
      </c>
      <c r="L6" s="90">
        <f>(L$18*'Device Energy Use'!$E$5+L$19*'Device Energy Use'!$E$6+'Energy Usage'!L$20*'Device Energy Use'!$E$7+'Energy Usage'!L$21*'Device Energy Use'!$E$8+'Energy Usage'!L$22*'Device Energy Use'!$E$9)/1000000</f>
        <v>0.99203251508327894</v>
      </c>
      <c r="M6" s="90">
        <f>(M$18*'Device Energy Use'!$E$5+M$19*'Device Energy Use'!$E$6+'Energy Usage'!M$20*'Device Energy Use'!$E$7+'Energy Usage'!M$21*'Device Energy Use'!$E$8+'Energy Usage'!M$22*'Device Energy Use'!$E$9)/1000000</f>
        <v>0.97961204769039234</v>
      </c>
      <c r="N6" s="90">
        <f>(N$18*'Device Energy Use'!$E$5+N$19*'Device Energy Use'!$E$6+'Energy Usage'!N$20*'Device Energy Use'!$E$7+'Energy Usage'!N$21*'Device Energy Use'!$E$8+'Energy Usage'!N$22*'Device Energy Use'!$E$9)/1000000</f>
        <v>0.9674411780239307</v>
      </c>
      <c r="O6" s="90">
        <f>(O$18*'Device Energy Use'!$E$5+O$19*'Device Energy Use'!$E$6+'Energy Usage'!O$20*'Device Energy Use'!$E$7+'Energy Usage'!O$21*'Device Energy Use'!$E$8+'Energy Usage'!O$22*'Device Energy Use'!$E$9)/1000000</f>
        <v>0.95536164070801899</v>
      </c>
      <c r="P6" s="90">
        <f>(P$18*'Device Energy Use'!$E$5+P$19*'Device Energy Use'!$E$6+'Energy Usage'!P$20*'Device Energy Use'!$E$7+'Energy Usage'!P$21*'Device Energy Use'!$E$8+'Energy Usage'!P$22*'Device Energy Use'!$E$9)/1000000</f>
        <v>0.94321979097704334</v>
      </c>
      <c r="Q6" s="90">
        <f>(Q$18*'Device Energy Use'!$E$5+Q$19*'Device Energy Use'!$E$6+'Energy Usage'!Q$20*'Device Energy Use'!$E$7+'Energy Usage'!Q$21*'Device Energy Use'!$E$8+'Energy Usage'!Q$22*'Device Energy Use'!$E$9)/1000000</f>
        <v>0.93087340880700786</v>
      </c>
      <c r="R6" s="90">
        <f>(R$18*'Device Energy Use'!$E$5+R$19*'Device Energy Use'!$E$6+'Energy Usage'!R$20*'Device Energy Use'!$E$7+'Energy Usage'!R$21*'Device Energy Use'!$E$8+'Energy Usage'!R$22*'Device Energy Use'!$E$9)/1000000</f>
        <v>0.9181986226006611</v>
      </c>
      <c r="S6" s="90">
        <f>(S$18*'Device Energy Use'!$E$5+S$19*'Device Energy Use'!$E$6+'Energy Usage'!S$20*'Device Energy Use'!$E$7+'Energy Usage'!S$21*'Device Energy Use'!$E$8+'Energy Usage'!S$22*'Device Energy Use'!$E$9)/1000000</f>
        <v>0.90509601439006759</v>
      </c>
      <c r="T6" s="90">
        <f>(T$18*'Device Energy Use'!$E$5+T$19*'Device Energy Use'!$E$6+'Energy Usage'!T$20*'Device Energy Use'!$E$7+'Energy Usage'!T$21*'Device Energy Use'!$E$8+'Energy Usage'!T$22*'Device Energy Use'!$E$9)/1000000</f>
        <v>0.89149506096833242</v>
      </c>
      <c r="U6" s="90">
        <f>(U$18*'Device Energy Use'!$E$5+U$19*'Device Energy Use'!$E$6+'Energy Usage'!U$20*'Device Energy Use'!$E$7+'Energy Usage'!U$21*'Device Energy Use'!$E$8+'Energy Usage'!U$22*'Device Energy Use'!$E$9)/1000000</f>
        <v>0.87735634267433515</v>
      </c>
      <c r="V6" s="90">
        <f>(V$18*'Device Energy Use'!$E$5+V$19*'Device Energy Use'!$E$6+'Energy Usage'!V$20*'Device Energy Use'!$E$7+'Energy Usage'!V$21*'Device Energy Use'!$E$8+'Energy Usage'!V$22*'Device Energy Use'!$E$9)/1000000</f>
        <v>0.86267133835288101</v>
      </c>
      <c r="W6" s="90">
        <f>(W$18*'Device Energy Use'!$E$5+W$19*'Device Energy Use'!$E$6+'Energy Usage'!W$20*'Device Energy Use'!$E$7+'Energy Usage'!W$21*'Device Energy Use'!$E$8+'Energy Usage'!W$22*'Device Energy Use'!$E$9)/1000000</f>
        <v>0.84746001477338251</v>
      </c>
      <c r="X6" s="45"/>
    </row>
    <row r="7" spans="1:33">
      <c r="A7" s="53" t="s">
        <v>101</v>
      </c>
      <c r="B7" s="92">
        <f>(B$27*'Device Energy Use'!$E$5+B$28*'Device Energy Use'!$E$6+'Energy Usage'!B$29*'Device Energy Use'!$E$7+'Energy Usage'!B$30*'Device Energy Use'!$E$8+'Energy Usage'!B$31*'Device Energy Use'!$E$9)/1000000</f>
        <v>1.1610741737681329</v>
      </c>
      <c r="C7" s="92">
        <f>(C$27*'Device Energy Use'!$E$5+C$28*'Device Energy Use'!$E$6+'Energy Usage'!C$29*'Device Energy Use'!$E$7+'Energy Usage'!C$30*'Device Energy Use'!$E$8+'Energy Usage'!C$31*'Device Energy Use'!$E$9)/1000000</f>
        <v>1.0781403042132665</v>
      </c>
      <c r="D7" s="92">
        <f>(D$27*'Device Energy Use'!$E$5+D$28*'Device Energy Use'!$E$6+'Energy Usage'!D$29*'Device Energy Use'!$E$7+'Energy Usage'!D$30*'Device Energy Use'!$E$8+'Energy Usage'!D$31*'Device Energy Use'!$E$9)/1000000</f>
        <v>1.0011302824837474</v>
      </c>
      <c r="E7" s="92">
        <f>(E$27*'Device Energy Use'!$E$5+E$28*'Device Energy Use'!$E$6+'Energy Usage'!E$29*'Device Energy Use'!$E$7+'Energy Usage'!E$30*'Device Energy Use'!$E$8+'Energy Usage'!E$31*'Device Energy Use'!$E$9)/1000000</f>
        <v>0.92962097659205123</v>
      </c>
      <c r="F7" s="92">
        <f>(F$27*'Device Energy Use'!$E$5+F$28*'Device Energy Use'!$E$6+'Energy Usage'!F$29*'Device Energy Use'!$E$7+'Energy Usage'!F$30*'Device Energy Use'!$E$8+'Energy Usage'!F$31*'Device Energy Use'!$E$9)/1000000</f>
        <v>0.86321947826404755</v>
      </c>
      <c r="G7" s="92">
        <f>(G$27*'Device Energy Use'!$E$5+G$28*'Device Energy Use'!$E$6+'Energy Usage'!G$29*'Device Energy Use'!$E$7+'Energy Usage'!G$30*'Device Energy Use'!$E$8+'Energy Usage'!G$31*'Device Energy Use'!$E$9)/1000000</f>
        <v>0.80156094410232981</v>
      </c>
      <c r="H7" s="92">
        <f>(H$27*'Device Energy Use'!$E$5+H$28*'Device Energy Use'!$E$6+'Energy Usage'!H$29*'Device Energy Use'!$E$7+'Energy Usage'!H$30*'Device Energy Use'!$E$8+'Energy Usage'!H$31*'Device Energy Use'!$E$9)/1000000</f>
        <v>0.74430659095216345</v>
      </c>
      <c r="I7" s="92">
        <f>(I$27*'Device Energy Use'!$E$5+I$28*'Device Energy Use'!$E$6+'Energy Usage'!I$29*'Device Energy Use'!$E$7+'Energy Usage'!I$30*'Device Energy Use'!$E$8+'Energy Usage'!I$31*'Device Energy Use'!$E$9)/1000000</f>
        <v>0.69114183445558031</v>
      </c>
      <c r="J7" s="92">
        <f>(J$27*'Device Energy Use'!$E$5+J$28*'Device Energy Use'!$E$6+'Energy Usage'!J$29*'Device Energy Use'!$E$7+'Energy Usage'!J$30*'Device Energy Use'!$E$8+'Energy Usage'!J$31*'Device Energy Use'!$E$9)/1000000</f>
        <v>0.64177456056589599</v>
      </c>
      <c r="K7" s="92">
        <f>(K$27*'Device Energy Use'!$E$5+K$28*'Device Energy Use'!$E$6+'Energy Usage'!K$29*'Device Energy Use'!$E$7+'Energy Usage'!K$30*'Device Energy Use'!$E$8+'Energy Usage'!K$31*'Device Energy Use'!$E$9)/1000000</f>
        <v>0.59593352052547477</v>
      </c>
      <c r="L7" s="92">
        <f>(L$27*'Device Energy Use'!$E$5+L$28*'Device Energy Use'!$E$6+'Energy Usage'!L$29*'Device Energy Use'!$E$7+'Energy Usage'!L$30*'Device Energy Use'!$E$8+'Energy Usage'!L$31*'Device Energy Use'!$E$9)/1000000</f>
        <v>0.55336684048794083</v>
      </c>
      <c r="M7" s="92">
        <f>(M$27*'Device Energy Use'!$E$5+M$28*'Device Energy Use'!$E$6+'Energy Usage'!M$29*'Device Energy Use'!$E$7+'Energy Usage'!M$30*'Device Energy Use'!$E$8+'Energy Usage'!M$31*'Device Energy Use'!$E$9)/1000000</f>
        <v>0.51384063759594512</v>
      </c>
      <c r="N7" s="92">
        <f>(N$27*'Device Energy Use'!$E$5+N$28*'Device Energy Use'!$E$6+'Energy Usage'!N$29*'Device Energy Use'!$E$7+'Energy Usage'!N$30*'Device Energy Use'!$E$8+'Energy Usage'!N$31*'Device Energy Use'!$E$9)/1000000</f>
        <v>0.47713773491052042</v>
      </c>
      <c r="O7" s="92">
        <f>(O$27*'Device Energy Use'!$E$5+O$28*'Device Energy Use'!$E$6+'Energy Usage'!O$29*'Device Energy Use'!$E$7+'Energy Usage'!O$30*'Device Energy Use'!$E$8+'Energy Usage'!O$31*'Device Energy Use'!$E$9)/1000000</f>
        <v>0.44305646813119753</v>
      </c>
      <c r="P7" s="92">
        <f>(P$27*'Device Energy Use'!$E$5+P$28*'Device Energy Use'!$E$6+'Energy Usage'!P$29*'Device Energy Use'!$E$7+'Energy Usage'!P$30*'Device Energy Use'!$E$8+'Energy Usage'!P$31*'Device Energy Use'!$E$9)/1000000</f>
        <v>0.41140957755039775</v>
      </c>
      <c r="Q7" s="92">
        <f>(Q$27*'Device Energy Use'!$E$5+Q$28*'Device Energy Use'!$E$6+'Energy Usage'!Q$29*'Device Energy Use'!$E$7+'Energy Usage'!Q$30*'Device Energy Use'!$E$8+'Energy Usage'!Q$31*'Device Energy Use'!$E$9)/1000000</f>
        <v>0.3820231791539408</v>
      </c>
      <c r="R7" s="92">
        <f>(R$27*'Device Energy Use'!$E$5+R$28*'Device Energy Use'!$E$6+'Energy Usage'!R$29*'Device Energy Use'!$E$7+'Energy Usage'!R$30*'Device Energy Use'!$E$8+'Energy Usage'!R$31*'Device Energy Use'!$E$9)/1000000</f>
        <v>0.35473580921437364</v>
      </c>
      <c r="S7" s="92">
        <f>(S$27*'Device Energy Use'!$E$5+S$28*'Device Energy Use'!$E$6+'Energy Usage'!S$29*'Device Energy Use'!$E$7+'Energy Usage'!S$30*'Device Energy Use'!$E$8+'Energy Usage'!S$31*'Device Energy Use'!$E$9)/1000000</f>
        <v>0.32939753712763264</v>
      </c>
      <c r="T7" s="92">
        <f>(T$27*'Device Energy Use'!$E$5+T$28*'Device Energy Use'!$E$6+'Energy Usage'!T$29*'Device Energy Use'!$E$7+'Energy Usage'!T$30*'Device Energy Use'!$E$8+'Energy Usage'!T$31*'Device Energy Use'!$E$9)/1000000</f>
        <v>0.30586914161851608</v>
      </c>
      <c r="U7" s="92">
        <f>(U$27*'Device Energy Use'!$E$5+U$28*'Device Energy Use'!$E$6+'Energy Usage'!U$29*'Device Energy Use'!$E$7+'Energy Usage'!U$30*'Device Energy Use'!$E$8+'Energy Usage'!U$31*'Device Energy Use'!$E$9)/1000000</f>
        <v>0.28402134578862204</v>
      </c>
      <c r="V7" s="92">
        <f>(V$27*'Device Energy Use'!$E$5+V$28*'Device Energy Use'!$E$6+'Energy Usage'!V$29*'Device Energy Use'!$E$7+'Energy Usage'!V$30*'Device Energy Use'!$E$8+'Energy Usage'!V$31*'Device Energy Use'!$E$9)/1000000</f>
        <v>0.26373410680372045</v>
      </c>
      <c r="W7" s="92">
        <f>(W$27*'Device Energy Use'!$E$5+W$28*'Device Energy Use'!$E$6+'Energy Usage'!W$29*'Device Energy Use'!$E$7+'Energy Usage'!W$30*'Device Energy Use'!$E$8+'Energy Usage'!W$31*'Device Energy Use'!$E$9)/1000000</f>
        <v>0.24489595631774044</v>
      </c>
      <c r="X7" s="45"/>
    </row>
    <row r="8" spans="1:33">
      <c r="A8" s="35" t="s">
        <v>81</v>
      </c>
      <c r="B8" s="90">
        <f t="shared" ref="B8:W8" si="2">B7-B6</f>
        <v>0</v>
      </c>
      <c r="C8" s="90">
        <f t="shared" si="2"/>
        <v>-6.0495510477181824E-2</v>
      </c>
      <c r="D8" s="90">
        <f t="shared" si="2"/>
        <v>-0.11660892106418252</v>
      </c>
      <c r="E8" s="90">
        <f t="shared" si="2"/>
        <v>-0.16864584132066918</v>
      </c>
      <c r="F8" s="90">
        <f t="shared" si="2"/>
        <v>-0.21688490432846452</v>
      </c>
      <c r="G8" s="90">
        <f t="shared" si="2"/>
        <v>-0.26157754231100216</v>
      </c>
      <c r="H8" s="90">
        <f t="shared" si="2"/>
        <v>-0.30294740736334613</v>
      </c>
      <c r="I8" s="90">
        <f t="shared" si="2"/>
        <v>-0.34118963574747252</v>
      </c>
      <c r="J8" s="90">
        <f t="shared" si="2"/>
        <v>-0.37647025189619954</v>
      </c>
      <c r="K8" s="90">
        <f t="shared" si="2"/>
        <v>-0.40892609238105804</v>
      </c>
      <c r="L8" s="90">
        <f t="shared" si="2"/>
        <v>-0.43866567459533812</v>
      </c>
      <c r="M8" s="90">
        <f t="shared" si="2"/>
        <v>-0.46577141009444722</v>
      </c>
      <c r="N8" s="90">
        <f t="shared" si="2"/>
        <v>-0.49030344311341029</v>
      </c>
      <c r="O8" s="90">
        <f t="shared" si="2"/>
        <v>-0.51230517257682151</v>
      </c>
      <c r="P8" s="90">
        <f t="shared" si="2"/>
        <v>-0.53181021342664558</v>
      </c>
      <c r="Q8" s="90">
        <f t="shared" si="2"/>
        <v>-0.54885022965306707</v>
      </c>
      <c r="R8" s="90">
        <f t="shared" si="2"/>
        <v>-0.56346281338628745</v>
      </c>
      <c r="S8" s="90">
        <f t="shared" si="2"/>
        <v>-0.57569847726243495</v>
      </c>
      <c r="T8" s="90">
        <f t="shared" si="2"/>
        <v>-0.58562591934981634</v>
      </c>
      <c r="U8" s="90">
        <f t="shared" si="2"/>
        <v>-0.59333499688571312</v>
      </c>
      <c r="V8" s="90">
        <f t="shared" si="2"/>
        <v>-0.59893723154916056</v>
      </c>
      <c r="W8" s="90">
        <f t="shared" si="2"/>
        <v>-0.60256405845564209</v>
      </c>
      <c r="X8" s="45"/>
    </row>
    <row r="9" spans="1:33">
      <c r="A9" s="5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5"/>
    </row>
    <row r="10" spans="1:33">
      <c r="A10" s="75" t="s">
        <v>80</v>
      </c>
      <c r="B10" s="45">
        <f t="shared" ref="B10:W10" si="3">B4</f>
        <v>2014</v>
      </c>
      <c r="C10" s="45">
        <f t="shared" si="3"/>
        <v>2015</v>
      </c>
      <c r="D10" s="45">
        <f t="shared" si="3"/>
        <v>2016</v>
      </c>
      <c r="E10" s="45">
        <f t="shared" si="3"/>
        <v>2017</v>
      </c>
      <c r="F10" s="45">
        <f t="shared" si="3"/>
        <v>2018</v>
      </c>
      <c r="G10" s="45">
        <f t="shared" si="3"/>
        <v>2019</v>
      </c>
      <c r="H10" s="45">
        <f t="shared" si="3"/>
        <v>2020</v>
      </c>
      <c r="I10" s="45">
        <f t="shared" si="3"/>
        <v>2021</v>
      </c>
      <c r="J10" s="45">
        <f t="shared" si="3"/>
        <v>2022</v>
      </c>
      <c r="K10" s="45">
        <f t="shared" si="3"/>
        <v>2023</v>
      </c>
      <c r="L10" s="45">
        <f t="shared" si="3"/>
        <v>2024</v>
      </c>
      <c r="M10" s="45">
        <f t="shared" si="3"/>
        <v>2025</v>
      </c>
      <c r="N10" s="45">
        <f t="shared" si="3"/>
        <v>2026</v>
      </c>
      <c r="O10" s="45">
        <f t="shared" si="3"/>
        <v>2027</v>
      </c>
      <c r="P10" s="45">
        <f t="shared" si="3"/>
        <v>2028</v>
      </c>
      <c r="Q10" s="45">
        <f t="shared" si="3"/>
        <v>2029</v>
      </c>
      <c r="R10" s="45">
        <f t="shared" si="3"/>
        <v>2030</v>
      </c>
      <c r="S10" s="45">
        <f t="shared" si="3"/>
        <v>2031</v>
      </c>
      <c r="T10" s="45">
        <f t="shared" si="3"/>
        <v>2032</v>
      </c>
      <c r="U10" s="45">
        <f t="shared" si="3"/>
        <v>2033</v>
      </c>
      <c r="V10" s="45">
        <f t="shared" si="3"/>
        <v>2034</v>
      </c>
      <c r="W10" s="45">
        <f t="shared" si="3"/>
        <v>2035</v>
      </c>
      <c r="X10" s="45"/>
    </row>
    <row r="11" spans="1:33">
      <c r="A11" s="51" t="s">
        <v>87</v>
      </c>
      <c r="B11" s="90">
        <f t="shared" ref="B11:W11" si="4">B54/1000000</f>
        <v>0</v>
      </c>
      <c r="C11" s="90">
        <f t="shared" si="4"/>
        <v>3.398380189782136E-2</v>
      </c>
      <c r="D11" s="90">
        <f t="shared" si="4"/>
        <v>6.5618837553598305E-2</v>
      </c>
      <c r="E11" s="90">
        <f t="shared" si="4"/>
        <v>9.5072980636544083E-2</v>
      </c>
      <c r="F11" s="90">
        <f t="shared" si="4"/>
        <v>0.12250308105273341</v>
      </c>
      <c r="G11" s="90">
        <f t="shared" si="4"/>
        <v>0.14805616655268136</v>
      </c>
      <c r="H11" s="90">
        <f t="shared" si="4"/>
        <v>0.17187063480609935</v>
      </c>
      <c r="I11" s="90">
        <f t="shared" si="4"/>
        <v>0.19407740606147292</v>
      </c>
      <c r="J11" s="90">
        <f t="shared" si="4"/>
        <v>0.2148009870744152</v>
      </c>
      <c r="K11" s="90">
        <f t="shared" si="4"/>
        <v>0.23416037954528715</v>
      </c>
      <c r="L11" s="90">
        <f t="shared" si="4"/>
        <v>0.25226975576682592</v>
      </c>
      <c r="M11" s="90">
        <f t="shared" si="4"/>
        <v>0.26923882633848889</v>
      </c>
      <c r="N11" s="90">
        <f t="shared" si="4"/>
        <v>0.28517284485824401</v>
      </c>
      <c r="O11" s="90">
        <f t="shared" si="4"/>
        <v>0.30017223463209763</v>
      </c>
      <c r="P11" s="90">
        <f t="shared" si="4"/>
        <v>0.31433187909796845</v>
      </c>
      <c r="Q11" s="90">
        <f t="shared" si="4"/>
        <v>0.32774018013674983</v>
      </c>
      <c r="R11" s="90">
        <f t="shared" si="4"/>
        <v>0.34047804043175706</v>
      </c>
      <c r="S11" s="90">
        <f t="shared" si="4"/>
        <v>0.35261795074295493</v>
      </c>
      <c r="T11" s="90">
        <f t="shared" si="4"/>
        <v>0.36422335007008982</v>
      </c>
      <c r="U11" s="90">
        <f t="shared" si="4"/>
        <v>0.37534837759001427</v>
      </c>
      <c r="V11" s="90">
        <f t="shared" si="4"/>
        <v>0.38603806329698015</v>
      </c>
      <c r="W11" s="90">
        <f t="shared" si="4"/>
        <v>0.39632892940455394</v>
      </c>
      <c r="X11" s="45"/>
    </row>
    <row r="12" spans="1:33">
      <c r="A12" s="53" t="s">
        <v>103</v>
      </c>
      <c r="B12" s="92">
        <f t="shared" ref="B12:W12" si="5">B63/1000000</f>
        <v>0</v>
      </c>
      <c r="C12" s="92">
        <f t="shared" si="5"/>
        <v>0.12565737811343428</v>
      </c>
      <c r="D12" s="92">
        <f t="shared" si="5"/>
        <v>0.24233922921876611</v>
      </c>
      <c r="E12" s="92">
        <f t="shared" si="5"/>
        <v>0.35068666238800278</v>
      </c>
      <c r="F12" s="92">
        <f t="shared" si="5"/>
        <v>0.45129499318800831</v>
      </c>
      <c r="G12" s="92">
        <f t="shared" si="5"/>
        <v>0.54471701464515632</v>
      </c>
      <c r="H12" s="92">
        <f t="shared" si="5"/>
        <v>0.63146603456965078</v>
      </c>
      <c r="I12" s="92">
        <f t="shared" si="5"/>
        <v>0.71201869592811007</v>
      </c>
      <c r="J12" s="92">
        <f t="shared" si="5"/>
        <v>0.78681759576096499</v>
      </c>
      <c r="K12" s="92">
        <f t="shared" si="5"/>
        <v>0.85627371703433053</v>
      </c>
      <c r="L12" s="92">
        <f t="shared" si="5"/>
        <v>0.9207686867881697</v>
      </c>
      <c r="M12" s="92">
        <f t="shared" si="5"/>
        <v>0.98065687298816329</v>
      </c>
      <c r="N12" s="92">
        <f t="shared" si="5"/>
        <v>1.0362673316024431</v>
      </c>
      <c r="O12" s="92">
        <f t="shared" si="5"/>
        <v>1.087905614601417</v>
      </c>
      <c r="P12" s="92">
        <f t="shared" si="5"/>
        <v>1.1358554488147501</v>
      </c>
      <c r="Q12" s="92">
        <f t="shared" si="5"/>
        <v>1.180380294869988</v>
      </c>
      <c r="R12" s="92">
        <f t="shared" si="5"/>
        <v>1.2217247947784229</v>
      </c>
      <c r="S12" s="92">
        <f t="shared" si="5"/>
        <v>1.2601161161219698</v>
      </c>
      <c r="T12" s="92">
        <f t="shared" si="5"/>
        <v>1.2957652002266919</v>
      </c>
      <c r="U12" s="92">
        <f t="shared" si="5"/>
        <v>1.3288679211810768</v>
      </c>
      <c r="V12" s="92">
        <f t="shared" si="5"/>
        <v>1.3596061620672908</v>
      </c>
      <c r="W12" s="92">
        <f t="shared" si="5"/>
        <v>1.3881488143187757</v>
      </c>
      <c r="X12" s="45"/>
    </row>
    <row r="13" spans="1:33">
      <c r="A13" s="35" t="s">
        <v>81</v>
      </c>
      <c r="B13" s="90">
        <f t="shared" ref="B13:W13" si="6">B12-B11</f>
        <v>0</v>
      </c>
      <c r="C13" s="90">
        <f t="shared" si="6"/>
        <v>9.1673576215612923E-2</v>
      </c>
      <c r="D13" s="90">
        <f t="shared" si="6"/>
        <v>0.17672039166516779</v>
      </c>
      <c r="E13" s="90">
        <f t="shared" si="6"/>
        <v>0.25561368175145871</v>
      </c>
      <c r="F13" s="90">
        <f t="shared" si="6"/>
        <v>0.32879191213527492</v>
      </c>
      <c r="G13" s="90">
        <f t="shared" si="6"/>
        <v>0.39666084809247493</v>
      </c>
      <c r="H13" s="90">
        <f t="shared" si="6"/>
        <v>0.45959539976355146</v>
      </c>
      <c r="I13" s="90">
        <f t="shared" si="6"/>
        <v>0.51794128986663712</v>
      </c>
      <c r="J13" s="90">
        <f t="shared" si="6"/>
        <v>0.5720166086865498</v>
      </c>
      <c r="K13" s="90">
        <f t="shared" si="6"/>
        <v>0.62211333748904341</v>
      </c>
      <c r="L13" s="90">
        <f t="shared" si="6"/>
        <v>0.66849893102134383</v>
      </c>
      <c r="M13" s="90">
        <f t="shared" si="6"/>
        <v>0.71141804664967445</v>
      </c>
      <c r="N13" s="90">
        <f t="shared" si="6"/>
        <v>0.7510944867441991</v>
      </c>
      <c r="O13" s="90">
        <f t="shared" si="6"/>
        <v>0.78773337996931936</v>
      </c>
      <c r="P13" s="90">
        <f t="shared" si="6"/>
        <v>0.82152356971678164</v>
      </c>
      <c r="Q13" s="90">
        <f t="shared" si="6"/>
        <v>0.85264011473323809</v>
      </c>
      <c r="R13" s="90">
        <f t="shared" si="6"/>
        <v>0.88124675434666577</v>
      </c>
      <c r="S13" s="90">
        <f t="shared" si="6"/>
        <v>0.90749816537901484</v>
      </c>
      <c r="T13" s="90">
        <f t="shared" si="6"/>
        <v>0.93154185015660218</v>
      </c>
      <c r="U13" s="90">
        <f t="shared" si="6"/>
        <v>0.9535195435910625</v>
      </c>
      <c r="V13" s="90">
        <f t="shared" si="6"/>
        <v>0.97356809877031059</v>
      </c>
      <c r="W13" s="90">
        <f t="shared" si="6"/>
        <v>0.99181988491422168</v>
      </c>
      <c r="X13" s="45"/>
    </row>
    <row r="14" spans="1:33">
      <c r="A14" s="52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33">
      <c r="A15" s="12" t="s">
        <v>48</v>
      </c>
    </row>
    <row r="16" spans="1:33">
      <c r="A16" s="39" t="str">
        <f>'Device Energy Use'!A4</f>
        <v>Water Heat Ending</v>
      </c>
      <c r="B16" s="42">
        <f>'Water Heater Stock'!B4</f>
        <v>2014</v>
      </c>
      <c r="C16" s="42">
        <f>'Water Heater Stock'!C4</f>
        <v>2015</v>
      </c>
      <c r="D16" s="42">
        <f>'Water Heater Stock'!D4</f>
        <v>2016</v>
      </c>
      <c r="E16" s="42">
        <f>'Water Heater Stock'!E4</f>
        <v>2017</v>
      </c>
      <c r="F16" s="42">
        <f>'Water Heater Stock'!F4</f>
        <v>2018</v>
      </c>
      <c r="G16" s="42">
        <f>'Water Heater Stock'!G4</f>
        <v>2019</v>
      </c>
      <c r="H16" s="42">
        <f>'Water Heater Stock'!H4</f>
        <v>2020</v>
      </c>
      <c r="I16" s="42">
        <f>'Water Heater Stock'!I4</f>
        <v>2021</v>
      </c>
      <c r="J16" s="42">
        <f>'Water Heater Stock'!J4</f>
        <v>2022</v>
      </c>
      <c r="K16" s="42">
        <f>'Water Heater Stock'!K4</f>
        <v>2023</v>
      </c>
      <c r="L16" s="42">
        <f>'Water Heater Stock'!L4</f>
        <v>2024</v>
      </c>
      <c r="M16" s="42">
        <f>'Water Heater Stock'!M4</f>
        <v>2025</v>
      </c>
      <c r="N16" s="42">
        <f>'Water Heater Stock'!N4</f>
        <v>2026</v>
      </c>
      <c r="O16" s="42">
        <f>'Water Heater Stock'!O4</f>
        <v>2027</v>
      </c>
      <c r="P16" s="42">
        <f>'Water Heater Stock'!P4</f>
        <v>2028</v>
      </c>
      <c r="Q16" s="42">
        <f>'Water Heater Stock'!Q4</f>
        <v>2029</v>
      </c>
      <c r="R16" s="42">
        <f>'Water Heater Stock'!R4</f>
        <v>2030</v>
      </c>
      <c r="S16" s="42">
        <f>'Water Heater Stock'!S4</f>
        <v>2031</v>
      </c>
      <c r="T16" s="42">
        <f>'Water Heater Stock'!T4</f>
        <v>2032</v>
      </c>
      <c r="U16" s="42">
        <f>'Water Heater Stock'!U4</f>
        <v>2033</v>
      </c>
      <c r="V16" s="42">
        <f>'Water Heater Stock'!V4</f>
        <v>2034</v>
      </c>
      <c r="W16" s="42">
        <f>'Water Heater Stock'!W4</f>
        <v>2035</v>
      </c>
    </row>
    <row r="17" spans="1:23" ht="16.5" thickBot="1">
      <c r="A17" s="49" t="s">
        <v>49</v>
      </c>
      <c r="B17" s="50">
        <f t="shared" ref="B17:W17" si="7">SUM(B18:B22)</f>
        <v>1161074.1737681329</v>
      </c>
      <c r="C17" s="50">
        <f t="shared" si="7"/>
        <v>1172619.6165882696</v>
      </c>
      <c r="D17" s="50">
        <f t="shared" si="7"/>
        <v>1183358.0411015283</v>
      </c>
      <c r="E17" s="50">
        <f t="shared" si="7"/>
        <v>1193339.7985492644</v>
      </c>
      <c r="F17" s="50">
        <f t="shared" si="7"/>
        <v>1202607.4636452454</v>
      </c>
      <c r="G17" s="50">
        <f t="shared" si="7"/>
        <v>1211194.6529660134</v>
      </c>
      <c r="H17" s="50">
        <f t="shared" si="7"/>
        <v>1219124.633121609</v>
      </c>
      <c r="I17" s="50">
        <f t="shared" si="7"/>
        <v>1226408.8762645258</v>
      </c>
      <c r="J17" s="50">
        <f t="shared" si="7"/>
        <v>1233045.7995365111</v>
      </c>
      <c r="K17" s="50">
        <f t="shared" si="7"/>
        <v>1239019.9924518201</v>
      </c>
      <c r="L17" s="50">
        <f t="shared" si="7"/>
        <v>1244302.270850105</v>
      </c>
      <c r="M17" s="50">
        <f t="shared" si="7"/>
        <v>1248850.8740288813</v>
      </c>
      <c r="N17" s="50">
        <f t="shared" si="7"/>
        <v>1252614.0228821749</v>
      </c>
      <c r="O17" s="50">
        <f t="shared" si="7"/>
        <v>1255533.8753401167</v>
      </c>
      <c r="P17" s="50">
        <f t="shared" si="7"/>
        <v>1257551.6700750117</v>
      </c>
      <c r="Q17" s="50">
        <f t="shared" si="7"/>
        <v>1258613.5889437576</v>
      </c>
      <c r="R17" s="50">
        <f t="shared" si="7"/>
        <v>1258676.6630324181</v>
      </c>
      <c r="S17" s="50">
        <f t="shared" si="7"/>
        <v>1257713.9651330225</v>
      </c>
      <c r="T17" s="50">
        <f t="shared" si="7"/>
        <v>1255718.4110384223</v>
      </c>
      <c r="U17" s="50">
        <f t="shared" si="7"/>
        <v>1252704.7202643494</v>
      </c>
      <c r="V17" s="50">
        <f t="shared" si="7"/>
        <v>1248709.4016498611</v>
      </c>
      <c r="W17" s="50">
        <f t="shared" si="7"/>
        <v>1243788.9441779363</v>
      </c>
    </row>
    <row r="18" spans="1:23" ht="16.5" thickTop="1">
      <c r="A18" s="9" t="str">
        <f>'Device Energy Use'!A5</f>
        <v>Electric Resistance</v>
      </c>
      <c r="B18" s="34">
        <f>'Water Heater Stock'!B6*'Device Energy Use'!$D5</f>
        <v>1161074.1737681329</v>
      </c>
      <c r="C18" s="34">
        <f>'Water Heater Stock'!C6*'Device Energy Use'!$D5</f>
        <v>1138631.9792702489</v>
      </c>
      <c r="D18" s="34">
        <f>'Water Heater Stock'!D6*'Device Energy Use'!$D5</f>
        <v>1117727.9761758482</v>
      </c>
      <c r="E18" s="34">
        <f>'Water Heater Stock'!E6*'Device Energy Use'!$D5</f>
        <v>1098241.8254658985</v>
      </c>
      <c r="F18" s="34">
        <f>'Water Heater Stock'!F6*'Device Energy Use'!$D5</f>
        <v>1080054.7637607295</v>
      </c>
      <c r="G18" s="34">
        <f>'Water Heater Stock'!G6*'Device Energy Use'!$D5</f>
        <v>1063046.571005794</v>
      </c>
      <c r="H18" s="34">
        <f>'Water Heater Stock'!H6*'Device Energy Use'!$D5</f>
        <v>1047092.2597087093</v>
      </c>
      <c r="I18" s="34">
        <f>'Water Heater Stock'!I6*'Device Energy Use'!$D5</f>
        <v>1032058.7445665712</v>
      </c>
      <c r="J18" s="34">
        <f>'Water Heater Stock'!J6*'Device Energy Use'!$D5</f>
        <v>1017801.884177701</v>
      </c>
      <c r="K18" s="34">
        <f>'Water Heater Stock'!K6*'Device Energy Use'!$D5</f>
        <v>1004164.3998925531</v>
      </c>
      <c r="L18" s="34">
        <f>'Water Heater Stock'!L6*'Device Energy Use'!$D5</f>
        <v>990975.23537075717</v>
      </c>
      <c r="M18" s="34">
        <f>'Water Heater Stock'!M6*'Device Energy Use'!$D5</f>
        <v>978050.88404929067</v>
      </c>
      <c r="N18" s="34">
        <f>'Water Heater Stock'!N6*'Device Energy Use'!$D5</f>
        <v>965199.04676815984</v>
      </c>
      <c r="O18" s="34">
        <f>'Water Heater Stock'!O6*'Device Energy Use'!$D5</f>
        <v>952224.67811760667</v>
      </c>
      <c r="P18" s="34">
        <f>'Water Heater Stock'!P6*'Device Energy Use'!$D5</f>
        <v>938938.06929328886</v>
      </c>
      <c r="Q18" s="34">
        <f>'Water Heater Stock'!Q6*'Device Energy Use'!$D5</f>
        <v>925164.1787494265</v>
      </c>
      <c r="R18" s="34">
        <f>'Water Heater Stock'!R6*'Device Energy Use'!$D5</f>
        <v>910752.07708080241</v>
      </c>
      <c r="S18" s="34">
        <f>'Water Heater Stock'!S6*'Device Energy Use'!$D5</f>
        <v>895583.23450289969</v>
      </c>
      <c r="T18" s="34">
        <f>'Water Heater Stock'!T6*'Device Energy Use'!$D5</f>
        <v>879577.51194127847</v>
      </c>
      <c r="U18" s="34">
        <f>'Water Heater Stock'!U6*'Device Energy Use'!$D5</f>
        <v>862696.09866751451</v>
      </c>
      <c r="V18" s="34">
        <f>'Water Heater Stock'!V6*'Device Energy Use'!$D5</f>
        <v>844941.1668439731</v>
      </c>
      <c r="W18" s="34">
        <f>'Water Heater Stock'!W6*'Device Energy Use'!$D5</f>
        <v>826352.5412642007</v>
      </c>
    </row>
    <row r="19" spans="1:23">
      <c r="A19" s="9" t="str">
        <f>'Device Energy Use'!A6</f>
        <v>HPWH</v>
      </c>
      <c r="B19" s="34">
        <f>'Water Heater Stock'!B7*'Device Energy Use'!$D6</f>
        <v>0</v>
      </c>
      <c r="C19" s="34">
        <f>'Water Heater Stock'!C7*'Device Energy Use'!$D6</f>
        <v>3.8354201994825434</v>
      </c>
      <c r="D19" s="34">
        <f>'Water Heater Stock'!D7*'Device Energy Use'!$D6</f>
        <v>11.227372081757192</v>
      </c>
      <c r="E19" s="34">
        <f>'Water Heater Stock'!E7*'Device Energy Use'!$D6</f>
        <v>24.992446821787521</v>
      </c>
      <c r="F19" s="34">
        <f>'Water Heater Stock'!F7*'Device Energy Use'!$D6</f>
        <v>49.618831782524936</v>
      </c>
      <c r="G19" s="34">
        <f>'Water Heater Stock'!G7*'Device Energy Use'!$D6</f>
        <v>91.915407538036561</v>
      </c>
      <c r="H19" s="34">
        <f>'Water Heater Stock'!H7*'Device Energy Use'!$D6</f>
        <v>161.73860680029847</v>
      </c>
      <c r="I19" s="34">
        <f>'Water Heater Stock'!I7*'Device Energy Use'!$D6</f>
        <v>272.72563648161355</v>
      </c>
      <c r="J19" s="34">
        <f>'Water Heater Stock'!J7*'Device Energy Use'!$D6</f>
        <v>442.92828439462357</v>
      </c>
      <c r="K19" s="34">
        <f>'Water Heater Stock'!K7*'Device Energy Use'!$D6</f>
        <v>695.21301397974401</v>
      </c>
      <c r="L19" s="34">
        <f>'Water Heater Stock'!L7*'Device Energy Use'!$D6</f>
        <v>1057.279712521824</v>
      </c>
      <c r="M19" s="34">
        <f>'Water Heater Stock'!M7*'Device Energy Use'!$D6</f>
        <v>1561.1636411017046</v>
      </c>
      <c r="N19" s="34">
        <f>'Water Heater Stock'!N7*'Device Energy Use'!$D6</f>
        <v>2242.131255770907</v>
      </c>
      <c r="O19" s="34">
        <f>'Water Heater Stock'!O7*'Device Energy Use'!$D6</f>
        <v>3136.9625904123204</v>
      </c>
      <c r="P19" s="34">
        <f>'Water Heater Stock'!P7*'Device Energy Use'!$D6</f>
        <v>4281.7216837544138</v>
      </c>
      <c r="Q19" s="34">
        <f>'Water Heater Stock'!Q7*'Device Energy Use'!$D6</f>
        <v>5709.230057581357</v>
      </c>
      <c r="R19" s="34">
        <f>'Water Heater Stock'!R7*'Device Energy Use'!$D6</f>
        <v>7446.5455198586924</v>
      </c>
      <c r="S19" s="34">
        <f>'Water Heater Stock'!S7*'Device Energy Use'!$D6</f>
        <v>9512.7798871678315</v>
      </c>
      <c r="T19" s="34">
        <f>'Water Heater Stock'!T7*'Device Energy Use'!$D6</f>
        <v>11917.549027053958</v>
      </c>
      <c r="U19" s="34">
        <f>'Water Heater Stock'!U7*'Device Energy Use'!$D6</f>
        <v>14660.244006820596</v>
      </c>
      <c r="V19" s="34">
        <f>'Water Heater Stock'!V7*'Device Energy Use'!$D6</f>
        <v>17730.171508907879</v>
      </c>
      <c r="W19" s="34">
        <f>'Water Heater Stock'!W7*'Device Energy Use'!$D6</f>
        <v>21107.473509181749</v>
      </c>
    </row>
    <row r="20" spans="1:23">
      <c r="A20" s="9" t="str">
        <f>'Device Energy Use'!A7</f>
        <v>Gas Tank</v>
      </c>
      <c r="B20" s="34">
        <f>'Water Heater Stock'!B8*'Device Energy Use'!$D7</f>
        <v>0</v>
      </c>
      <c r="C20" s="34">
        <f>'Water Heater Stock'!C8*'Device Energy Use'!$D7</f>
        <v>33973.938726973596</v>
      </c>
      <c r="D20" s="34">
        <f>'Water Heater Stock'!D8*'Device Energy Use'!$D7</f>
        <v>65589.865135268687</v>
      </c>
      <c r="E20" s="34">
        <f>'Water Heater Stock'!E8*'Device Energy Use'!$D7</f>
        <v>95008.235647967609</v>
      </c>
      <c r="F20" s="34">
        <f>'Water Heater Stock'!F8*'Device Energy Use'!$D7</f>
        <v>122374.00056290554</v>
      </c>
      <c r="G20" s="34">
        <f>'Water Heater Stock'!G8*'Device Energy Use'!$D7</f>
        <v>147816.00848903458</v>
      </c>
      <c r="H20" s="34">
        <f>'Water Heater Stock'!H8*'Device Energy Use'!$D7</f>
        <v>171446.14977822913</v>
      </c>
      <c r="I20" s="34">
        <f>'Water Heater Stock'!I8*'Device Energy Use'!$D7</f>
        <v>193358.39089527357</v>
      </c>
      <c r="J20" s="34">
        <f>'Water Heater Stock'!J8*'Device Energy Use'!$D7</f>
        <v>213627.93051294208</v>
      </c>
      <c r="K20" s="34">
        <f>'Water Heater Stock'!K8*'Device Energy Use'!$D7</f>
        <v>232310.77721283413</v>
      </c>
      <c r="L20" s="34">
        <f>'Water Heater Stock'!L8*'Device Energy Use'!$D7</f>
        <v>249444.0872242685</v>
      </c>
      <c r="M20" s="34">
        <f>'Water Heater Stock'!M8*'Device Energy Use'!$D7</f>
        <v>265047.58465520159</v>
      </c>
      <c r="N20" s="34">
        <f>'Water Heater Stock'!N8*'Device Energy Use'!$D7</f>
        <v>279126.29532189597</v>
      </c>
      <c r="O20" s="34">
        <f>'Water Heater Stock'!O8*'Device Energy Use'!$D7</f>
        <v>291674.65108597564</v>
      </c>
      <c r="P20" s="34">
        <f>'Water Heater Stock'!P8*'Device Energy Use'!$D7</f>
        <v>302681.78141914931</v>
      </c>
      <c r="Q20" s="34">
        <f>'Water Heater Stock'!Q8*'Device Energy Use'!$D7</f>
        <v>312137.54923795233</v>
      </c>
      <c r="R20" s="34">
        <f>'Water Heater Stock'!R8*'Device Energy Use'!$D7</f>
        <v>320038.67763895681</v>
      </c>
      <c r="S20" s="34">
        <f>'Water Heater Stock'!S8*'Device Energy Use'!$D7</f>
        <v>326394.22202947643</v>
      </c>
      <c r="T20" s="34">
        <f>'Water Heater Stock'!T8*'Device Energy Use'!$D7</f>
        <v>331229.70852082007</v>
      </c>
      <c r="U20" s="34">
        <f>'Water Heater Stock'!U8*'Device Energy Use'!$D7</f>
        <v>334589.4748554352</v>
      </c>
      <c r="V20" s="34">
        <f>'Water Heater Stock'!V8*'Device Energy Use'!$D7</f>
        <v>336537.05591880449</v>
      </c>
      <c r="W20" s="34">
        <f>'Water Heater Stock'!W8*'Device Energy Use'!$D7</f>
        <v>337153.76750246005</v>
      </c>
    </row>
    <row r="21" spans="1:23">
      <c r="A21" s="9" t="str">
        <f>'Device Energy Use'!A8</f>
        <v>Instant Gas</v>
      </c>
      <c r="B21" s="34">
        <f>'Water Heater Stock'!B9*'Device Energy Use'!$D8</f>
        <v>0</v>
      </c>
      <c r="C21" s="34">
        <f>'Water Heater Stock'!C9*'Device Energy Use'!$D8</f>
        <v>2.5767665467303424</v>
      </c>
      <c r="D21" s="34">
        <f>'Water Heater Stock'!D9*'Device Energy Use'!$D8</f>
        <v>7.5765588874554677</v>
      </c>
      <c r="E21" s="34">
        <f>'Water Heater Stock'!E9*'Device Energy Use'!$D8</f>
        <v>16.950340720196184</v>
      </c>
      <c r="F21" s="34">
        <f>'Water Heater Stock'!F9*'Device Energy Use'!$D8</f>
        <v>33.834288173336851</v>
      </c>
      <c r="G21" s="34">
        <f>'Water Heater Stock'!G9*'Device Energy Use'!$D8</f>
        <v>63.029459674801195</v>
      </c>
      <c r="H21" s="34">
        <f>'Water Heater Stock'!H9*'Device Energy Use'!$D8</f>
        <v>111.55147404605343</v>
      </c>
      <c r="I21" s="34">
        <f>'Water Heater Stock'!I9*'Device Energy Use'!$D8</f>
        <v>189.20301322731279</v>
      </c>
      <c r="J21" s="34">
        <f>'Water Heater Stock'!J9*'Device Energy Use'!$D8</f>
        <v>309.09553701306521</v>
      </c>
      <c r="K21" s="34">
        <f>'Water Heater Stock'!K9*'Device Energy Use'!$D8</f>
        <v>488.02293139240203</v>
      </c>
      <c r="L21" s="34">
        <f>'Water Heater Stock'!L9*'Device Energy Use'!$D8</f>
        <v>746.57574379674827</v>
      </c>
      <c r="M21" s="34">
        <f>'Water Heater Stock'!M9*'Device Energy Use'!$D8</f>
        <v>1108.8882102475125</v>
      </c>
      <c r="N21" s="34">
        <f>'Water Heater Stock'!N9*'Device Energy Use'!$D8</f>
        <v>1601.9386107900027</v>
      </c>
      <c r="O21" s="34">
        <f>'Water Heater Stock'!O9*'Device Energy Use'!$D8</f>
        <v>2254.3795237729878</v>
      </c>
      <c r="P21" s="34">
        <f>'Water Heater Stock'!P9*'Device Energy Use'!$D8</f>
        <v>3094.953256233463</v>
      </c>
      <c r="Q21" s="34">
        <f>'Water Heater Stock'!Q9*'Device Energy Use'!$D8</f>
        <v>4150.6341894124416</v>
      </c>
      <c r="R21" s="34">
        <f>'Water Heater Stock'!R9*'Device Energy Use'!$D8</f>
        <v>5444.7114031004985</v>
      </c>
      <c r="S21" s="34">
        <f>'Water Heater Stock'!S9*'Device Energy Use'!$D8</f>
        <v>6995.0585769957479</v>
      </c>
      <c r="T21" s="34">
        <f>'Water Heater Stock'!T9*'Device Energy Use'!$D8</f>
        <v>8812.8197288617393</v>
      </c>
      <c r="U21" s="34">
        <f>'Water Heater Stock'!U9*'Device Energy Use'!$D8</f>
        <v>10901.671002738201</v>
      </c>
      <c r="V21" s="34">
        <f>'Water Heater Stock'!V9*'Device Energy Use'!$D8</f>
        <v>13257.719081213325</v>
      </c>
      <c r="W21" s="34">
        <f>'Water Heater Stock'!W9*'Device Energy Use'!$D8</f>
        <v>15869.993524407604</v>
      </c>
    </row>
    <row r="22" spans="1:23">
      <c r="A22" s="9" t="str">
        <f>'Device Energy Use'!A9</f>
        <v>Condensing Gas</v>
      </c>
      <c r="B22" s="34">
        <f>'Water Heater Stock'!B10*'Device Energy Use'!$D9</f>
        <v>0</v>
      </c>
      <c r="C22" s="34">
        <f>'Water Heater Stock'!C10*'Device Energy Use'!$D9</f>
        <v>7.2864043010350024</v>
      </c>
      <c r="D22" s="34">
        <f>'Water Heater Stock'!D10*'Device Energy Use'!$D9</f>
        <v>21.395859442171027</v>
      </c>
      <c r="E22" s="34">
        <f>'Water Heater Stock'!E10*'Device Energy Use'!$D9</f>
        <v>47.79464785627782</v>
      </c>
      <c r="F22" s="34">
        <f>'Water Heater Stock'!F10*'Device Energy Use'!$D9</f>
        <v>95.246201654536733</v>
      </c>
      <c r="G22" s="34">
        <f>'Water Heater Stock'!G10*'Device Energy Use'!$D9</f>
        <v>177.12860397196027</v>
      </c>
      <c r="H22" s="34">
        <f>'Water Heater Stock'!H10*'Device Energy Use'!$D9</f>
        <v>312.93355382416746</v>
      </c>
      <c r="I22" s="34">
        <f>'Water Heater Stock'!I10*'Device Energy Use'!$D9</f>
        <v>529.81215297203687</v>
      </c>
      <c r="J22" s="34">
        <f>'Water Heater Stock'!J10*'Device Energy Use'!$D9</f>
        <v>863.96102446006705</v>
      </c>
      <c r="K22" s="34">
        <f>'Water Heater Stock'!K10*'Device Energy Use'!$D9</f>
        <v>1361.5794010606187</v>
      </c>
      <c r="L22" s="34">
        <f>'Water Heater Stock'!L10*'Device Energy Use'!$D9</f>
        <v>2079.0927987606838</v>
      </c>
      <c r="M22" s="34">
        <f>'Water Heater Stock'!M10*'Device Energy Use'!$D9</f>
        <v>3082.3534730398133</v>
      </c>
      <c r="N22" s="34">
        <f>'Water Heater Stock'!N10*'Device Energy Use'!$D9</f>
        <v>4444.6109255580168</v>
      </c>
      <c r="O22" s="34">
        <f>'Water Heater Stock'!O10*'Device Energy Use'!$D9</f>
        <v>6243.2040223490203</v>
      </c>
      <c r="P22" s="34">
        <f>'Water Heater Stock'!P10*'Device Energy Use'!$D9</f>
        <v>8555.1444225856976</v>
      </c>
      <c r="Q22" s="34">
        <f>'Water Heater Stock'!Q10*'Device Energy Use'!$D9</f>
        <v>11451.996709385041</v>
      </c>
      <c r="R22" s="34">
        <f>'Water Heater Stock'!R10*'Device Energy Use'!$D9</f>
        <v>14994.651389699733</v>
      </c>
      <c r="S22" s="34">
        <f>'Water Heater Stock'!S10*'Device Energy Use'!$D9</f>
        <v>19228.670136482739</v>
      </c>
      <c r="T22" s="34">
        <f>'Water Heater Stock'!T10*'Device Energy Use'!$D9</f>
        <v>24180.821820407982</v>
      </c>
      <c r="U22" s="34">
        <f>'Water Heater Stock'!U10*'Device Energy Use'!$D9</f>
        <v>29857.2317318409</v>
      </c>
      <c r="V22" s="34">
        <f>'Water Heater Stock'!V10*'Device Energy Use'!$D9</f>
        <v>36243.28829696231</v>
      </c>
      <c r="W22" s="34">
        <f>'Water Heater Stock'!W10*'Device Energy Use'!$D9</f>
        <v>43305.168377686277</v>
      </c>
    </row>
    <row r="24" spans="1:23">
      <c r="A24" s="12" t="s">
        <v>104</v>
      </c>
    </row>
    <row r="25" spans="1:23">
      <c r="A25" s="39" t="str">
        <f>'Device Energy Use'!A4</f>
        <v>Water Heat Ending</v>
      </c>
      <c r="B25" s="42">
        <f>'Water Heater Stock'!B4</f>
        <v>2014</v>
      </c>
      <c r="C25" s="42">
        <f>'Water Heater Stock'!C4</f>
        <v>2015</v>
      </c>
      <c r="D25" s="42">
        <f>'Water Heater Stock'!D4</f>
        <v>2016</v>
      </c>
      <c r="E25" s="42">
        <f>'Water Heater Stock'!E4</f>
        <v>2017</v>
      </c>
      <c r="F25" s="42">
        <f>'Water Heater Stock'!F4</f>
        <v>2018</v>
      </c>
      <c r="G25" s="42">
        <f>'Water Heater Stock'!G4</f>
        <v>2019</v>
      </c>
      <c r="H25" s="42">
        <f>'Water Heater Stock'!H4</f>
        <v>2020</v>
      </c>
      <c r="I25" s="42">
        <f>'Water Heater Stock'!I4</f>
        <v>2021</v>
      </c>
      <c r="J25" s="42">
        <f>'Water Heater Stock'!J4</f>
        <v>2022</v>
      </c>
      <c r="K25" s="42">
        <f>'Water Heater Stock'!K4</f>
        <v>2023</v>
      </c>
      <c r="L25" s="42">
        <f>'Water Heater Stock'!L4</f>
        <v>2024</v>
      </c>
      <c r="M25" s="42">
        <f>'Water Heater Stock'!M4</f>
        <v>2025</v>
      </c>
      <c r="N25" s="42">
        <f>'Water Heater Stock'!N4</f>
        <v>2026</v>
      </c>
      <c r="O25" s="42">
        <f>'Water Heater Stock'!O4</f>
        <v>2027</v>
      </c>
      <c r="P25" s="42">
        <f>'Water Heater Stock'!P4</f>
        <v>2028</v>
      </c>
      <c r="Q25" s="42">
        <f>'Water Heater Stock'!Q4</f>
        <v>2029</v>
      </c>
      <c r="R25" s="42">
        <f>'Water Heater Stock'!R4</f>
        <v>2030</v>
      </c>
      <c r="S25" s="42">
        <f>'Water Heater Stock'!S4</f>
        <v>2031</v>
      </c>
      <c r="T25" s="42">
        <f>'Water Heater Stock'!T4</f>
        <v>2032</v>
      </c>
      <c r="U25" s="42">
        <f>'Water Heater Stock'!U4</f>
        <v>2033</v>
      </c>
      <c r="V25" s="42">
        <f>'Water Heater Stock'!V4</f>
        <v>2034</v>
      </c>
      <c r="W25" s="42">
        <f>'Water Heater Stock'!W4</f>
        <v>2035</v>
      </c>
    </row>
    <row r="26" spans="1:23" ht="16.5" thickBot="1">
      <c r="A26" s="49" t="s">
        <v>49</v>
      </c>
      <c r="B26" s="50">
        <f t="shared" ref="B26:W26" si="8">SUM(B27:B31)</f>
        <v>1161074.1737681329</v>
      </c>
      <c r="C26" s="50">
        <f t="shared" si="8"/>
        <v>1203797.6823267005</v>
      </c>
      <c r="D26" s="50">
        <f t="shared" si="8"/>
        <v>1243469.5117025133</v>
      </c>
      <c r="E26" s="50">
        <f t="shared" si="8"/>
        <v>1280307.6389800541</v>
      </c>
      <c r="F26" s="50">
        <f t="shared" si="8"/>
        <v>1314514.471452056</v>
      </c>
      <c r="G26" s="50">
        <f t="shared" si="8"/>
        <v>1346277.9587474861</v>
      </c>
      <c r="H26" s="50">
        <f t="shared" si="8"/>
        <v>1375772.6255218142</v>
      </c>
      <c r="I26" s="50">
        <f t="shared" si="8"/>
        <v>1403160.5303836903</v>
      </c>
      <c r="J26" s="50">
        <f t="shared" si="8"/>
        <v>1428592.1563268611</v>
      </c>
      <c r="K26" s="50">
        <f t="shared" si="8"/>
        <v>1452207.2375598052</v>
      </c>
      <c r="L26" s="50">
        <f t="shared" si="8"/>
        <v>1474135.5272761104</v>
      </c>
      <c r="M26" s="50">
        <f t="shared" si="8"/>
        <v>1494497.5105841083</v>
      </c>
      <c r="N26" s="50">
        <f t="shared" si="8"/>
        <v>1513405.0665129635</v>
      </c>
      <c r="O26" s="50">
        <f t="shared" si="8"/>
        <v>1530962.0827326146</v>
      </c>
      <c r="P26" s="50">
        <f t="shared" si="8"/>
        <v>1547265.0263651479</v>
      </c>
      <c r="Q26" s="50">
        <f t="shared" si="8"/>
        <v>1562403.4740239289</v>
      </c>
      <c r="R26" s="50">
        <f t="shared" si="8"/>
        <v>1576460.6039927965</v>
      </c>
      <c r="S26" s="50">
        <f t="shared" si="8"/>
        <v>1589513.6532496025</v>
      </c>
      <c r="T26" s="50">
        <f t="shared" si="8"/>
        <v>1601634.3418452081</v>
      </c>
      <c r="U26" s="50">
        <f t="shared" si="8"/>
        <v>1612889.2669696987</v>
      </c>
      <c r="V26" s="50">
        <f t="shared" si="8"/>
        <v>1623340.2688710112</v>
      </c>
      <c r="W26" s="50">
        <f t="shared" si="8"/>
        <v>1633044.7706365162</v>
      </c>
    </row>
    <row r="27" spans="1:23" ht="16.5" thickTop="1">
      <c r="A27" s="14" t="str">
        <f>'Device Energy Use'!A5</f>
        <v>Electric Resistance</v>
      </c>
      <c r="B27" s="34">
        <f>'Water Heater Stock'!B15*'Device Energy Use'!$D5</f>
        <v>1161074.1737681329</v>
      </c>
      <c r="C27" s="34">
        <f>'Water Heater Stock'!C15*'Device Energy Use'!$D5</f>
        <v>1078140.3042132664</v>
      </c>
      <c r="D27" s="34">
        <f>'Water Heater Stock'!D15*'Device Energy Use'!$D5</f>
        <v>1001130.2824837473</v>
      </c>
      <c r="E27" s="34">
        <f>'Water Heater Stock'!E15*'Device Energy Use'!$D5</f>
        <v>929620.97659205121</v>
      </c>
      <c r="F27" s="34">
        <f>'Water Heater Stock'!F15*'Device Energy Use'!$D5</f>
        <v>863219.47826404753</v>
      </c>
      <c r="G27" s="34">
        <f>'Water Heater Stock'!G15*'Device Energy Use'!$D5</f>
        <v>801560.94410232978</v>
      </c>
      <c r="H27" s="34">
        <f>'Water Heater Stock'!H15*'Device Energy Use'!$D5</f>
        <v>744306.59095216345</v>
      </c>
      <c r="I27" s="34">
        <f>'Water Heater Stock'!I15*'Device Energy Use'!$D5</f>
        <v>691141.83445558033</v>
      </c>
      <c r="J27" s="34">
        <f>'Water Heater Stock'!J15*'Device Energy Use'!$D5</f>
        <v>641774.56056589598</v>
      </c>
      <c r="K27" s="34">
        <f>'Water Heater Stock'!K15*'Device Energy Use'!$D5</f>
        <v>595933.5205254748</v>
      </c>
      <c r="L27" s="34">
        <f>'Water Heater Stock'!L15*'Device Energy Use'!$D5</f>
        <v>553366.84048794082</v>
      </c>
      <c r="M27" s="34">
        <f>'Water Heater Stock'!M15*'Device Energy Use'!$D5</f>
        <v>513840.6375959451</v>
      </c>
      <c r="N27" s="34">
        <f>'Water Heater Stock'!N15*'Device Energy Use'!$D5</f>
        <v>477137.73491052043</v>
      </c>
      <c r="O27" s="34">
        <f>'Water Heater Stock'!O15*'Device Energy Use'!$D5</f>
        <v>443056.46813119756</v>
      </c>
      <c r="P27" s="34">
        <f>'Water Heater Stock'!P15*'Device Energy Use'!$D5</f>
        <v>411409.57755039778</v>
      </c>
      <c r="Q27" s="34">
        <f>'Water Heater Stock'!Q15*'Device Energy Use'!$D5</f>
        <v>382023.17915394082</v>
      </c>
      <c r="R27" s="34">
        <f>'Water Heater Stock'!R15*'Device Energy Use'!$D5</f>
        <v>354735.80921437364</v>
      </c>
      <c r="S27" s="34">
        <f>'Water Heater Stock'!S15*'Device Energy Use'!$D5</f>
        <v>329397.53712763265</v>
      </c>
      <c r="T27" s="34">
        <f>'Water Heater Stock'!T15*'Device Energy Use'!$D5</f>
        <v>305869.14161851606</v>
      </c>
      <c r="U27" s="34">
        <f>'Water Heater Stock'!U15*'Device Energy Use'!$D5</f>
        <v>284021.34578862204</v>
      </c>
      <c r="V27" s="34">
        <f>'Water Heater Stock'!V15*'Device Energy Use'!$D5</f>
        <v>263734.10680372047</v>
      </c>
      <c r="W27" s="34">
        <f>'Water Heater Stock'!W15*'Device Energy Use'!$D5</f>
        <v>244895.95631774043</v>
      </c>
    </row>
    <row r="28" spans="1:23">
      <c r="A28" s="14" t="str">
        <f>'Device Energy Use'!A6</f>
        <v>HPWH</v>
      </c>
      <c r="B28" s="34">
        <f>'Water Heater Stock'!B16*'Device Energy Use'!$D6</f>
        <v>0</v>
      </c>
      <c r="C28" s="34">
        <f>'Water Heater Stock'!C16*'Device Energy Use'!$D6</f>
        <v>0</v>
      </c>
      <c r="D28" s="34">
        <f>'Water Heater Stock'!D16*'Device Energy Use'!$D6</f>
        <v>0</v>
      </c>
      <c r="E28" s="34">
        <f>'Water Heater Stock'!E16*'Device Energy Use'!$D6</f>
        <v>0</v>
      </c>
      <c r="F28" s="34">
        <f>'Water Heater Stock'!F16*'Device Energy Use'!$D6</f>
        <v>0</v>
      </c>
      <c r="G28" s="34">
        <f>'Water Heater Stock'!G16*'Device Energy Use'!$D6</f>
        <v>0</v>
      </c>
      <c r="H28" s="34">
        <f>'Water Heater Stock'!H16*'Device Energy Use'!$D6</f>
        <v>0</v>
      </c>
      <c r="I28" s="34">
        <f>'Water Heater Stock'!I16*'Device Energy Use'!$D6</f>
        <v>0</v>
      </c>
      <c r="J28" s="34">
        <f>'Water Heater Stock'!J16*'Device Energy Use'!$D6</f>
        <v>0</v>
      </c>
      <c r="K28" s="34">
        <f>'Water Heater Stock'!K16*'Device Energy Use'!$D6</f>
        <v>0</v>
      </c>
      <c r="L28" s="34">
        <f>'Water Heater Stock'!L16*'Device Energy Use'!$D6</f>
        <v>0</v>
      </c>
      <c r="M28" s="34">
        <f>'Water Heater Stock'!M16*'Device Energy Use'!$D6</f>
        <v>0</v>
      </c>
      <c r="N28" s="34">
        <f>'Water Heater Stock'!N16*'Device Energy Use'!$D6</f>
        <v>0</v>
      </c>
      <c r="O28" s="34">
        <f>'Water Heater Stock'!O16*'Device Energy Use'!$D6</f>
        <v>0</v>
      </c>
      <c r="P28" s="34">
        <f>'Water Heater Stock'!P16*'Device Energy Use'!$D6</f>
        <v>0</v>
      </c>
      <c r="Q28" s="34">
        <f>'Water Heater Stock'!Q16*'Device Energy Use'!$D6</f>
        <v>0</v>
      </c>
      <c r="R28" s="34">
        <f>'Water Heater Stock'!R16*'Device Energy Use'!$D6</f>
        <v>0</v>
      </c>
      <c r="S28" s="34">
        <f>'Water Heater Stock'!S16*'Device Energy Use'!$D6</f>
        <v>0</v>
      </c>
      <c r="T28" s="34">
        <f>'Water Heater Stock'!T16*'Device Energy Use'!$D6</f>
        <v>0</v>
      </c>
      <c r="U28" s="34">
        <f>'Water Heater Stock'!U16*'Device Energy Use'!$D6</f>
        <v>0</v>
      </c>
      <c r="V28" s="34">
        <f>'Water Heater Stock'!V16*'Device Energy Use'!$D6</f>
        <v>0</v>
      </c>
      <c r="W28" s="34">
        <f>'Water Heater Stock'!W16*'Device Energy Use'!$D6</f>
        <v>0</v>
      </c>
    </row>
    <row r="29" spans="1:23">
      <c r="A29" s="14" t="str">
        <f>'Device Energy Use'!A7</f>
        <v>Gas Tank</v>
      </c>
      <c r="B29" s="34">
        <f>'Water Heater Stock'!B17*'Device Energy Use'!$D7</f>
        <v>0</v>
      </c>
      <c r="C29" s="34">
        <f>'Water Heater Stock'!C17*'Device Energy Use'!$D7</f>
        <v>125657.37811343427</v>
      </c>
      <c r="D29" s="34">
        <f>'Water Heater Stock'!D17*'Device Energy Use'!$D7</f>
        <v>242339.22921876609</v>
      </c>
      <c r="E29" s="34">
        <f>'Water Heater Stock'!E17*'Device Energy Use'!$D7</f>
        <v>350686.66238800279</v>
      </c>
      <c r="F29" s="34">
        <f>'Water Heater Stock'!F17*'Device Energy Use'!$D7</f>
        <v>451294.99318800832</v>
      </c>
      <c r="G29" s="34">
        <f>'Water Heater Stock'!G17*'Device Energy Use'!$D7</f>
        <v>544717.01464515633</v>
      </c>
      <c r="H29" s="34">
        <f>'Water Heater Stock'!H17*'Device Energy Use'!$D7</f>
        <v>631466.03456965077</v>
      </c>
      <c r="I29" s="34">
        <f>'Water Heater Stock'!I17*'Device Energy Use'!$D7</f>
        <v>712018.69592811004</v>
      </c>
      <c r="J29" s="34">
        <f>'Water Heater Stock'!J17*'Device Energy Use'!$D7</f>
        <v>786817.59576096502</v>
      </c>
      <c r="K29" s="34">
        <f>'Water Heater Stock'!K17*'Device Energy Use'!$D7</f>
        <v>856273.71703433048</v>
      </c>
      <c r="L29" s="34">
        <f>'Water Heater Stock'!L17*'Device Energy Use'!$D7</f>
        <v>920768.68678816967</v>
      </c>
      <c r="M29" s="34">
        <f>'Water Heater Stock'!M17*'Device Energy Use'!$D7</f>
        <v>980656.87298816326</v>
      </c>
      <c r="N29" s="34">
        <f>'Water Heater Stock'!N17*'Device Energy Use'!$D7</f>
        <v>1036267.331602443</v>
      </c>
      <c r="O29" s="34">
        <f>'Water Heater Stock'!O17*'Device Energy Use'!$D7</f>
        <v>1087905.614601417</v>
      </c>
      <c r="P29" s="34">
        <f>'Water Heater Stock'!P17*'Device Energy Use'!$D7</f>
        <v>1135855.4488147502</v>
      </c>
      <c r="Q29" s="34">
        <f>'Water Heater Stock'!Q17*'Device Energy Use'!$D7</f>
        <v>1180380.294869988</v>
      </c>
      <c r="R29" s="34">
        <f>'Water Heater Stock'!R17*'Device Energy Use'!$D7</f>
        <v>1221724.7947784229</v>
      </c>
      <c r="S29" s="34">
        <f>'Water Heater Stock'!S17*'Device Energy Use'!$D7</f>
        <v>1260116.1161219699</v>
      </c>
      <c r="T29" s="34">
        <f>'Water Heater Stock'!T17*'Device Energy Use'!$D7</f>
        <v>1295765.200226692</v>
      </c>
      <c r="U29" s="34">
        <f>'Water Heater Stock'!U17*'Device Energy Use'!$D7</f>
        <v>1328867.9211810767</v>
      </c>
      <c r="V29" s="34">
        <f>'Water Heater Stock'!V17*'Device Energy Use'!$D7</f>
        <v>1359606.1620672909</v>
      </c>
      <c r="W29" s="34">
        <f>'Water Heater Stock'!W17*'Device Energy Use'!$D7</f>
        <v>1388148.8143187757</v>
      </c>
    </row>
    <row r="30" spans="1:23">
      <c r="A30" s="14" t="str">
        <f>'Device Energy Use'!A8</f>
        <v>Instant Gas</v>
      </c>
      <c r="B30" s="34">
        <f>'Water Heater Stock'!B18*'Device Energy Use'!$D8</f>
        <v>0</v>
      </c>
      <c r="C30" s="34">
        <f>'Water Heater Stock'!C18*'Device Energy Use'!$D8</f>
        <v>0</v>
      </c>
      <c r="D30" s="34">
        <f>'Water Heater Stock'!D18*'Device Energy Use'!$D8</f>
        <v>0</v>
      </c>
      <c r="E30" s="34">
        <f>'Water Heater Stock'!E18*'Device Energy Use'!$D8</f>
        <v>0</v>
      </c>
      <c r="F30" s="34">
        <f>'Water Heater Stock'!F18*'Device Energy Use'!$D8</f>
        <v>0</v>
      </c>
      <c r="G30" s="34">
        <f>'Water Heater Stock'!G18*'Device Energy Use'!$D8</f>
        <v>0</v>
      </c>
      <c r="H30" s="34">
        <f>'Water Heater Stock'!H18*'Device Energy Use'!$D8</f>
        <v>0</v>
      </c>
      <c r="I30" s="34">
        <f>'Water Heater Stock'!I18*'Device Energy Use'!$D8</f>
        <v>0</v>
      </c>
      <c r="J30" s="34">
        <f>'Water Heater Stock'!J18*'Device Energy Use'!$D8</f>
        <v>0</v>
      </c>
      <c r="K30" s="34">
        <f>'Water Heater Stock'!K18*'Device Energy Use'!$D8</f>
        <v>0</v>
      </c>
      <c r="L30" s="34">
        <f>'Water Heater Stock'!L18*'Device Energy Use'!$D8</f>
        <v>0</v>
      </c>
      <c r="M30" s="34">
        <f>'Water Heater Stock'!M18*'Device Energy Use'!$D8</f>
        <v>0</v>
      </c>
      <c r="N30" s="34">
        <f>'Water Heater Stock'!N18*'Device Energy Use'!$D8</f>
        <v>0</v>
      </c>
      <c r="O30" s="34">
        <f>'Water Heater Stock'!O18*'Device Energy Use'!$D8</f>
        <v>0</v>
      </c>
      <c r="P30" s="34">
        <f>'Water Heater Stock'!P18*'Device Energy Use'!$D8</f>
        <v>0</v>
      </c>
      <c r="Q30" s="34">
        <f>'Water Heater Stock'!Q18*'Device Energy Use'!$D8</f>
        <v>0</v>
      </c>
      <c r="R30" s="34">
        <f>'Water Heater Stock'!R18*'Device Energy Use'!$D8</f>
        <v>0</v>
      </c>
      <c r="S30" s="34">
        <f>'Water Heater Stock'!S18*'Device Energy Use'!$D8</f>
        <v>0</v>
      </c>
      <c r="T30" s="34">
        <f>'Water Heater Stock'!T18*'Device Energy Use'!$D8</f>
        <v>0</v>
      </c>
      <c r="U30" s="34">
        <f>'Water Heater Stock'!U18*'Device Energy Use'!$D8</f>
        <v>0</v>
      </c>
      <c r="V30" s="34">
        <f>'Water Heater Stock'!V18*'Device Energy Use'!$D8</f>
        <v>0</v>
      </c>
      <c r="W30" s="34">
        <f>'Water Heater Stock'!W18*'Device Energy Use'!$D8</f>
        <v>0</v>
      </c>
    </row>
    <row r="31" spans="1:23">
      <c r="A31" s="14" t="str">
        <f>'Device Energy Use'!A9</f>
        <v>Condensing Gas</v>
      </c>
      <c r="B31" s="34">
        <f>'Water Heater Stock'!B19*'Device Energy Use'!$D9</f>
        <v>0</v>
      </c>
      <c r="C31" s="34">
        <f>'Water Heater Stock'!C19*'Device Energy Use'!$D9</f>
        <v>0</v>
      </c>
      <c r="D31" s="34">
        <f>'Water Heater Stock'!D19*'Device Energy Use'!$D9</f>
        <v>0</v>
      </c>
      <c r="E31" s="34">
        <f>'Water Heater Stock'!E19*'Device Energy Use'!$D9</f>
        <v>0</v>
      </c>
      <c r="F31" s="34">
        <f>'Water Heater Stock'!F19*'Device Energy Use'!$D9</f>
        <v>0</v>
      </c>
      <c r="G31" s="34">
        <f>'Water Heater Stock'!G19*'Device Energy Use'!$D9</f>
        <v>0</v>
      </c>
      <c r="H31" s="34">
        <f>'Water Heater Stock'!H19*'Device Energy Use'!$D9</f>
        <v>0</v>
      </c>
      <c r="I31" s="34">
        <f>'Water Heater Stock'!I19*'Device Energy Use'!$D9</f>
        <v>0</v>
      </c>
      <c r="J31" s="34">
        <f>'Water Heater Stock'!J19*'Device Energy Use'!$D9</f>
        <v>0</v>
      </c>
      <c r="K31" s="34">
        <f>'Water Heater Stock'!K19*'Device Energy Use'!$D9</f>
        <v>0</v>
      </c>
      <c r="L31" s="34">
        <f>'Water Heater Stock'!L19*'Device Energy Use'!$D9</f>
        <v>0</v>
      </c>
      <c r="M31" s="34">
        <f>'Water Heater Stock'!M19*'Device Energy Use'!$D9</f>
        <v>0</v>
      </c>
      <c r="N31" s="34">
        <f>'Water Heater Stock'!N19*'Device Energy Use'!$D9</f>
        <v>0</v>
      </c>
      <c r="O31" s="34">
        <f>'Water Heater Stock'!O19*'Device Energy Use'!$D9</f>
        <v>0</v>
      </c>
      <c r="P31" s="34">
        <f>'Water Heater Stock'!P19*'Device Energy Use'!$D9</f>
        <v>0</v>
      </c>
      <c r="Q31" s="34">
        <f>'Water Heater Stock'!Q19*'Device Energy Use'!$D9</f>
        <v>0</v>
      </c>
      <c r="R31" s="34">
        <f>'Water Heater Stock'!R19*'Device Energy Use'!$D9</f>
        <v>0</v>
      </c>
      <c r="S31" s="34">
        <f>'Water Heater Stock'!S19*'Device Energy Use'!$D9</f>
        <v>0</v>
      </c>
      <c r="T31" s="34">
        <f>'Water Heater Stock'!T19*'Device Energy Use'!$D9</f>
        <v>0</v>
      </c>
      <c r="U31" s="34">
        <f>'Water Heater Stock'!U19*'Device Energy Use'!$D9</f>
        <v>0</v>
      </c>
      <c r="V31" s="34">
        <f>'Water Heater Stock'!V19*'Device Energy Use'!$D9</f>
        <v>0</v>
      </c>
      <c r="W31" s="34">
        <f>'Water Heater Stock'!W19*'Device Energy Use'!$D9</f>
        <v>0</v>
      </c>
    </row>
    <row r="34" spans="1:23">
      <c r="A34" s="12" t="s">
        <v>50</v>
      </c>
    </row>
    <row r="35" spans="1:23">
      <c r="A35" s="39" t="str">
        <f>'Device Energy Use'!A4</f>
        <v>Water Heat Ending</v>
      </c>
      <c r="B35" s="42">
        <f>'Water Heater Stock'!B4</f>
        <v>2014</v>
      </c>
      <c r="C35" s="42">
        <f>'Water Heater Stock'!C4</f>
        <v>2015</v>
      </c>
      <c r="D35" s="42">
        <f>'Water Heater Stock'!D4</f>
        <v>2016</v>
      </c>
      <c r="E35" s="42">
        <f>'Water Heater Stock'!E4</f>
        <v>2017</v>
      </c>
      <c r="F35" s="42">
        <f>'Water Heater Stock'!F4</f>
        <v>2018</v>
      </c>
      <c r="G35" s="42">
        <f>'Water Heater Stock'!G4</f>
        <v>2019</v>
      </c>
      <c r="H35" s="42">
        <f>'Water Heater Stock'!H4</f>
        <v>2020</v>
      </c>
      <c r="I35" s="42">
        <f>'Water Heater Stock'!I4</f>
        <v>2021</v>
      </c>
      <c r="J35" s="42">
        <f>'Water Heater Stock'!J4</f>
        <v>2022</v>
      </c>
      <c r="K35" s="42">
        <f>'Water Heater Stock'!K4</f>
        <v>2023</v>
      </c>
      <c r="L35" s="42">
        <f>'Water Heater Stock'!L4</f>
        <v>2024</v>
      </c>
      <c r="M35" s="42">
        <f>'Water Heater Stock'!M4</f>
        <v>2025</v>
      </c>
      <c r="N35" s="42">
        <f>'Water Heater Stock'!N4</f>
        <v>2026</v>
      </c>
      <c r="O35" s="42">
        <f>'Water Heater Stock'!O4</f>
        <v>2027</v>
      </c>
      <c r="P35" s="42">
        <f>'Water Heater Stock'!P4</f>
        <v>2028</v>
      </c>
      <c r="Q35" s="42">
        <f>'Water Heater Stock'!Q4</f>
        <v>2029</v>
      </c>
      <c r="R35" s="42">
        <f>'Water Heater Stock'!R4</f>
        <v>2030</v>
      </c>
      <c r="S35" s="42">
        <f>'Water Heater Stock'!S4</f>
        <v>2031</v>
      </c>
      <c r="T35" s="42">
        <f>'Water Heater Stock'!T4</f>
        <v>2032</v>
      </c>
      <c r="U35" s="42">
        <f>'Water Heater Stock'!U4</f>
        <v>2033</v>
      </c>
      <c r="V35" s="42">
        <f>'Water Heater Stock'!V4</f>
        <v>2034</v>
      </c>
      <c r="W35" s="42">
        <f>'Water Heater Stock'!W4</f>
        <v>2035</v>
      </c>
    </row>
    <row r="36" spans="1:23" ht="16.5" thickBot="1">
      <c r="A36" s="49" t="s">
        <v>49</v>
      </c>
      <c r="B36" s="50">
        <f t="shared" ref="B36:W36" si="9">SUM(B37:B41)</f>
        <v>340291.37566475169</v>
      </c>
      <c r="C36" s="50">
        <f t="shared" si="9"/>
        <v>333715.06878383603</v>
      </c>
      <c r="D36" s="50">
        <f t="shared" si="9"/>
        <v>327590.62237629836</v>
      </c>
      <c r="E36" s="50">
        <f t="shared" si="9"/>
        <v>321883.59258872224</v>
      </c>
      <c r="F36" s="50">
        <f t="shared" si="9"/>
        <v>316560.48727799294</v>
      </c>
      <c r="G36" s="50">
        <f t="shared" si="9"/>
        <v>311588.06753028493</v>
      </c>
      <c r="H36" s="50">
        <f t="shared" si="9"/>
        <v>306932.59036210709</v>
      </c>
      <c r="I36" s="50">
        <f t="shared" si="9"/>
        <v>302559.04753899551</v>
      </c>
      <c r="J36" s="50">
        <f t="shared" si="9"/>
        <v>298430.4843089378</v>
      </c>
      <c r="K36" s="50">
        <f t="shared" si="9"/>
        <v>294507.50671352079</v>
      </c>
      <c r="L36" s="50">
        <f t="shared" si="9"/>
        <v>290748.09937962453</v>
      </c>
      <c r="M36" s="50">
        <f t="shared" si="9"/>
        <v>287107.86860796966</v>
      </c>
      <c r="N36" s="50">
        <f t="shared" si="9"/>
        <v>283540.79074558348</v>
      </c>
      <c r="O36" s="50">
        <f t="shared" si="9"/>
        <v>280000.480864015</v>
      </c>
      <c r="P36" s="50">
        <f t="shared" si="9"/>
        <v>276441.90825821907</v>
      </c>
      <c r="Q36" s="50">
        <f t="shared" si="9"/>
        <v>272823.39062339033</v>
      </c>
      <c r="R36" s="50">
        <f t="shared" si="9"/>
        <v>269108.62327100267</v>
      </c>
      <c r="S36" s="50">
        <f t="shared" si="9"/>
        <v>265268.46846133284</v>
      </c>
      <c r="T36" s="50">
        <f t="shared" si="9"/>
        <v>261282.25702471641</v>
      </c>
      <c r="U36" s="50">
        <f t="shared" si="9"/>
        <v>257138.43571932445</v>
      </c>
      <c r="V36" s="50">
        <f t="shared" si="9"/>
        <v>252834.50713742117</v>
      </c>
      <c r="W36" s="50">
        <f t="shared" si="9"/>
        <v>248376.32320439111</v>
      </c>
    </row>
    <row r="37" spans="1:23" ht="16.5" thickTop="1">
      <c r="A37" s="38" t="str">
        <f>'Device Energy Use'!A5</f>
        <v>Electric Resistance</v>
      </c>
      <c r="B37" s="34">
        <f>'Water Heater Stock'!B6*'Device Energy Use'!$B5/1000</f>
        <v>340291.37566475169</v>
      </c>
      <c r="C37" s="34">
        <f>'Water Heater Stock'!C6*'Device Energy Use'!$B5/1000</f>
        <v>333713.94468647393</v>
      </c>
      <c r="D37" s="34">
        <f>'Water Heater Stock'!D6*'Device Energy Use'!$B5/1000</f>
        <v>327587.33182176092</v>
      </c>
      <c r="E37" s="34">
        <f>'Water Heater Stock'!E6*'Device Energy Use'!$B5/1000</f>
        <v>321876.26772154117</v>
      </c>
      <c r="F37" s="34">
        <f>'Water Heater Stock'!F6*'Device Energy Use'!$B5/1000</f>
        <v>316545.94483022549</v>
      </c>
      <c r="G37" s="34">
        <f>'Water Heater Stock'!G6*'Device Energy Use'!$B5/1000</f>
        <v>311561.12866523862</v>
      </c>
      <c r="H37" s="34">
        <f>'Water Heater Stock'!H6*'Device Energy Use'!$B5/1000</f>
        <v>306885.18748789834</v>
      </c>
      <c r="I37" s="34">
        <f>'Water Heater Stock'!I6*'Device Energy Use'!$B5/1000</f>
        <v>302479.11622701382</v>
      </c>
      <c r="J37" s="34">
        <f>'Water Heater Stock'!J6*'Device Energy Use'!$B5/1000</f>
        <v>298300.6694541914</v>
      </c>
      <c r="K37" s="34">
        <f>'Water Heater Stock'!K6*'Device Energy Use'!$B5/1000</f>
        <v>294303.7514339253</v>
      </c>
      <c r="L37" s="34">
        <f>'Water Heater Stock'!L6*'Device Energy Use'!$B5/1000</f>
        <v>290438.22842050326</v>
      </c>
      <c r="M37" s="34">
        <f>'Water Heater Stock'!M6*'Device Energy Use'!$B5/1000</f>
        <v>286650.31771667372</v>
      </c>
      <c r="N37" s="34">
        <f>'Water Heater Stock'!N6*'Device Energy Use'!$B5/1000</f>
        <v>282883.65966241498</v>
      </c>
      <c r="O37" s="34">
        <f>'Water Heater Stock'!O6*'Device Energy Use'!$B5/1000</f>
        <v>279081.08971793868</v>
      </c>
      <c r="P37" s="34">
        <f>'Water Heater Stock'!P6*'Device Energy Use'!$B5/1000</f>
        <v>275187.00741303898</v>
      </c>
      <c r="Q37" s="34">
        <f>'Water Heater Stock'!Q6*'Device Energy Use'!$B5/1000</f>
        <v>271150.11100510741</v>
      </c>
      <c r="R37" s="34">
        <f>'Water Heater Stock'!R6*'Device Energy Use'!$B5/1000</f>
        <v>266926.16561570996</v>
      </c>
      <c r="S37" s="34">
        <f>'Water Heater Stock'!S6*'Device Energy Use'!$B5/1000</f>
        <v>262480.43215208082</v>
      </c>
      <c r="T37" s="34">
        <f>'Water Heater Stock'!T6*'Device Energy Use'!$B5/1000</f>
        <v>257789.42319498197</v>
      </c>
      <c r="U37" s="34">
        <f>'Water Heater Stock'!U6*'Device Energy Use'!$B5/1000</f>
        <v>252841.76397054936</v>
      </c>
      <c r="V37" s="34">
        <f>'Water Heater Stock'!V6*'Device Energy Use'!$B5/1000</f>
        <v>247638.09110315744</v>
      </c>
      <c r="W37" s="34">
        <f>'Water Heater Stock'!W6*'Device Energy Use'!$B5/1000</f>
        <v>242190.0765721573</v>
      </c>
    </row>
    <row r="38" spans="1:23">
      <c r="A38" s="38" t="str">
        <f>'Device Energy Use'!A6</f>
        <v>HPWH</v>
      </c>
      <c r="B38" s="34">
        <f>'Water Heater Stock'!B7*'Device Energy Use'!$B6/1000</f>
        <v>0</v>
      </c>
      <c r="C38" s="34">
        <f>'Water Heater Stock'!C7*'Device Energy Use'!$B6/1000</f>
        <v>1.1240973620992216</v>
      </c>
      <c r="D38" s="34">
        <f>'Water Heater Stock'!D7*'Device Energy Use'!$B6/1000</f>
        <v>3.2905545374434912</v>
      </c>
      <c r="E38" s="34">
        <f>'Water Heater Stock'!E7*'Device Energy Use'!$B6/1000</f>
        <v>7.3248671810631665</v>
      </c>
      <c r="F38" s="34">
        <f>'Water Heater Stock'!F7*'Device Energy Use'!$B6/1000</f>
        <v>14.542447767445761</v>
      </c>
      <c r="G38" s="34">
        <f>'Water Heater Stock'!G7*'Device Energy Use'!$B6/1000</f>
        <v>26.938865046317868</v>
      </c>
      <c r="H38" s="34">
        <f>'Water Heater Stock'!H7*'Device Energy Use'!$B6/1000</f>
        <v>47.402874208762746</v>
      </c>
      <c r="I38" s="34">
        <f>'Water Heater Stock'!I7*'Device Energy Use'!$B6/1000</f>
        <v>79.931311981715581</v>
      </c>
      <c r="J38" s="34">
        <f>'Water Heater Stock'!J7*'Device Energy Use'!$B6/1000</f>
        <v>129.81485474637267</v>
      </c>
      <c r="K38" s="34">
        <f>'Water Heater Stock'!K7*'Device Energy Use'!$B6/1000</f>
        <v>203.75527959547011</v>
      </c>
      <c r="L38" s="34">
        <f>'Water Heater Stock'!L7*'Device Energy Use'!$B6/1000</f>
        <v>309.8709591212849</v>
      </c>
      <c r="M38" s="34">
        <f>'Water Heater Stock'!M7*'Device Energy Use'!$B6/1000</f>
        <v>457.5508912959275</v>
      </c>
      <c r="N38" s="34">
        <f>'Water Heater Stock'!N7*'Device Energy Use'!$B6/1000</f>
        <v>657.13108316849571</v>
      </c>
      <c r="O38" s="34">
        <f>'Water Heater Stock'!O7*'Device Energy Use'!$B6/1000</f>
        <v>919.39114607629563</v>
      </c>
      <c r="P38" s="34">
        <f>'Water Heater Stock'!P7*'Device Energy Use'!$B6/1000</f>
        <v>1254.9008451800744</v>
      </c>
      <c r="Q38" s="34">
        <f>'Water Heater Stock'!Q7*'Device Energy Use'!$B6/1000</f>
        <v>1673.2796182829302</v>
      </c>
      <c r="R38" s="34">
        <f>'Water Heater Stock'!R7*'Device Energy Use'!$B6/1000</f>
        <v>2182.4576552927001</v>
      </c>
      <c r="S38" s="34">
        <f>'Water Heater Stock'!S7*'Device Energy Use'!$B6/1000</f>
        <v>2788.0363092520029</v>
      </c>
      <c r="T38" s="34">
        <f>'Water Heater Stock'!T7*'Device Energy Use'!$B6/1000</f>
        <v>3492.8338297344544</v>
      </c>
      <c r="U38" s="34">
        <f>'Water Heater Stock'!U7*'Device Energy Use'!$B6/1000</f>
        <v>4296.6717487750866</v>
      </c>
      <c r="V38" s="34">
        <f>'Water Heater Stock'!V7*'Device Energy Use'!$B6/1000</f>
        <v>5196.4160342637397</v>
      </c>
      <c r="W38" s="34">
        <f>'Water Heater Stock'!W7*'Device Energy Use'!$B6/1000</f>
        <v>6186.2466322338078</v>
      </c>
    </row>
    <row r="39" spans="1:23">
      <c r="A39" s="38" t="str">
        <f>'Device Energy Use'!A7</f>
        <v>Gas Tank</v>
      </c>
      <c r="B39" s="34">
        <f>'Water Heater Stock'!B8*'Device Energy Use'!$B7/1000</f>
        <v>0</v>
      </c>
      <c r="C39" s="34">
        <f>'Water Heater Stock'!C8*'Device Energy Use'!$B7/1000</f>
        <v>0</v>
      </c>
      <c r="D39" s="34">
        <f>'Water Heater Stock'!D8*'Device Energy Use'!$B7/1000</f>
        <v>0</v>
      </c>
      <c r="E39" s="34">
        <f>'Water Heater Stock'!E8*'Device Energy Use'!$B7/1000</f>
        <v>0</v>
      </c>
      <c r="F39" s="34">
        <f>'Water Heater Stock'!F8*'Device Energy Use'!$B7/1000</f>
        <v>0</v>
      </c>
      <c r="G39" s="34">
        <f>'Water Heater Stock'!G8*'Device Energy Use'!$B7/1000</f>
        <v>0</v>
      </c>
      <c r="H39" s="34">
        <f>'Water Heater Stock'!H8*'Device Energy Use'!$B7/1000</f>
        <v>0</v>
      </c>
      <c r="I39" s="34">
        <f>'Water Heater Stock'!I8*'Device Energy Use'!$B7/1000</f>
        <v>0</v>
      </c>
      <c r="J39" s="34">
        <f>'Water Heater Stock'!J8*'Device Energy Use'!$B7/1000</f>
        <v>0</v>
      </c>
      <c r="K39" s="34">
        <f>'Water Heater Stock'!K8*'Device Energy Use'!$B7/1000</f>
        <v>0</v>
      </c>
      <c r="L39" s="34">
        <f>'Water Heater Stock'!L8*'Device Energy Use'!$B7/1000</f>
        <v>0</v>
      </c>
      <c r="M39" s="34">
        <f>'Water Heater Stock'!M8*'Device Energy Use'!$B7/1000</f>
        <v>0</v>
      </c>
      <c r="N39" s="34">
        <f>'Water Heater Stock'!N8*'Device Energy Use'!$B7/1000</f>
        <v>0</v>
      </c>
      <c r="O39" s="34">
        <f>'Water Heater Stock'!O8*'Device Energy Use'!$B7/1000</f>
        <v>0</v>
      </c>
      <c r="P39" s="34">
        <f>'Water Heater Stock'!P8*'Device Energy Use'!$B7/1000</f>
        <v>0</v>
      </c>
      <c r="Q39" s="34">
        <f>'Water Heater Stock'!Q8*'Device Energy Use'!$B7/1000</f>
        <v>0</v>
      </c>
      <c r="R39" s="34">
        <f>'Water Heater Stock'!R8*'Device Energy Use'!$B7/1000</f>
        <v>0</v>
      </c>
      <c r="S39" s="34">
        <f>'Water Heater Stock'!S8*'Device Energy Use'!$B7/1000</f>
        <v>0</v>
      </c>
      <c r="T39" s="34">
        <f>'Water Heater Stock'!T8*'Device Energy Use'!$B7/1000</f>
        <v>0</v>
      </c>
      <c r="U39" s="34">
        <f>'Water Heater Stock'!U8*'Device Energy Use'!$B7/1000</f>
        <v>0</v>
      </c>
      <c r="V39" s="34">
        <f>'Water Heater Stock'!V8*'Device Energy Use'!$B7/1000</f>
        <v>0</v>
      </c>
      <c r="W39" s="34">
        <f>'Water Heater Stock'!W8*'Device Energy Use'!$B7/1000</f>
        <v>0</v>
      </c>
    </row>
    <row r="40" spans="1:23">
      <c r="A40" s="38" t="str">
        <f>'Device Energy Use'!A8</f>
        <v>Instant Gas</v>
      </c>
      <c r="B40" s="34">
        <f>'Water Heater Stock'!B9*'Device Energy Use'!$B8/1000</f>
        <v>0</v>
      </c>
      <c r="C40" s="34">
        <f>'Water Heater Stock'!C9*'Device Energy Use'!$B8/1000</f>
        <v>0</v>
      </c>
      <c r="D40" s="34">
        <f>'Water Heater Stock'!D9*'Device Energy Use'!$B8/1000</f>
        <v>0</v>
      </c>
      <c r="E40" s="34">
        <f>'Water Heater Stock'!E9*'Device Energy Use'!$B8/1000</f>
        <v>0</v>
      </c>
      <c r="F40" s="34">
        <f>'Water Heater Stock'!F9*'Device Energy Use'!$B8/1000</f>
        <v>0</v>
      </c>
      <c r="G40" s="34">
        <f>'Water Heater Stock'!G9*'Device Energy Use'!$B8/1000</f>
        <v>0</v>
      </c>
      <c r="H40" s="34">
        <f>'Water Heater Stock'!H9*'Device Energy Use'!$B8/1000</f>
        <v>0</v>
      </c>
      <c r="I40" s="34">
        <f>'Water Heater Stock'!I9*'Device Energy Use'!$B8/1000</f>
        <v>0</v>
      </c>
      <c r="J40" s="34">
        <f>'Water Heater Stock'!J9*'Device Energy Use'!$B8/1000</f>
        <v>0</v>
      </c>
      <c r="K40" s="34">
        <f>'Water Heater Stock'!K9*'Device Energy Use'!$B8/1000</f>
        <v>0</v>
      </c>
      <c r="L40" s="34">
        <f>'Water Heater Stock'!L9*'Device Energy Use'!$B8/1000</f>
        <v>0</v>
      </c>
      <c r="M40" s="34">
        <f>'Water Heater Stock'!M9*'Device Energy Use'!$B8/1000</f>
        <v>0</v>
      </c>
      <c r="N40" s="34">
        <f>'Water Heater Stock'!N9*'Device Energy Use'!$B8/1000</f>
        <v>0</v>
      </c>
      <c r="O40" s="34">
        <f>'Water Heater Stock'!O9*'Device Energy Use'!$B8/1000</f>
        <v>0</v>
      </c>
      <c r="P40" s="34">
        <f>'Water Heater Stock'!P9*'Device Energy Use'!$B8/1000</f>
        <v>0</v>
      </c>
      <c r="Q40" s="34">
        <f>'Water Heater Stock'!Q9*'Device Energy Use'!$B8/1000</f>
        <v>0</v>
      </c>
      <c r="R40" s="34">
        <f>'Water Heater Stock'!R9*'Device Energy Use'!$B8/1000</f>
        <v>0</v>
      </c>
      <c r="S40" s="34">
        <f>'Water Heater Stock'!S9*'Device Energy Use'!$B8/1000</f>
        <v>0</v>
      </c>
      <c r="T40" s="34">
        <f>'Water Heater Stock'!T9*'Device Energy Use'!$B8/1000</f>
        <v>0</v>
      </c>
      <c r="U40" s="34">
        <f>'Water Heater Stock'!U9*'Device Energy Use'!$B8/1000</f>
        <v>0</v>
      </c>
      <c r="V40" s="34">
        <f>'Water Heater Stock'!V9*'Device Energy Use'!$B8/1000</f>
        <v>0</v>
      </c>
      <c r="W40" s="34">
        <f>'Water Heater Stock'!W9*'Device Energy Use'!$B8/1000</f>
        <v>0</v>
      </c>
    </row>
    <row r="41" spans="1:23">
      <c r="A41" s="38" t="str">
        <f>'Device Energy Use'!A9</f>
        <v>Condensing Gas</v>
      </c>
      <c r="B41" s="34">
        <f>'Water Heater Stock'!B10*'Device Energy Use'!$B9/1000</f>
        <v>0</v>
      </c>
      <c r="C41" s="34">
        <f>'Water Heater Stock'!C10*'Device Energy Use'!$B9/1000</f>
        <v>0</v>
      </c>
      <c r="D41" s="34">
        <f>'Water Heater Stock'!D10*'Device Energy Use'!$B9/1000</f>
        <v>0</v>
      </c>
      <c r="E41" s="34">
        <f>'Water Heater Stock'!E10*'Device Energy Use'!$B9/1000</f>
        <v>0</v>
      </c>
      <c r="F41" s="34">
        <f>'Water Heater Stock'!F10*'Device Energy Use'!$B9/1000</f>
        <v>0</v>
      </c>
      <c r="G41" s="34">
        <f>'Water Heater Stock'!G10*'Device Energy Use'!$B9/1000</f>
        <v>0</v>
      </c>
      <c r="H41" s="34">
        <f>'Water Heater Stock'!H10*'Device Energy Use'!$B9/1000</f>
        <v>0</v>
      </c>
      <c r="I41" s="34">
        <f>'Water Heater Stock'!I10*'Device Energy Use'!$B9/1000</f>
        <v>0</v>
      </c>
      <c r="J41" s="34">
        <f>'Water Heater Stock'!J10*'Device Energy Use'!$B9/1000</f>
        <v>0</v>
      </c>
      <c r="K41" s="34">
        <f>'Water Heater Stock'!K10*'Device Energy Use'!$B9/1000</f>
        <v>0</v>
      </c>
      <c r="L41" s="34">
        <f>'Water Heater Stock'!L10*'Device Energy Use'!$B9/1000</f>
        <v>0</v>
      </c>
      <c r="M41" s="34">
        <f>'Water Heater Stock'!M10*'Device Energy Use'!$B9/1000</f>
        <v>0</v>
      </c>
      <c r="N41" s="34">
        <f>'Water Heater Stock'!N10*'Device Energy Use'!$B9/1000</f>
        <v>0</v>
      </c>
      <c r="O41" s="34">
        <f>'Water Heater Stock'!O10*'Device Energy Use'!$B9/1000</f>
        <v>0</v>
      </c>
      <c r="P41" s="34">
        <f>'Water Heater Stock'!P10*'Device Energy Use'!$B9/1000</f>
        <v>0</v>
      </c>
      <c r="Q41" s="34">
        <f>'Water Heater Stock'!Q10*'Device Energy Use'!$B9/1000</f>
        <v>0</v>
      </c>
      <c r="R41" s="34">
        <f>'Water Heater Stock'!R10*'Device Energy Use'!$B9/1000</f>
        <v>0</v>
      </c>
      <c r="S41" s="34">
        <f>'Water Heater Stock'!S10*'Device Energy Use'!$B9/1000</f>
        <v>0</v>
      </c>
      <c r="T41" s="34">
        <f>'Water Heater Stock'!T10*'Device Energy Use'!$B9/1000</f>
        <v>0</v>
      </c>
      <c r="U41" s="34">
        <f>'Water Heater Stock'!U10*'Device Energy Use'!$B9/1000</f>
        <v>0</v>
      </c>
      <c r="V41" s="34">
        <f>'Water Heater Stock'!V10*'Device Energy Use'!$B9/1000</f>
        <v>0</v>
      </c>
      <c r="W41" s="34">
        <f>'Water Heater Stock'!W10*'Device Energy Use'!$B9/1000</f>
        <v>0</v>
      </c>
    </row>
    <row r="42" spans="1:23">
      <c r="A42" s="38"/>
    </row>
    <row r="43" spans="1:23">
      <c r="A43" s="12" t="s">
        <v>105</v>
      </c>
    </row>
    <row r="44" spans="1:23">
      <c r="A44" s="39" t="str">
        <f>'Device Energy Use'!A4</f>
        <v>Water Heat Ending</v>
      </c>
      <c r="B44" s="42">
        <f>'Water Heater Stock'!B13</f>
        <v>2014</v>
      </c>
      <c r="C44" s="42">
        <f>'Water Heater Stock'!C13</f>
        <v>2015</v>
      </c>
      <c r="D44" s="42">
        <f>'Water Heater Stock'!D13</f>
        <v>2016</v>
      </c>
      <c r="E44" s="42">
        <f>'Water Heater Stock'!E13</f>
        <v>2017</v>
      </c>
      <c r="F44" s="42">
        <f>'Water Heater Stock'!F13</f>
        <v>2018</v>
      </c>
      <c r="G44" s="42">
        <f>'Water Heater Stock'!G13</f>
        <v>2019</v>
      </c>
      <c r="H44" s="42">
        <f>'Water Heater Stock'!H13</f>
        <v>2020</v>
      </c>
      <c r="I44" s="42">
        <f>'Water Heater Stock'!I13</f>
        <v>2021</v>
      </c>
      <c r="J44" s="42">
        <f>'Water Heater Stock'!J13</f>
        <v>2022</v>
      </c>
      <c r="K44" s="42">
        <f>'Water Heater Stock'!K13</f>
        <v>2023</v>
      </c>
      <c r="L44" s="42">
        <f>'Water Heater Stock'!L13</f>
        <v>2024</v>
      </c>
      <c r="M44" s="42">
        <f>'Water Heater Stock'!M13</f>
        <v>2025</v>
      </c>
      <c r="N44" s="42">
        <f>'Water Heater Stock'!N13</f>
        <v>2026</v>
      </c>
      <c r="O44" s="42">
        <f>'Water Heater Stock'!O13</f>
        <v>2027</v>
      </c>
      <c r="P44" s="42">
        <f>'Water Heater Stock'!P13</f>
        <v>2028</v>
      </c>
      <c r="Q44" s="42">
        <f>'Water Heater Stock'!Q13</f>
        <v>2029</v>
      </c>
      <c r="R44" s="42">
        <f>'Water Heater Stock'!R13</f>
        <v>2030</v>
      </c>
      <c r="S44" s="42">
        <f>'Water Heater Stock'!S13</f>
        <v>2031</v>
      </c>
      <c r="T44" s="42">
        <f>'Water Heater Stock'!T13</f>
        <v>2032</v>
      </c>
      <c r="U44" s="42">
        <f>'Water Heater Stock'!U13</f>
        <v>2033</v>
      </c>
      <c r="V44" s="42">
        <f>'Water Heater Stock'!V13</f>
        <v>2034</v>
      </c>
      <c r="W44" s="42">
        <f>'Water Heater Stock'!W13</f>
        <v>2035</v>
      </c>
    </row>
    <row r="45" spans="1:23" ht="16.5" thickBot="1">
      <c r="A45" s="49" t="s">
        <v>49</v>
      </c>
      <c r="B45" s="50">
        <f t="shared" ref="B45:W45" si="10">SUM(B46:B50)</f>
        <v>340291.37566475169</v>
      </c>
      <c r="C45" s="50">
        <f t="shared" si="10"/>
        <v>315984.84883155517</v>
      </c>
      <c r="D45" s="50">
        <f t="shared" si="10"/>
        <v>293414.50248644414</v>
      </c>
      <c r="E45" s="50">
        <f t="shared" si="10"/>
        <v>272456.32373741246</v>
      </c>
      <c r="F45" s="50">
        <f t="shared" si="10"/>
        <v>252995.15775616869</v>
      </c>
      <c r="G45" s="50">
        <f t="shared" si="10"/>
        <v>234924.07505929947</v>
      </c>
      <c r="H45" s="50">
        <f t="shared" si="10"/>
        <v>218143.78398363522</v>
      </c>
      <c r="I45" s="50">
        <f t="shared" si="10"/>
        <v>202562.0851276613</v>
      </c>
      <c r="J45" s="50">
        <f t="shared" si="10"/>
        <v>188093.36476139975</v>
      </c>
      <c r="K45" s="50">
        <f t="shared" si="10"/>
        <v>174658.12442129976</v>
      </c>
      <c r="L45" s="50">
        <f t="shared" si="10"/>
        <v>162182.54410549262</v>
      </c>
      <c r="M45" s="50">
        <f t="shared" si="10"/>
        <v>150598.07666938604</v>
      </c>
      <c r="N45" s="50">
        <f t="shared" si="10"/>
        <v>139841.07119300129</v>
      </c>
      <c r="O45" s="50">
        <f t="shared" si="10"/>
        <v>129852.42325064407</v>
      </c>
      <c r="P45" s="50">
        <f t="shared" si="10"/>
        <v>120577.25016131236</v>
      </c>
      <c r="Q45" s="50">
        <f t="shared" si="10"/>
        <v>111964.58943550434</v>
      </c>
      <c r="R45" s="50">
        <f t="shared" si="10"/>
        <v>103967.11876153975</v>
      </c>
      <c r="S45" s="50">
        <f t="shared" si="10"/>
        <v>96540.89599285835</v>
      </c>
      <c r="T45" s="50">
        <f t="shared" si="10"/>
        <v>89645.117707654179</v>
      </c>
      <c r="U45" s="50">
        <f t="shared" si="10"/>
        <v>83241.895014250302</v>
      </c>
      <c r="V45" s="50">
        <f t="shared" si="10"/>
        <v>77296.045370375286</v>
      </c>
      <c r="W45" s="50">
        <f t="shared" si="10"/>
        <v>71774.899272491341</v>
      </c>
    </row>
    <row r="46" spans="1:23" ht="16.5" thickTop="1">
      <c r="A46" s="38" t="str">
        <f>'Device Energy Use'!A5</f>
        <v>Electric Resistance</v>
      </c>
      <c r="B46" s="34">
        <f>'Water Heater Stock'!B15*'Device Energy Use'!$B5/1000</f>
        <v>340291.37566475169</v>
      </c>
      <c r="C46" s="34">
        <f>'Water Heater Stock'!C15*'Device Energy Use'!$B5/1000</f>
        <v>315984.84883155517</v>
      </c>
      <c r="D46" s="34">
        <f>'Water Heater Stock'!D15*'Device Energy Use'!$B5/1000</f>
        <v>293414.50248644414</v>
      </c>
      <c r="E46" s="34">
        <f>'Water Heater Stock'!E15*'Device Energy Use'!$B5/1000</f>
        <v>272456.32373741246</v>
      </c>
      <c r="F46" s="34">
        <f>'Water Heater Stock'!F15*'Device Energy Use'!$B5/1000</f>
        <v>252995.15775616869</v>
      </c>
      <c r="G46" s="34">
        <f>'Water Heater Stock'!G15*'Device Energy Use'!$B5/1000</f>
        <v>234924.07505929947</v>
      </c>
      <c r="H46" s="34">
        <f>'Water Heater Stock'!H15*'Device Energy Use'!$B5/1000</f>
        <v>218143.78398363522</v>
      </c>
      <c r="I46" s="34">
        <f>'Water Heater Stock'!I15*'Device Energy Use'!$B5/1000</f>
        <v>202562.0851276613</v>
      </c>
      <c r="J46" s="34">
        <f>'Water Heater Stock'!J15*'Device Energy Use'!$B5/1000</f>
        <v>188093.36476139975</v>
      </c>
      <c r="K46" s="34">
        <f>'Water Heater Stock'!K15*'Device Energy Use'!$B5/1000</f>
        <v>174658.12442129976</v>
      </c>
      <c r="L46" s="34">
        <f>'Water Heater Stock'!L15*'Device Energy Use'!$B5/1000</f>
        <v>162182.54410549262</v>
      </c>
      <c r="M46" s="34">
        <f>'Water Heater Stock'!M15*'Device Energy Use'!$B5/1000</f>
        <v>150598.07666938604</v>
      </c>
      <c r="N46" s="34">
        <f>'Water Heater Stock'!N15*'Device Energy Use'!$B5/1000</f>
        <v>139841.07119300129</v>
      </c>
      <c r="O46" s="34">
        <f>'Water Heater Stock'!O15*'Device Energy Use'!$B5/1000</f>
        <v>129852.42325064407</v>
      </c>
      <c r="P46" s="34">
        <f>'Water Heater Stock'!P15*'Device Energy Use'!$B5/1000</f>
        <v>120577.25016131236</v>
      </c>
      <c r="Q46" s="34">
        <f>'Water Heater Stock'!Q15*'Device Energy Use'!$B5/1000</f>
        <v>111964.58943550434</v>
      </c>
      <c r="R46" s="34">
        <f>'Water Heater Stock'!R15*'Device Energy Use'!$B5/1000</f>
        <v>103967.11876153975</v>
      </c>
      <c r="S46" s="34">
        <f>'Water Heater Stock'!S15*'Device Energy Use'!$B5/1000</f>
        <v>96540.89599285835</v>
      </c>
      <c r="T46" s="34">
        <f>'Water Heater Stock'!T15*'Device Energy Use'!$B5/1000</f>
        <v>89645.117707654179</v>
      </c>
      <c r="U46" s="34">
        <f>'Water Heater Stock'!U15*'Device Energy Use'!$B5/1000</f>
        <v>83241.895014250302</v>
      </c>
      <c r="V46" s="34">
        <f>'Water Heater Stock'!V15*'Device Energy Use'!$B5/1000</f>
        <v>77296.045370375286</v>
      </c>
      <c r="W46" s="34">
        <f>'Water Heater Stock'!W15*'Device Energy Use'!$B5/1000</f>
        <v>71774.899272491341</v>
      </c>
    </row>
    <row r="47" spans="1:23">
      <c r="A47" s="38" t="str">
        <f>'Device Energy Use'!A6</f>
        <v>HPWH</v>
      </c>
      <c r="B47" s="34">
        <f>'Water Heater Stock'!B16*'Device Energy Use'!$B6/1000</f>
        <v>0</v>
      </c>
      <c r="C47" s="34">
        <f>'Water Heater Stock'!C16*'Device Energy Use'!$B6/1000</f>
        <v>0</v>
      </c>
      <c r="D47" s="34">
        <f>'Water Heater Stock'!D16*'Device Energy Use'!$B6/1000</f>
        <v>0</v>
      </c>
      <c r="E47" s="34">
        <f>'Water Heater Stock'!E16*'Device Energy Use'!$B6/1000</f>
        <v>0</v>
      </c>
      <c r="F47" s="34">
        <f>'Water Heater Stock'!F16*'Device Energy Use'!$B6/1000</f>
        <v>0</v>
      </c>
      <c r="G47" s="34">
        <f>'Water Heater Stock'!G16*'Device Energy Use'!$B6/1000</f>
        <v>0</v>
      </c>
      <c r="H47" s="34">
        <f>'Water Heater Stock'!H16*'Device Energy Use'!$B6/1000</f>
        <v>0</v>
      </c>
      <c r="I47" s="34">
        <f>'Water Heater Stock'!I16*'Device Energy Use'!$B6/1000</f>
        <v>0</v>
      </c>
      <c r="J47" s="34">
        <f>'Water Heater Stock'!J16*'Device Energy Use'!$B6/1000</f>
        <v>0</v>
      </c>
      <c r="K47" s="34">
        <f>'Water Heater Stock'!K16*'Device Energy Use'!$B6/1000</f>
        <v>0</v>
      </c>
      <c r="L47" s="34">
        <f>'Water Heater Stock'!L16*'Device Energy Use'!$B6/1000</f>
        <v>0</v>
      </c>
      <c r="M47" s="34">
        <f>'Water Heater Stock'!M16*'Device Energy Use'!$B6/1000</f>
        <v>0</v>
      </c>
      <c r="N47" s="34">
        <f>'Water Heater Stock'!N16*'Device Energy Use'!$B6/1000</f>
        <v>0</v>
      </c>
      <c r="O47" s="34">
        <f>'Water Heater Stock'!O16*'Device Energy Use'!$B6/1000</f>
        <v>0</v>
      </c>
      <c r="P47" s="34">
        <f>'Water Heater Stock'!P16*'Device Energy Use'!$B6/1000</f>
        <v>0</v>
      </c>
      <c r="Q47" s="34">
        <f>'Water Heater Stock'!Q16*'Device Energy Use'!$B6/1000</f>
        <v>0</v>
      </c>
      <c r="R47" s="34">
        <f>'Water Heater Stock'!R16*'Device Energy Use'!$B6/1000</f>
        <v>0</v>
      </c>
      <c r="S47" s="34">
        <f>'Water Heater Stock'!S16*'Device Energy Use'!$B6/1000</f>
        <v>0</v>
      </c>
      <c r="T47" s="34">
        <f>'Water Heater Stock'!T16*'Device Energy Use'!$B6/1000</f>
        <v>0</v>
      </c>
      <c r="U47" s="34">
        <f>'Water Heater Stock'!U16*'Device Energy Use'!$B6/1000</f>
        <v>0</v>
      </c>
      <c r="V47" s="34">
        <f>'Water Heater Stock'!V16*'Device Energy Use'!$B6/1000</f>
        <v>0</v>
      </c>
      <c r="W47" s="34">
        <f>'Water Heater Stock'!W16*'Device Energy Use'!$B6/1000</f>
        <v>0</v>
      </c>
    </row>
    <row r="48" spans="1:23">
      <c r="A48" s="38" t="str">
        <f>'Device Energy Use'!A7</f>
        <v>Gas Tank</v>
      </c>
      <c r="B48" s="34">
        <f>'Water Heater Stock'!B17*'Device Energy Use'!$B7/1000</f>
        <v>0</v>
      </c>
      <c r="C48" s="34">
        <f>'Water Heater Stock'!C17*'Device Energy Use'!$B7/1000</f>
        <v>0</v>
      </c>
      <c r="D48" s="34">
        <f>'Water Heater Stock'!D17*'Device Energy Use'!$B7/1000</f>
        <v>0</v>
      </c>
      <c r="E48" s="34">
        <f>'Water Heater Stock'!E17*'Device Energy Use'!$B7/1000</f>
        <v>0</v>
      </c>
      <c r="F48" s="34">
        <f>'Water Heater Stock'!F17*'Device Energy Use'!$B7/1000</f>
        <v>0</v>
      </c>
      <c r="G48" s="34">
        <f>'Water Heater Stock'!G17*'Device Energy Use'!$B7/1000</f>
        <v>0</v>
      </c>
      <c r="H48" s="34">
        <f>'Water Heater Stock'!H17*'Device Energy Use'!$B7/1000</f>
        <v>0</v>
      </c>
      <c r="I48" s="34">
        <f>'Water Heater Stock'!I17*'Device Energy Use'!$B7/1000</f>
        <v>0</v>
      </c>
      <c r="J48" s="34">
        <f>'Water Heater Stock'!J17*'Device Energy Use'!$B7/1000</f>
        <v>0</v>
      </c>
      <c r="K48" s="34">
        <f>'Water Heater Stock'!K17*'Device Energy Use'!$B7/1000</f>
        <v>0</v>
      </c>
      <c r="L48" s="34">
        <f>'Water Heater Stock'!L17*'Device Energy Use'!$B7/1000</f>
        <v>0</v>
      </c>
      <c r="M48" s="34">
        <f>'Water Heater Stock'!M17*'Device Energy Use'!$B7/1000</f>
        <v>0</v>
      </c>
      <c r="N48" s="34">
        <f>'Water Heater Stock'!N17*'Device Energy Use'!$B7/1000</f>
        <v>0</v>
      </c>
      <c r="O48" s="34">
        <f>'Water Heater Stock'!O17*'Device Energy Use'!$B7/1000</f>
        <v>0</v>
      </c>
      <c r="P48" s="34">
        <f>'Water Heater Stock'!P17*'Device Energy Use'!$B7/1000</f>
        <v>0</v>
      </c>
      <c r="Q48" s="34">
        <f>'Water Heater Stock'!Q17*'Device Energy Use'!$B7/1000</f>
        <v>0</v>
      </c>
      <c r="R48" s="34">
        <f>'Water Heater Stock'!R17*'Device Energy Use'!$B7/1000</f>
        <v>0</v>
      </c>
      <c r="S48" s="34">
        <f>'Water Heater Stock'!S17*'Device Energy Use'!$B7/1000</f>
        <v>0</v>
      </c>
      <c r="T48" s="34">
        <f>'Water Heater Stock'!T17*'Device Energy Use'!$B7/1000</f>
        <v>0</v>
      </c>
      <c r="U48" s="34">
        <f>'Water Heater Stock'!U17*'Device Energy Use'!$B7/1000</f>
        <v>0</v>
      </c>
      <c r="V48" s="34">
        <f>'Water Heater Stock'!V17*'Device Energy Use'!$B7/1000</f>
        <v>0</v>
      </c>
      <c r="W48" s="34">
        <f>'Water Heater Stock'!W17*'Device Energy Use'!$B7/1000</f>
        <v>0</v>
      </c>
    </row>
    <row r="49" spans="1:23">
      <c r="A49" s="38" t="str">
        <f>'Device Energy Use'!A8</f>
        <v>Instant Gas</v>
      </c>
      <c r="B49" s="34">
        <f>'Water Heater Stock'!B18*'Device Energy Use'!$B8/1000</f>
        <v>0</v>
      </c>
      <c r="C49" s="34">
        <f>'Water Heater Stock'!C18*'Device Energy Use'!$B8/1000</f>
        <v>0</v>
      </c>
      <c r="D49" s="34">
        <f>'Water Heater Stock'!D18*'Device Energy Use'!$B8/1000</f>
        <v>0</v>
      </c>
      <c r="E49" s="34">
        <f>'Water Heater Stock'!E18*'Device Energy Use'!$B8/1000</f>
        <v>0</v>
      </c>
      <c r="F49" s="34">
        <f>'Water Heater Stock'!F18*'Device Energy Use'!$B8/1000</f>
        <v>0</v>
      </c>
      <c r="G49" s="34">
        <f>'Water Heater Stock'!G18*'Device Energy Use'!$B8/1000</f>
        <v>0</v>
      </c>
      <c r="H49" s="34">
        <f>'Water Heater Stock'!H18*'Device Energy Use'!$B8/1000</f>
        <v>0</v>
      </c>
      <c r="I49" s="34">
        <f>'Water Heater Stock'!I18*'Device Energy Use'!$B8/1000</f>
        <v>0</v>
      </c>
      <c r="J49" s="34">
        <f>'Water Heater Stock'!J18*'Device Energy Use'!$B8/1000</f>
        <v>0</v>
      </c>
      <c r="K49" s="34">
        <f>'Water Heater Stock'!K18*'Device Energy Use'!$B8/1000</f>
        <v>0</v>
      </c>
      <c r="L49" s="34">
        <f>'Water Heater Stock'!L18*'Device Energy Use'!$B8/1000</f>
        <v>0</v>
      </c>
      <c r="M49" s="34">
        <f>'Water Heater Stock'!M18*'Device Energy Use'!$B8/1000</f>
        <v>0</v>
      </c>
      <c r="N49" s="34">
        <f>'Water Heater Stock'!N18*'Device Energy Use'!$B8/1000</f>
        <v>0</v>
      </c>
      <c r="O49" s="34">
        <f>'Water Heater Stock'!O18*'Device Energy Use'!$B8/1000</f>
        <v>0</v>
      </c>
      <c r="P49" s="34">
        <f>'Water Heater Stock'!P18*'Device Energy Use'!$B8/1000</f>
        <v>0</v>
      </c>
      <c r="Q49" s="34">
        <f>'Water Heater Stock'!Q18*'Device Energy Use'!$B8/1000</f>
        <v>0</v>
      </c>
      <c r="R49" s="34">
        <f>'Water Heater Stock'!R18*'Device Energy Use'!$B8/1000</f>
        <v>0</v>
      </c>
      <c r="S49" s="34">
        <f>'Water Heater Stock'!S18*'Device Energy Use'!$B8/1000</f>
        <v>0</v>
      </c>
      <c r="T49" s="34">
        <f>'Water Heater Stock'!T18*'Device Energy Use'!$B8/1000</f>
        <v>0</v>
      </c>
      <c r="U49" s="34">
        <f>'Water Heater Stock'!U18*'Device Energy Use'!$B8/1000</f>
        <v>0</v>
      </c>
      <c r="V49" s="34">
        <f>'Water Heater Stock'!V18*'Device Energy Use'!$B8/1000</f>
        <v>0</v>
      </c>
      <c r="W49" s="34">
        <f>'Water Heater Stock'!W18*'Device Energy Use'!$B8/1000</f>
        <v>0</v>
      </c>
    </row>
    <row r="50" spans="1:23">
      <c r="A50" s="38" t="str">
        <f>'Device Energy Use'!A9</f>
        <v>Condensing Gas</v>
      </c>
      <c r="B50" s="34">
        <f>'Water Heater Stock'!B19*'Device Energy Use'!$B9/1000</f>
        <v>0</v>
      </c>
      <c r="C50" s="34">
        <f>'Water Heater Stock'!C19*'Device Energy Use'!$B9/1000</f>
        <v>0</v>
      </c>
      <c r="D50" s="34">
        <f>'Water Heater Stock'!D19*'Device Energy Use'!$B9/1000</f>
        <v>0</v>
      </c>
      <c r="E50" s="34">
        <f>'Water Heater Stock'!E19*'Device Energy Use'!$B9/1000</f>
        <v>0</v>
      </c>
      <c r="F50" s="34">
        <f>'Water Heater Stock'!F19*'Device Energy Use'!$B9/1000</f>
        <v>0</v>
      </c>
      <c r="G50" s="34">
        <f>'Water Heater Stock'!G19*'Device Energy Use'!$B9/1000</f>
        <v>0</v>
      </c>
      <c r="H50" s="34">
        <f>'Water Heater Stock'!H19*'Device Energy Use'!$B9/1000</f>
        <v>0</v>
      </c>
      <c r="I50" s="34">
        <f>'Water Heater Stock'!I19*'Device Energy Use'!$B9/1000</f>
        <v>0</v>
      </c>
      <c r="J50" s="34">
        <f>'Water Heater Stock'!J19*'Device Energy Use'!$B9/1000</f>
        <v>0</v>
      </c>
      <c r="K50" s="34">
        <f>'Water Heater Stock'!K19*'Device Energy Use'!$B9/1000</f>
        <v>0</v>
      </c>
      <c r="L50" s="34">
        <f>'Water Heater Stock'!L19*'Device Energy Use'!$B9/1000</f>
        <v>0</v>
      </c>
      <c r="M50" s="34">
        <f>'Water Heater Stock'!M19*'Device Energy Use'!$B9/1000</f>
        <v>0</v>
      </c>
      <c r="N50" s="34">
        <f>'Water Heater Stock'!N19*'Device Energy Use'!$B9/1000</f>
        <v>0</v>
      </c>
      <c r="O50" s="34">
        <f>'Water Heater Stock'!O19*'Device Energy Use'!$B9/1000</f>
        <v>0</v>
      </c>
      <c r="P50" s="34">
        <f>'Water Heater Stock'!P19*'Device Energy Use'!$B9/1000</f>
        <v>0</v>
      </c>
      <c r="Q50" s="34">
        <f>'Water Heater Stock'!Q19*'Device Energy Use'!$B9/1000</f>
        <v>0</v>
      </c>
      <c r="R50" s="34">
        <f>'Water Heater Stock'!R19*'Device Energy Use'!$B9/1000</f>
        <v>0</v>
      </c>
      <c r="S50" s="34">
        <f>'Water Heater Stock'!S19*'Device Energy Use'!$B9/1000</f>
        <v>0</v>
      </c>
      <c r="T50" s="34">
        <f>'Water Heater Stock'!T19*'Device Energy Use'!$B9/1000</f>
        <v>0</v>
      </c>
      <c r="U50" s="34">
        <f>'Water Heater Stock'!U19*'Device Energy Use'!$B9/1000</f>
        <v>0</v>
      </c>
      <c r="V50" s="34">
        <f>'Water Heater Stock'!V19*'Device Energy Use'!$B9/1000</f>
        <v>0</v>
      </c>
      <c r="W50" s="34">
        <f>'Water Heater Stock'!W19*'Device Energy Use'!$B9/1000</f>
        <v>0</v>
      </c>
    </row>
    <row r="51" spans="1:23">
      <c r="A51" s="38"/>
    </row>
    <row r="52" spans="1:23">
      <c r="A52" s="12" t="s">
        <v>51</v>
      </c>
    </row>
    <row r="53" spans="1:23">
      <c r="A53" s="39" t="str">
        <f>'Device Energy Use'!A4</f>
        <v>Water Heat Ending</v>
      </c>
      <c r="B53" s="42">
        <f>'Water Heater Stock'!B4</f>
        <v>2014</v>
      </c>
      <c r="C53" s="42">
        <f>'Water Heater Stock'!C4</f>
        <v>2015</v>
      </c>
      <c r="D53" s="42">
        <f>'Water Heater Stock'!D4</f>
        <v>2016</v>
      </c>
      <c r="E53" s="42">
        <f>'Water Heater Stock'!E4</f>
        <v>2017</v>
      </c>
      <c r="F53" s="42">
        <f>'Water Heater Stock'!F4</f>
        <v>2018</v>
      </c>
      <c r="G53" s="42">
        <f>'Water Heater Stock'!G4</f>
        <v>2019</v>
      </c>
      <c r="H53" s="42">
        <f>'Water Heater Stock'!H4</f>
        <v>2020</v>
      </c>
      <c r="I53" s="42">
        <f>'Water Heater Stock'!I4</f>
        <v>2021</v>
      </c>
      <c r="J53" s="42">
        <f>'Water Heater Stock'!J4</f>
        <v>2022</v>
      </c>
      <c r="K53" s="42">
        <f>'Water Heater Stock'!K4</f>
        <v>2023</v>
      </c>
      <c r="L53" s="42">
        <f>'Water Heater Stock'!L4</f>
        <v>2024</v>
      </c>
      <c r="M53" s="42">
        <f>'Water Heater Stock'!M4</f>
        <v>2025</v>
      </c>
      <c r="N53" s="42">
        <f>'Water Heater Stock'!N4</f>
        <v>2026</v>
      </c>
      <c r="O53" s="42">
        <f>'Water Heater Stock'!O4</f>
        <v>2027</v>
      </c>
      <c r="P53" s="42">
        <f>'Water Heater Stock'!P4</f>
        <v>2028</v>
      </c>
      <c r="Q53" s="42">
        <f>'Water Heater Stock'!Q4</f>
        <v>2029</v>
      </c>
      <c r="R53" s="42">
        <f>'Water Heater Stock'!R4</f>
        <v>2030</v>
      </c>
      <c r="S53" s="42">
        <f>'Water Heater Stock'!S4</f>
        <v>2031</v>
      </c>
      <c r="T53" s="42">
        <f>'Water Heater Stock'!T4</f>
        <v>2032</v>
      </c>
      <c r="U53" s="42">
        <f>'Water Heater Stock'!U4</f>
        <v>2033</v>
      </c>
      <c r="V53" s="42">
        <f>'Water Heater Stock'!V4</f>
        <v>2034</v>
      </c>
      <c r="W53" s="42">
        <f>'Water Heater Stock'!W4</f>
        <v>2035</v>
      </c>
    </row>
    <row r="54" spans="1:23" ht="16.5" thickBot="1">
      <c r="A54" s="49" t="s">
        <v>49</v>
      </c>
      <c r="B54" s="50">
        <f t="shared" ref="B54:W54" si="11">SUM(B55:B59)</f>
        <v>0</v>
      </c>
      <c r="C54" s="50">
        <f t="shared" si="11"/>
        <v>33983.801897821359</v>
      </c>
      <c r="D54" s="50">
        <f t="shared" si="11"/>
        <v>65618.837553598307</v>
      </c>
      <c r="E54" s="50">
        <f t="shared" si="11"/>
        <v>95072.980636544089</v>
      </c>
      <c r="F54" s="50">
        <f t="shared" si="11"/>
        <v>122503.08105273341</v>
      </c>
      <c r="G54" s="50">
        <f t="shared" si="11"/>
        <v>148056.16655268136</v>
      </c>
      <c r="H54" s="50">
        <f t="shared" si="11"/>
        <v>171870.63480609935</v>
      </c>
      <c r="I54" s="50">
        <f t="shared" si="11"/>
        <v>194077.40606147292</v>
      </c>
      <c r="J54" s="50">
        <f t="shared" si="11"/>
        <v>214800.9870744152</v>
      </c>
      <c r="K54" s="50">
        <f t="shared" si="11"/>
        <v>234160.37954528714</v>
      </c>
      <c r="L54" s="50">
        <f t="shared" si="11"/>
        <v>252269.75576682593</v>
      </c>
      <c r="M54" s="50">
        <f t="shared" si="11"/>
        <v>269238.8263384889</v>
      </c>
      <c r="N54" s="50">
        <f t="shared" si="11"/>
        <v>285172.844858244</v>
      </c>
      <c r="O54" s="50">
        <f t="shared" si="11"/>
        <v>300172.23463209765</v>
      </c>
      <c r="P54" s="50">
        <f t="shared" si="11"/>
        <v>314331.87909796846</v>
      </c>
      <c r="Q54" s="50">
        <f t="shared" si="11"/>
        <v>327740.18013674981</v>
      </c>
      <c r="R54" s="50">
        <f t="shared" si="11"/>
        <v>340478.04043175705</v>
      </c>
      <c r="S54" s="50">
        <f t="shared" si="11"/>
        <v>352617.95074295491</v>
      </c>
      <c r="T54" s="50">
        <f t="shared" si="11"/>
        <v>364223.3500700898</v>
      </c>
      <c r="U54" s="50">
        <f t="shared" si="11"/>
        <v>375348.37759001425</v>
      </c>
      <c r="V54" s="50">
        <f t="shared" si="11"/>
        <v>386038.06329698017</v>
      </c>
      <c r="W54" s="50">
        <f t="shared" si="11"/>
        <v>396328.92940455396</v>
      </c>
    </row>
    <row r="55" spans="1:23" ht="16.5" thickTop="1">
      <c r="A55" s="38" t="str">
        <f>'Device Energy Use'!A5</f>
        <v>Electric Resistance</v>
      </c>
      <c r="B55" s="34">
        <f>'Water Heater Stock'!B6*'Device Energy Use'!$C5</f>
        <v>0</v>
      </c>
      <c r="C55" s="34">
        <f>'Water Heater Stock'!C6*'Device Energy Use'!$C5</f>
        <v>0</v>
      </c>
      <c r="D55" s="34">
        <f>'Water Heater Stock'!D6*'Device Energy Use'!$C5</f>
        <v>0</v>
      </c>
      <c r="E55" s="34">
        <f>'Water Heater Stock'!E6*'Device Energy Use'!$C5</f>
        <v>0</v>
      </c>
      <c r="F55" s="34">
        <f>'Water Heater Stock'!F6*'Device Energy Use'!$C5</f>
        <v>0</v>
      </c>
      <c r="G55" s="34">
        <f>'Water Heater Stock'!G6*'Device Energy Use'!$C5</f>
        <v>0</v>
      </c>
      <c r="H55" s="34">
        <f>'Water Heater Stock'!H6*'Device Energy Use'!$C5</f>
        <v>0</v>
      </c>
      <c r="I55" s="34">
        <f>'Water Heater Stock'!I6*'Device Energy Use'!$C5</f>
        <v>0</v>
      </c>
      <c r="J55" s="34">
        <f>'Water Heater Stock'!J6*'Device Energy Use'!$C5</f>
        <v>0</v>
      </c>
      <c r="K55" s="34">
        <f>'Water Heater Stock'!K6*'Device Energy Use'!$C5</f>
        <v>0</v>
      </c>
      <c r="L55" s="34">
        <f>'Water Heater Stock'!L6*'Device Energy Use'!$C5</f>
        <v>0</v>
      </c>
      <c r="M55" s="34">
        <f>'Water Heater Stock'!M6*'Device Energy Use'!$C5</f>
        <v>0</v>
      </c>
      <c r="N55" s="34">
        <f>'Water Heater Stock'!N6*'Device Energy Use'!$C5</f>
        <v>0</v>
      </c>
      <c r="O55" s="34">
        <f>'Water Heater Stock'!O6*'Device Energy Use'!$C5</f>
        <v>0</v>
      </c>
      <c r="P55" s="34">
        <f>'Water Heater Stock'!P6*'Device Energy Use'!$C5</f>
        <v>0</v>
      </c>
      <c r="Q55" s="34">
        <f>'Water Heater Stock'!Q6*'Device Energy Use'!$C5</f>
        <v>0</v>
      </c>
      <c r="R55" s="34">
        <f>'Water Heater Stock'!R6*'Device Energy Use'!$C5</f>
        <v>0</v>
      </c>
      <c r="S55" s="34">
        <f>'Water Heater Stock'!S6*'Device Energy Use'!$C5</f>
        <v>0</v>
      </c>
      <c r="T55" s="34">
        <f>'Water Heater Stock'!T6*'Device Energy Use'!$C5</f>
        <v>0</v>
      </c>
      <c r="U55" s="34">
        <f>'Water Heater Stock'!U6*'Device Energy Use'!$C5</f>
        <v>0</v>
      </c>
      <c r="V55" s="34">
        <f>'Water Heater Stock'!V6*'Device Energy Use'!$C5</f>
        <v>0</v>
      </c>
      <c r="W55" s="34">
        <f>'Water Heater Stock'!W6*'Device Energy Use'!$C5</f>
        <v>0</v>
      </c>
    </row>
    <row r="56" spans="1:23">
      <c r="A56" s="38" t="str">
        <f>'Device Energy Use'!A6</f>
        <v>HPWH</v>
      </c>
      <c r="B56" s="34">
        <f>'Water Heater Stock'!B7*'Device Energy Use'!$C6</f>
        <v>0</v>
      </c>
      <c r="C56" s="34">
        <f>'Water Heater Stock'!C7*'Device Energy Use'!$C6</f>
        <v>0</v>
      </c>
      <c r="D56" s="34">
        <f>'Water Heater Stock'!D7*'Device Energy Use'!$C6</f>
        <v>0</v>
      </c>
      <c r="E56" s="34">
        <f>'Water Heater Stock'!E7*'Device Energy Use'!$C6</f>
        <v>0</v>
      </c>
      <c r="F56" s="34">
        <f>'Water Heater Stock'!F7*'Device Energy Use'!$C6</f>
        <v>0</v>
      </c>
      <c r="G56" s="34">
        <f>'Water Heater Stock'!G7*'Device Energy Use'!$C6</f>
        <v>0</v>
      </c>
      <c r="H56" s="34">
        <f>'Water Heater Stock'!H7*'Device Energy Use'!$C6</f>
        <v>0</v>
      </c>
      <c r="I56" s="34">
        <f>'Water Heater Stock'!I7*'Device Energy Use'!$C6</f>
        <v>0</v>
      </c>
      <c r="J56" s="34">
        <f>'Water Heater Stock'!J7*'Device Energy Use'!$C6</f>
        <v>0</v>
      </c>
      <c r="K56" s="34">
        <f>'Water Heater Stock'!K7*'Device Energy Use'!$C6</f>
        <v>0</v>
      </c>
      <c r="L56" s="34">
        <f>'Water Heater Stock'!L7*'Device Energy Use'!$C6</f>
        <v>0</v>
      </c>
      <c r="M56" s="34">
        <f>'Water Heater Stock'!M7*'Device Energy Use'!$C6</f>
        <v>0</v>
      </c>
      <c r="N56" s="34">
        <f>'Water Heater Stock'!N7*'Device Energy Use'!$C6</f>
        <v>0</v>
      </c>
      <c r="O56" s="34">
        <f>'Water Heater Stock'!O7*'Device Energy Use'!$C6</f>
        <v>0</v>
      </c>
      <c r="P56" s="34">
        <f>'Water Heater Stock'!P7*'Device Energy Use'!$C6</f>
        <v>0</v>
      </c>
      <c r="Q56" s="34">
        <f>'Water Heater Stock'!Q7*'Device Energy Use'!$C6</f>
        <v>0</v>
      </c>
      <c r="R56" s="34">
        <f>'Water Heater Stock'!R7*'Device Energy Use'!$C6</f>
        <v>0</v>
      </c>
      <c r="S56" s="34">
        <f>'Water Heater Stock'!S7*'Device Energy Use'!$C6</f>
        <v>0</v>
      </c>
      <c r="T56" s="34">
        <f>'Water Heater Stock'!T7*'Device Energy Use'!$C6</f>
        <v>0</v>
      </c>
      <c r="U56" s="34">
        <f>'Water Heater Stock'!U7*'Device Energy Use'!$C6</f>
        <v>0</v>
      </c>
      <c r="V56" s="34">
        <f>'Water Heater Stock'!V7*'Device Energy Use'!$C6</f>
        <v>0</v>
      </c>
      <c r="W56" s="34">
        <f>'Water Heater Stock'!W7*'Device Energy Use'!$C6</f>
        <v>0</v>
      </c>
    </row>
    <row r="57" spans="1:23">
      <c r="A57" s="38" t="str">
        <f>'Device Energy Use'!A7</f>
        <v>Gas Tank</v>
      </c>
      <c r="B57" s="34">
        <f>'Water Heater Stock'!B8*'Device Energy Use'!$C7</f>
        <v>0</v>
      </c>
      <c r="C57" s="34">
        <f>'Water Heater Stock'!C8*'Device Energy Use'!$C7</f>
        <v>33973.938726973596</v>
      </c>
      <c r="D57" s="34">
        <f>'Water Heater Stock'!D8*'Device Energy Use'!$C7</f>
        <v>65589.865135268687</v>
      </c>
      <c r="E57" s="34">
        <f>'Water Heater Stock'!E8*'Device Energy Use'!$C7</f>
        <v>95008.235647967609</v>
      </c>
      <c r="F57" s="34">
        <f>'Water Heater Stock'!F8*'Device Energy Use'!$C7</f>
        <v>122374.00056290554</v>
      </c>
      <c r="G57" s="34">
        <f>'Water Heater Stock'!G8*'Device Energy Use'!$C7</f>
        <v>147816.00848903458</v>
      </c>
      <c r="H57" s="34">
        <f>'Water Heater Stock'!H8*'Device Energy Use'!$C7</f>
        <v>171446.14977822913</v>
      </c>
      <c r="I57" s="34">
        <f>'Water Heater Stock'!I8*'Device Energy Use'!$C7</f>
        <v>193358.39089527357</v>
      </c>
      <c r="J57" s="34">
        <f>'Water Heater Stock'!J8*'Device Energy Use'!$C7</f>
        <v>213627.93051294208</v>
      </c>
      <c r="K57" s="34">
        <f>'Water Heater Stock'!K8*'Device Energy Use'!$C7</f>
        <v>232310.77721283413</v>
      </c>
      <c r="L57" s="34">
        <f>'Water Heater Stock'!L8*'Device Energy Use'!$C7</f>
        <v>249444.0872242685</v>
      </c>
      <c r="M57" s="34">
        <f>'Water Heater Stock'!M8*'Device Energy Use'!$C7</f>
        <v>265047.58465520159</v>
      </c>
      <c r="N57" s="34">
        <f>'Water Heater Stock'!N8*'Device Energy Use'!$C7</f>
        <v>279126.29532189597</v>
      </c>
      <c r="O57" s="34">
        <f>'Water Heater Stock'!O8*'Device Energy Use'!$C7</f>
        <v>291674.65108597564</v>
      </c>
      <c r="P57" s="34">
        <f>'Water Heater Stock'!P8*'Device Energy Use'!$C7</f>
        <v>302681.78141914931</v>
      </c>
      <c r="Q57" s="34">
        <f>'Water Heater Stock'!Q8*'Device Energy Use'!$C7</f>
        <v>312137.54923795233</v>
      </c>
      <c r="R57" s="34">
        <f>'Water Heater Stock'!R8*'Device Energy Use'!$C7</f>
        <v>320038.67763895681</v>
      </c>
      <c r="S57" s="34">
        <f>'Water Heater Stock'!S8*'Device Energy Use'!$C7</f>
        <v>326394.22202947643</v>
      </c>
      <c r="T57" s="34">
        <f>'Water Heater Stock'!T8*'Device Energy Use'!$C7</f>
        <v>331229.70852082007</v>
      </c>
      <c r="U57" s="34">
        <f>'Water Heater Stock'!U8*'Device Energy Use'!$C7</f>
        <v>334589.4748554352</v>
      </c>
      <c r="V57" s="34">
        <f>'Water Heater Stock'!V8*'Device Energy Use'!$C7</f>
        <v>336537.05591880449</v>
      </c>
      <c r="W57" s="34">
        <f>'Water Heater Stock'!W8*'Device Energy Use'!$C7</f>
        <v>337153.76750246005</v>
      </c>
    </row>
    <row r="58" spans="1:23">
      <c r="A58" s="38" t="str">
        <f>'Device Energy Use'!A8</f>
        <v>Instant Gas</v>
      </c>
      <c r="B58" s="34">
        <f>'Water Heater Stock'!B9*'Device Energy Use'!$C8</f>
        <v>0</v>
      </c>
      <c r="C58" s="34">
        <f>'Water Heater Stock'!C9*'Device Energy Use'!$C8</f>
        <v>2.5767665467303424</v>
      </c>
      <c r="D58" s="34">
        <f>'Water Heater Stock'!D9*'Device Energy Use'!$C8</f>
        <v>7.5765588874554677</v>
      </c>
      <c r="E58" s="34">
        <f>'Water Heater Stock'!E9*'Device Energy Use'!$C8</f>
        <v>16.950340720196184</v>
      </c>
      <c r="F58" s="34">
        <f>'Water Heater Stock'!F9*'Device Energy Use'!$C8</f>
        <v>33.834288173336851</v>
      </c>
      <c r="G58" s="34">
        <f>'Water Heater Stock'!G9*'Device Energy Use'!$C8</f>
        <v>63.029459674801195</v>
      </c>
      <c r="H58" s="34">
        <f>'Water Heater Stock'!H9*'Device Energy Use'!$C8</f>
        <v>111.55147404605343</v>
      </c>
      <c r="I58" s="34">
        <f>'Water Heater Stock'!I9*'Device Energy Use'!$C8</f>
        <v>189.20301322731279</v>
      </c>
      <c r="J58" s="34">
        <f>'Water Heater Stock'!J9*'Device Energy Use'!$C8</f>
        <v>309.09553701306521</v>
      </c>
      <c r="K58" s="34">
        <f>'Water Heater Stock'!K9*'Device Energy Use'!$C8</f>
        <v>488.02293139240203</v>
      </c>
      <c r="L58" s="34">
        <f>'Water Heater Stock'!L9*'Device Energy Use'!$C8</f>
        <v>746.57574379674827</v>
      </c>
      <c r="M58" s="34">
        <f>'Water Heater Stock'!M9*'Device Energy Use'!$C8</f>
        <v>1108.8882102475125</v>
      </c>
      <c r="N58" s="34">
        <f>'Water Heater Stock'!N9*'Device Energy Use'!$C8</f>
        <v>1601.9386107900027</v>
      </c>
      <c r="O58" s="34">
        <f>'Water Heater Stock'!O9*'Device Energy Use'!$C8</f>
        <v>2254.3795237729878</v>
      </c>
      <c r="P58" s="34">
        <f>'Water Heater Stock'!P9*'Device Energy Use'!$C8</f>
        <v>3094.953256233463</v>
      </c>
      <c r="Q58" s="34">
        <f>'Water Heater Stock'!Q9*'Device Energy Use'!$C8</f>
        <v>4150.6341894124416</v>
      </c>
      <c r="R58" s="34">
        <f>'Water Heater Stock'!R9*'Device Energy Use'!$C8</f>
        <v>5444.7114031004985</v>
      </c>
      <c r="S58" s="34">
        <f>'Water Heater Stock'!S9*'Device Energy Use'!$C8</f>
        <v>6995.0585769957479</v>
      </c>
      <c r="T58" s="34">
        <f>'Water Heater Stock'!T9*'Device Energy Use'!$C8</f>
        <v>8812.8197288617393</v>
      </c>
      <c r="U58" s="34">
        <f>'Water Heater Stock'!U9*'Device Energy Use'!$C8</f>
        <v>10901.671002738201</v>
      </c>
      <c r="V58" s="34">
        <f>'Water Heater Stock'!V9*'Device Energy Use'!$C8</f>
        <v>13257.719081213325</v>
      </c>
      <c r="W58" s="34">
        <f>'Water Heater Stock'!W9*'Device Energy Use'!$C8</f>
        <v>15869.993524407604</v>
      </c>
    </row>
    <row r="59" spans="1:23">
      <c r="A59" s="38" t="str">
        <f>'Device Energy Use'!A9</f>
        <v>Condensing Gas</v>
      </c>
      <c r="B59" s="34">
        <f>'Water Heater Stock'!B10*'Device Energy Use'!$C9</f>
        <v>0</v>
      </c>
      <c r="C59" s="34">
        <f>'Water Heater Stock'!C10*'Device Energy Use'!$C9</f>
        <v>7.2864043010350024</v>
      </c>
      <c r="D59" s="34">
        <f>'Water Heater Stock'!D10*'Device Energy Use'!$C9</f>
        <v>21.395859442171027</v>
      </c>
      <c r="E59" s="34">
        <f>'Water Heater Stock'!E10*'Device Energy Use'!$C9</f>
        <v>47.79464785627782</v>
      </c>
      <c r="F59" s="34">
        <f>'Water Heater Stock'!F10*'Device Energy Use'!$C9</f>
        <v>95.246201654536733</v>
      </c>
      <c r="G59" s="34">
        <f>'Water Heater Stock'!G10*'Device Energy Use'!$C9</f>
        <v>177.12860397196027</v>
      </c>
      <c r="H59" s="34">
        <f>'Water Heater Stock'!H10*'Device Energy Use'!$C9</f>
        <v>312.93355382416746</v>
      </c>
      <c r="I59" s="34">
        <f>'Water Heater Stock'!I10*'Device Energy Use'!$C9</f>
        <v>529.81215297203687</v>
      </c>
      <c r="J59" s="34">
        <f>'Water Heater Stock'!J10*'Device Energy Use'!$C9</f>
        <v>863.96102446006705</v>
      </c>
      <c r="K59" s="34">
        <f>'Water Heater Stock'!K10*'Device Energy Use'!$C9</f>
        <v>1361.5794010606187</v>
      </c>
      <c r="L59" s="34">
        <f>'Water Heater Stock'!L10*'Device Energy Use'!$C9</f>
        <v>2079.0927987606838</v>
      </c>
      <c r="M59" s="34">
        <f>'Water Heater Stock'!M10*'Device Energy Use'!$C9</f>
        <v>3082.3534730398133</v>
      </c>
      <c r="N59" s="34">
        <f>'Water Heater Stock'!N10*'Device Energy Use'!$C9</f>
        <v>4444.6109255580168</v>
      </c>
      <c r="O59" s="34">
        <f>'Water Heater Stock'!O10*'Device Energy Use'!$C9</f>
        <v>6243.2040223490203</v>
      </c>
      <c r="P59" s="34">
        <f>'Water Heater Stock'!P10*'Device Energy Use'!$C9</f>
        <v>8555.1444225856976</v>
      </c>
      <c r="Q59" s="34">
        <f>'Water Heater Stock'!Q10*'Device Energy Use'!$C9</f>
        <v>11451.996709385041</v>
      </c>
      <c r="R59" s="34">
        <f>'Water Heater Stock'!R10*'Device Energy Use'!$C9</f>
        <v>14994.651389699733</v>
      </c>
      <c r="S59" s="34">
        <f>'Water Heater Stock'!S10*'Device Energy Use'!$C9</f>
        <v>19228.670136482739</v>
      </c>
      <c r="T59" s="34">
        <f>'Water Heater Stock'!T10*'Device Energy Use'!$C9</f>
        <v>24180.821820407982</v>
      </c>
      <c r="U59" s="34">
        <f>'Water Heater Stock'!U10*'Device Energy Use'!$C9</f>
        <v>29857.2317318409</v>
      </c>
      <c r="V59" s="34">
        <f>'Water Heater Stock'!V10*'Device Energy Use'!$C9</f>
        <v>36243.28829696231</v>
      </c>
      <c r="W59" s="34">
        <f>'Water Heater Stock'!W10*'Device Energy Use'!$C9</f>
        <v>43305.168377686277</v>
      </c>
    </row>
    <row r="61" spans="1:23">
      <c r="A61" s="12" t="s">
        <v>106</v>
      </c>
    </row>
    <row r="62" spans="1:23">
      <c r="A62" s="39" t="str">
        <f>'Device Energy Use'!A4</f>
        <v>Water Heat Ending</v>
      </c>
      <c r="B62" s="42">
        <f>'Water Heater Stock'!B13</f>
        <v>2014</v>
      </c>
      <c r="C62" s="42">
        <f>'Water Heater Stock'!C13</f>
        <v>2015</v>
      </c>
      <c r="D62" s="42">
        <f>'Water Heater Stock'!D13</f>
        <v>2016</v>
      </c>
      <c r="E62" s="42">
        <f>'Water Heater Stock'!E13</f>
        <v>2017</v>
      </c>
      <c r="F62" s="42">
        <f>'Water Heater Stock'!F13</f>
        <v>2018</v>
      </c>
      <c r="G62" s="42">
        <f>'Water Heater Stock'!G13</f>
        <v>2019</v>
      </c>
      <c r="H62" s="42">
        <f>'Water Heater Stock'!H13</f>
        <v>2020</v>
      </c>
      <c r="I62" s="42">
        <f>'Water Heater Stock'!I13</f>
        <v>2021</v>
      </c>
      <c r="J62" s="42">
        <f>'Water Heater Stock'!J13</f>
        <v>2022</v>
      </c>
      <c r="K62" s="42">
        <f>'Water Heater Stock'!K13</f>
        <v>2023</v>
      </c>
      <c r="L62" s="42">
        <f>'Water Heater Stock'!L13</f>
        <v>2024</v>
      </c>
      <c r="M62" s="42">
        <f>'Water Heater Stock'!M13</f>
        <v>2025</v>
      </c>
      <c r="N62" s="42">
        <f>'Water Heater Stock'!N13</f>
        <v>2026</v>
      </c>
      <c r="O62" s="42">
        <f>'Water Heater Stock'!O13</f>
        <v>2027</v>
      </c>
      <c r="P62" s="42">
        <f>'Water Heater Stock'!P13</f>
        <v>2028</v>
      </c>
      <c r="Q62" s="42">
        <f>'Water Heater Stock'!Q13</f>
        <v>2029</v>
      </c>
      <c r="R62" s="42">
        <f>'Water Heater Stock'!R13</f>
        <v>2030</v>
      </c>
      <c r="S62" s="42">
        <f>'Water Heater Stock'!S13</f>
        <v>2031</v>
      </c>
      <c r="T62" s="42">
        <f>'Water Heater Stock'!T13</f>
        <v>2032</v>
      </c>
      <c r="U62" s="42">
        <f>'Water Heater Stock'!U13</f>
        <v>2033</v>
      </c>
      <c r="V62" s="42">
        <f>'Water Heater Stock'!V13</f>
        <v>2034</v>
      </c>
      <c r="W62" s="42">
        <f>'Water Heater Stock'!W13</f>
        <v>2035</v>
      </c>
    </row>
    <row r="63" spans="1:23" ht="16.5" thickBot="1">
      <c r="A63" s="49" t="s">
        <v>49</v>
      </c>
      <c r="B63" s="50">
        <f t="shared" ref="B63:W63" si="12">SUM(B64:B68)</f>
        <v>0</v>
      </c>
      <c r="C63" s="50">
        <f t="shared" si="12"/>
        <v>125657.37811343427</v>
      </c>
      <c r="D63" s="50">
        <f t="shared" si="12"/>
        <v>242339.22921876609</v>
      </c>
      <c r="E63" s="50">
        <f t="shared" si="12"/>
        <v>350686.66238800279</v>
      </c>
      <c r="F63" s="50">
        <f t="shared" si="12"/>
        <v>451294.99318800832</v>
      </c>
      <c r="G63" s="50">
        <f t="shared" si="12"/>
        <v>544717.01464515633</v>
      </c>
      <c r="H63" s="50">
        <f t="shared" si="12"/>
        <v>631466.03456965077</v>
      </c>
      <c r="I63" s="50">
        <f t="shared" si="12"/>
        <v>712018.69592811004</v>
      </c>
      <c r="J63" s="50">
        <f t="shared" si="12"/>
        <v>786817.59576096502</v>
      </c>
      <c r="K63" s="50">
        <f t="shared" si="12"/>
        <v>856273.71703433048</v>
      </c>
      <c r="L63" s="50">
        <f t="shared" si="12"/>
        <v>920768.68678816967</v>
      </c>
      <c r="M63" s="50">
        <f t="shared" si="12"/>
        <v>980656.87298816326</v>
      </c>
      <c r="N63" s="50">
        <f t="shared" si="12"/>
        <v>1036267.331602443</v>
      </c>
      <c r="O63" s="50">
        <f t="shared" si="12"/>
        <v>1087905.614601417</v>
      </c>
      <c r="P63" s="50">
        <f t="shared" si="12"/>
        <v>1135855.4488147502</v>
      </c>
      <c r="Q63" s="50">
        <f t="shared" si="12"/>
        <v>1180380.294869988</v>
      </c>
      <c r="R63" s="50">
        <f t="shared" si="12"/>
        <v>1221724.7947784229</v>
      </c>
      <c r="S63" s="50">
        <f t="shared" si="12"/>
        <v>1260116.1161219699</v>
      </c>
      <c r="T63" s="50">
        <f t="shared" si="12"/>
        <v>1295765.200226692</v>
      </c>
      <c r="U63" s="50">
        <f t="shared" si="12"/>
        <v>1328867.9211810767</v>
      </c>
      <c r="V63" s="50">
        <f t="shared" si="12"/>
        <v>1359606.1620672909</v>
      </c>
      <c r="W63" s="50">
        <f t="shared" si="12"/>
        <v>1388148.8143187757</v>
      </c>
    </row>
    <row r="64" spans="1:23" ht="16.5" thickTop="1">
      <c r="A64" s="38" t="str">
        <f>'Device Energy Use'!A5</f>
        <v>Electric Resistance</v>
      </c>
      <c r="B64" s="34">
        <f>'Water Heater Stock'!B15*'Device Energy Use'!$C5</f>
        <v>0</v>
      </c>
      <c r="C64" s="34">
        <f>'Water Heater Stock'!C15*'Device Energy Use'!$C5</f>
        <v>0</v>
      </c>
      <c r="D64" s="34">
        <f>'Water Heater Stock'!D15*'Device Energy Use'!$C5</f>
        <v>0</v>
      </c>
      <c r="E64" s="34">
        <f>'Water Heater Stock'!E15*'Device Energy Use'!$C5</f>
        <v>0</v>
      </c>
      <c r="F64" s="34">
        <f>'Water Heater Stock'!F15*'Device Energy Use'!$C5</f>
        <v>0</v>
      </c>
      <c r="G64" s="34">
        <f>'Water Heater Stock'!G15*'Device Energy Use'!$C5</f>
        <v>0</v>
      </c>
      <c r="H64" s="34">
        <f>'Water Heater Stock'!H15*'Device Energy Use'!$C5</f>
        <v>0</v>
      </c>
      <c r="I64" s="34">
        <f>'Water Heater Stock'!I15*'Device Energy Use'!$C5</f>
        <v>0</v>
      </c>
      <c r="J64" s="34">
        <f>'Water Heater Stock'!J15*'Device Energy Use'!$C5</f>
        <v>0</v>
      </c>
      <c r="K64" s="34">
        <f>'Water Heater Stock'!K15*'Device Energy Use'!$C5</f>
        <v>0</v>
      </c>
      <c r="L64" s="34">
        <f>'Water Heater Stock'!L15*'Device Energy Use'!$C5</f>
        <v>0</v>
      </c>
      <c r="M64" s="34">
        <f>'Water Heater Stock'!M15*'Device Energy Use'!$C5</f>
        <v>0</v>
      </c>
      <c r="N64" s="34">
        <f>'Water Heater Stock'!N15*'Device Energy Use'!$C5</f>
        <v>0</v>
      </c>
      <c r="O64" s="34">
        <f>'Water Heater Stock'!O15*'Device Energy Use'!$C5</f>
        <v>0</v>
      </c>
      <c r="P64" s="34">
        <f>'Water Heater Stock'!P15*'Device Energy Use'!$C5</f>
        <v>0</v>
      </c>
      <c r="Q64" s="34">
        <f>'Water Heater Stock'!Q15*'Device Energy Use'!$C5</f>
        <v>0</v>
      </c>
      <c r="R64" s="34">
        <f>'Water Heater Stock'!R15*'Device Energy Use'!$C5</f>
        <v>0</v>
      </c>
      <c r="S64" s="34">
        <f>'Water Heater Stock'!S15*'Device Energy Use'!$C5</f>
        <v>0</v>
      </c>
      <c r="T64" s="34">
        <f>'Water Heater Stock'!T15*'Device Energy Use'!$C5</f>
        <v>0</v>
      </c>
      <c r="U64" s="34">
        <f>'Water Heater Stock'!U15*'Device Energy Use'!$C5</f>
        <v>0</v>
      </c>
      <c r="V64" s="34">
        <f>'Water Heater Stock'!V15*'Device Energy Use'!$C5</f>
        <v>0</v>
      </c>
      <c r="W64" s="34">
        <f>'Water Heater Stock'!W15*'Device Energy Use'!$C5</f>
        <v>0</v>
      </c>
    </row>
    <row r="65" spans="1:23">
      <c r="A65" s="38" t="str">
        <f>'Device Energy Use'!A6</f>
        <v>HPWH</v>
      </c>
      <c r="B65" s="34">
        <f>'Water Heater Stock'!B16*'Device Energy Use'!$C6</f>
        <v>0</v>
      </c>
      <c r="C65" s="34">
        <f>'Water Heater Stock'!C16*'Device Energy Use'!$C6</f>
        <v>0</v>
      </c>
      <c r="D65" s="34">
        <f>'Water Heater Stock'!D16*'Device Energy Use'!$C6</f>
        <v>0</v>
      </c>
      <c r="E65" s="34">
        <f>'Water Heater Stock'!E16*'Device Energy Use'!$C6</f>
        <v>0</v>
      </c>
      <c r="F65" s="34">
        <f>'Water Heater Stock'!F16*'Device Energy Use'!$C6</f>
        <v>0</v>
      </c>
      <c r="G65" s="34">
        <f>'Water Heater Stock'!G16*'Device Energy Use'!$C6</f>
        <v>0</v>
      </c>
      <c r="H65" s="34">
        <f>'Water Heater Stock'!H16*'Device Energy Use'!$C6</f>
        <v>0</v>
      </c>
      <c r="I65" s="34">
        <f>'Water Heater Stock'!I16*'Device Energy Use'!$C6</f>
        <v>0</v>
      </c>
      <c r="J65" s="34">
        <f>'Water Heater Stock'!J16*'Device Energy Use'!$C6</f>
        <v>0</v>
      </c>
      <c r="K65" s="34">
        <f>'Water Heater Stock'!K16*'Device Energy Use'!$C6</f>
        <v>0</v>
      </c>
      <c r="L65" s="34">
        <f>'Water Heater Stock'!L16*'Device Energy Use'!$C6</f>
        <v>0</v>
      </c>
      <c r="M65" s="34">
        <f>'Water Heater Stock'!M16*'Device Energy Use'!$C6</f>
        <v>0</v>
      </c>
      <c r="N65" s="34">
        <f>'Water Heater Stock'!N16*'Device Energy Use'!$C6</f>
        <v>0</v>
      </c>
      <c r="O65" s="34">
        <f>'Water Heater Stock'!O16*'Device Energy Use'!$C6</f>
        <v>0</v>
      </c>
      <c r="P65" s="34">
        <f>'Water Heater Stock'!P16*'Device Energy Use'!$C6</f>
        <v>0</v>
      </c>
      <c r="Q65" s="34">
        <f>'Water Heater Stock'!Q16*'Device Energy Use'!$C6</f>
        <v>0</v>
      </c>
      <c r="R65" s="34">
        <f>'Water Heater Stock'!R16*'Device Energy Use'!$C6</f>
        <v>0</v>
      </c>
      <c r="S65" s="34">
        <f>'Water Heater Stock'!S16*'Device Energy Use'!$C6</f>
        <v>0</v>
      </c>
      <c r="T65" s="34">
        <f>'Water Heater Stock'!T16*'Device Energy Use'!$C6</f>
        <v>0</v>
      </c>
      <c r="U65" s="34">
        <f>'Water Heater Stock'!U16*'Device Energy Use'!$C6</f>
        <v>0</v>
      </c>
      <c r="V65" s="34">
        <f>'Water Heater Stock'!V16*'Device Energy Use'!$C6</f>
        <v>0</v>
      </c>
      <c r="W65" s="34">
        <f>'Water Heater Stock'!W16*'Device Energy Use'!$C6</f>
        <v>0</v>
      </c>
    </row>
    <row r="66" spans="1:23">
      <c r="A66" s="38" t="str">
        <f>'Device Energy Use'!A7</f>
        <v>Gas Tank</v>
      </c>
      <c r="B66" s="34">
        <f>'Water Heater Stock'!B17*'Device Energy Use'!$C7</f>
        <v>0</v>
      </c>
      <c r="C66" s="34">
        <f>'Water Heater Stock'!C17*'Device Energy Use'!$C7</f>
        <v>125657.37811343427</v>
      </c>
      <c r="D66" s="34">
        <f>'Water Heater Stock'!D17*'Device Energy Use'!$C7</f>
        <v>242339.22921876609</v>
      </c>
      <c r="E66" s="34">
        <f>'Water Heater Stock'!E17*'Device Energy Use'!$C7</f>
        <v>350686.66238800279</v>
      </c>
      <c r="F66" s="34">
        <f>'Water Heater Stock'!F17*'Device Energy Use'!$C7</f>
        <v>451294.99318800832</v>
      </c>
      <c r="G66" s="34">
        <f>'Water Heater Stock'!G17*'Device Energy Use'!$C7</f>
        <v>544717.01464515633</v>
      </c>
      <c r="H66" s="34">
        <f>'Water Heater Stock'!H17*'Device Energy Use'!$C7</f>
        <v>631466.03456965077</v>
      </c>
      <c r="I66" s="34">
        <f>'Water Heater Stock'!I17*'Device Energy Use'!$C7</f>
        <v>712018.69592811004</v>
      </c>
      <c r="J66" s="34">
        <f>'Water Heater Stock'!J17*'Device Energy Use'!$C7</f>
        <v>786817.59576096502</v>
      </c>
      <c r="K66" s="34">
        <f>'Water Heater Stock'!K17*'Device Energy Use'!$C7</f>
        <v>856273.71703433048</v>
      </c>
      <c r="L66" s="34">
        <f>'Water Heater Stock'!L17*'Device Energy Use'!$C7</f>
        <v>920768.68678816967</v>
      </c>
      <c r="M66" s="34">
        <f>'Water Heater Stock'!M17*'Device Energy Use'!$C7</f>
        <v>980656.87298816326</v>
      </c>
      <c r="N66" s="34">
        <f>'Water Heater Stock'!N17*'Device Energy Use'!$C7</f>
        <v>1036267.331602443</v>
      </c>
      <c r="O66" s="34">
        <f>'Water Heater Stock'!O17*'Device Energy Use'!$C7</f>
        <v>1087905.614601417</v>
      </c>
      <c r="P66" s="34">
        <f>'Water Heater Stock'!P17*'Device Energy Use'!$C7</f>
        <v>1135855.4488147502</v>
      </c>
      <c r="Q66" s="34">
        <f>'Water Heater Stock'!Q17*'Device Energy Use'!$C7</f>
        <v>1180380.294869988</v>
      </c>
      <c r="R66" s="34">
        <f>'Water Heater Stock'!R17*'Device Energy Use'!$C7</f>
        <v>1221724.7947784229</v>
      </c>
      <c r="S66" s="34">
        <f>'Water Heater Stock'!S17*'Device Energy Use'!$C7</f>
        <v>1260116.1161219699</v>
      </c>
      <c r="T66" s="34">
        <f>'Water Heater Stock'!T17*'Device Energy Use'!$C7</f>
        <v>1295765.200226692</v>
      </c>
      <c r="U66" s="34">
        <f>'Water Heater Stock'!U17*'Device Energy Use'!$C7</f>
        <v>1328867.9211810767</v>
      </c>
      <c r="V66" s="34">
        <f>'Water Heater Stock'!V17*'Device Energy Use'!$C7</f>
        <v>1359606.1620672909</v>
      </c>
      <c r="W66" s="34">
        <f>'Water Heater Stock'!W17*'Device Energy Use'!$C7</f>
        <v>1388148.8143187757</v>
      </c>
    </row>
    <row r="67" spans="1:23">
      <c r="A67" s="38" t="str">
        <f>'Device Energy Use'!A8</f>
        <v>Instant Gas</v>
      </c>
      <c r="B67" s="34">
        <f>'Water Heater Stock'!B18*'Device Energy Use'!$C8</f>
        <v>0</v>
      </c>
      <c r="C67" s="34">
        <f>'Water Heater Stock'!C18*'Device Energy Use'!$C8</f>
        <v>0</v>
      </c>
      <c r="D67" s="34">
        <f>'Water Heater Stock'!D18*'Device Energy Use'!$C8</f>
        <v>0</v>
      </c>
      <c r="E67" s="34">
        <f>'Water Heater Stock'!E18*'Device Energy Use'!$C8</f>
        <v>0</v>
      </c>
      <c r="F67" s="34">
        <f>'Water Heater Stock'!F18*'Device Energy Use'!$C8</f>
        <v>0</v>
      </c>
      <c r="G67" s="34">
        <f>'Water Heater Stock'!G18*'Device Energy Use'!$C8</f>
        <v>0</v>
      </c>
      <c r="H67" s="34">
        <f>'Water Heater Stock'!H18*'Device Energy Use'!$C8</f>
        <v>0</v>
      </c>
      <c r="I67" s="34">
        <f>'Water Heater Stock'!I18*'Device Energy Use'!$C8</f>
        <v>0</v>
      </c>
      <c r="J67" s="34">
        <f>'Water Heater Stock'!J18*'Device Energy Use'!$C8</f>
        <v>0</v>
      </c>
      <c r="K67" s="34">
        <f>'Water Heater Stock'!K18*'Device Energy Use'!$C8</f>
        <v>0</v>
      </c>
      <c r="L67" s="34">
        <f>'Water Heater Stock'!L18*'Device Energy Use'!$C8</f>
        <v>0</v>
      </c>
      <c r="M67" s="34">
        <f>'Water Heater Stock'!M18*'Device Energy Use'!$C8</f>
        <v>0</v>
      </c>
      <c r="N67" s="34">
        <f>'Water Heater Stock'!N18*'Device Energy Use'!$C8</f>
        <v>0</v>
      </c>
      <c r="O67" s="34">
        <f>'Water Heater Stock'!O18*'Device Energy Use'!$C8</f>
        <v>0</v>
      </c>
      <c r="P67" s="34">
        <f>'Water Heater Stock'!P18*'Device Energy Use'!$C8</f>
        <v>0</v>
      </c>
      <c r="Q67" s="34">
        <f>'Water Heater Stock'!Q18*'Device Energy Use'!$C8</f>
        <v>0</v>
      </c>
      <c r="R67" s="34">
        <f>'Water Heater Stock'!R18*'Device Energy Use'!$C8</f>
        <v>0</v>
      </c>
      <c r="S67" s="34">
        <f>'Water Heater Stock'!S18*'Device Energy Use'!$C8</f>
        <v>0</v>
      </c>
      <c r="T67" s="34">
        <f>'Water Heater Stock'!T18*'Device Energy Use'!$C8</f>
        <v>0</v>
      </c>
      <c r="U67" s="34">
        <f>'Water Heater Stock'!U18*'Device Energy Use'!$C8</f>
        <v>0</v>
      </c>
      <c r="V67" s="34">
        <f>'Water Heater Stock'!V18*'Device Energy Use'!$C8</f>
        <v>0</v>
      </c>
      <c r="W67" s="34">
        <f>'Water Heater Stock'!W18*'Device Energy Use'!$C8</f>
        <v>0</v>
      </c>
    </row>
    <row r="68" spans="1:23">
      <c r="A68" s="38" t="str">
        <f>'Device Energy Use'!A9</f>
        <v>Condensing Gas</v>
      </c>
      <c r="B68" s="34">
        <f>'Water Heater Stock'!B19*'Device Energy Use'!$C9</f>
        <v>0</v>
      </c>
      <c r="C68" s="34">
        <f>'Water Heater Stock'!C19*'Device Energy Use'!$C9</f>
        <v>0</v>
      </c>
      <c r="D68" s="34">
        <f>'Water Heater Stock'!D19*'Device Energy Use'!$C9</f>
        <v>0</v>
      </c>
      <c r="E68" s="34">
        <f>'Water Heater Stock'!E19*'Device Energy Use'!$C9</f>
        <v>0</v>
      </c>
      <c r="F68" s="34">
        <f>'Water Heater Stock'!F19*'Device Energy Use'!$C9</f>
        <v>0</v>
      </c>
      <c r="G68" s="34">
        <f>'Water Heater Stock'!G19*'Device Energy Use'!$C9</f>
        <v>0</v>
      </c>
      <c r="H68" s="34">
        <f>'Water Heater Stock'!H19*'Device Energy Use'!$C9</f>
        <v>0</v>
      </c>
      <c r="I68" s="34">
        <f>'Water Heater Stock'!I19*'Device Energy Use'!$C9</f>
        <v>0</v>
      </c>
      <c r="J68" s="34">
        <f>'Water Heater Stock'!J19*'Device Energy Use'!$C9</f>
        <v>0</v>
      </c>
      <c r="K68" s="34">
        <f>'Water Heater Stock'!K19*'Device Energy Use'!$C9</f>
        <v>0</v>
      </c>
      <c r="L68" s="34">
        <f>'Water Heater Stock'!L19*'Device Energy Use'!$C9</f>
        <v>0</v>
      </c>
      <c r="M68" s="34">
        <f>'Water Heater Stock'!M19*'Device Energy Use'!$C9</f>
        <v>0</v>
      </c>
      <c r="N68" s="34">
        <f>'Water Heater Stock'!N19*'Device Energy Use'!$C9</f>
        <v>0</v>
      </c>
      <c r="O68" s="34">
        <f>'Water Heater Stock'!O19*'Device Energy Use'!$C9</f>
        <v>0</v>
      </c>
      <c r="P68" s="34">
        <f>'Water Heater Stock'!P19*'Device Energy Use'!$C9</f>
        <v>0</v>
      </c>
      <c r="Q68" s="34">
        <f>'Water Heater Stock'!Q19*'Device Energy Use'!$C9</f>
        <v>0</v>
      </c>
      <c r="R68" s="34">
        <f>'Water Heater Stock'!R19*'Device Energy Use'!$C9</f>
        <v>0</v>
      </c>
      <c r="S68" s="34">
        <f>'Water Heater Stock'!S19*'Device Energy Use'!$C9</f>
        <v>0</v>
      </c>
      <c r="T68" s="34">
        <f>'Water Heater Stock'!T19*'Device Energy Use'!$C9</f>
        <v>0</v>
      </c>
      <c r="U68" s="34">
        <f>'Water Heater Stock'!U19*'Device Energy Use'!$C9</f>
        <v>0</v>
      </c>
      <c r="V68" s="34">
        <f>'Water Heater Stock'!V19*'Device Energy Use'!$C9</f>
        <v>0</v>
      </c>
      <c r="W68" s="34">
        <f>'Water Heater Stock'!W19*'Device Energy Use'!$C9</f>
        <v>0</v>
      </c>
    </row>
    <row r="69" spans="1:23">
      <c r="A69" s="3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W19"/>
  <sheetViews>
    <sheetView workbookViewId="0"/>
  </sheetViews>
  <sheetFormatPr defaultColWidth="9.140625" defaultRowHeight="15.75"/>
  <cols>
    <col min="1" max="1" width="20.7109375" style="9" customWidth="1"/>
    <col min="2" max="11" width="9.7109375" style="9" customWidth="1"/>
    <col min="12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23">
      <c r="A3" s="12" t="s">
        <v>112</v>
      </c>
    </row>
    <row r="4" spans="1:23" s="23" customFormat="1">
      <c r="A4" s="41" t="str">
        <f>+'Device Energy Use'!A4</f>
        <v>Water Heat Ending</v>
      </c>
      <c r="B4" s="40">
        <v>2014</v>
      </c>
      <c r="C4" s="40">
        <v>2015</v>
      </c>
      <c r="D4" s="40">
        <v>2016</v>
      </c>
      <c r="E4" s="40">
        <v>2017</v>
      </c>
      <c r="F4" s="40">
        <v>2018</v>
      </c>
      <c r="G4" s="40">
        <v>2019</v>
      </c>
      <c r="H4" s="40">
        <v>2020</v>
      </c>
      <c r="I4" s="40">
        <v>2021</v>
      </c>
      <c r="J4" s="40">
        <v>2022</v>
      </c>
      <c r="K4" s="40">
        <v>2023</v>
      </c>
      <c r="L4" s="40">
        <v>2024</v>
      </c>
      <c r="M4" s="40">
        <v>2025</v>
      </c>
      <c r="N4" s="40">
        <v>2026</v>
      </c>
      <c r="O4" s="40">
        <v>2027</v>
      </c>
      <c r="P4" s="40">
        <v>2028</v>
      </c>
      <c r="Q4" s="40">
        <v>2029</v>
      </c>
      <c r="R4" s="40">
        <v>2030</v>
      </c>
      <c r="S4" s="40">
        <v>2031</v>
      </c>
      <c r="T4" s="40">
        <v>2032</v>
      </c>
      <c r="U4" s="40">
        <v>2033</v>
      </c>
      <c r="V4" s="40">
        <v>2034</v>
      </c>
      <c r="W4" s="40">
        <v>2035</v>
      </c>
    </row>
    <row r="5" spans="1:23" s="23" customFormat="1" ht="16.5" thickBot="1">
      <c r="A5" s="49" t="s">
        <v>49</v>
      </c>
      <c r="B5" s="50">
        <f t="shared" ref="B5:W5" si="0">SUM(B6:B10)</f>
        <v>101415</v>
      </c>
      <c r="C5" s="50">
        <f t="shared" si="0"/>
        <v>101415.00000000001</v>
      </c>
      <c r="D5" s="50">
        <f t="shared" si="0"/>
        <v>101415</v>
      </c>
      <c r="E5" s="50">
        <f t="shared" si="0"/>
        <v>101415.00000000003</v>
      </c>
      <c r="F5" s="50">
        <f t="shared" si="0"/>
        <v>101415.00000000001</v>
      </c>
      <c r="G5" s="50">
        <f t="shared" si="0"/>
        <v>101415.00000000001</v>
      </c>
      <c r="H5" s="50">
        <f t="shared" si="0"/>
        <v>101415.00000000001</v>
      </c>
      <c r="I5" s="50">
        <f t="shared" si="0"/>
        <v>101415.00000000001</v>
      </c>
      <c r="J5" s="50">
        <f t="shared" si="0"/>
        <v>101415.00000000001</v>
      </c>
      <c r="K5" s="50">
        <f t="shared" si="0"/>
        <v>101415.00000000001</v>
      </c>
      <c r="L5" s="50">
        <f t="shared" si="0"/>
        <v>101415</v>
      </c>
      <c r="M5" s="50">
        <f t="shared" si="0"/>
        <v>101415.00000000001</v>
      </c>
      <c r="N5" s="50">
        <f t="shared" si="0"/>
        <v>101415.00000000001</v>
      </c>
      <c r="O5" s="50">
        <f t="shared" si="0"/>
        <v>101415.00000000003</v>
      </c>
      <c r="P5" s="50">
        <f t="shared" si="0"/>
        <v>101415.00000000001</v>
      </c>
      <c r="Q5" s="50">
        <f t="shared" si="0"/>
        <v>101415.00000000003</v>
      </c>
      <c r="R5" s="50">
        <f t="shared" si="0"/>
        <v>101415.00000000001</v>
      </c>
      <c r="S5" s="50">
        <f t="shared" si="0"/>
        <v>101415</v>
      </c>
      <c r="T5" s="50">
        <f t="shared" si="0"/>
        <v>101415</v>
      </c>
      <c r="U5" s="50">
        <f t="shared" si="0"/>
        <v>101415</v>
      </c>
      <c r="V5" s="50">
        <f t="shared" si="0"/>
        <v>101415.00000000001</v>
      </c>
      <c r="W5" s="50">
        <f t="shared" si="0"/>
        <v>101415</v>
      </c>
    </row>
    <row r="6" spans="1:23" ht="16.5" thickTop="1">
      <c r="A6" s="9" t="str">
        <f>+'Device Energy Use'!A5</f>
        <v>Electric Resistance</v>
      </c>
      <c r="B6" s="34">
        <f>Households</f>
        <v>101415</v>
      </c>
      <c r="C6" s="34">
        <f>+B6-'Water Heaters Retired'!C6+'Water Heaters Purchased'!C6</f>
        <v>99454.767651005022</v>
      </c>
      <c r="D6" s="34">
        <f>+C6-'Water Heaters Retired'!D6+'Water Heaters Purchased'!D6</f>
        <v>97628.889923539507</v>
      </c>
      <c r="E6" s="34">
        <f>+D6-'Water Heaters Retired'!E6+'Water Heaters Purchased'!E6</f>
        <v>95926.855704798727</v>
      </c>
      <c r="F6" s="34">
        <f>+E6-'Water Heaters Retired'!F6+'Water Heaters Purchased'!F6</f>
        <v>94338.291507522852</v>
      </c>
      <c r="G6" s="34">
        <f>+F6-'Water Heaters Retired'!G6+'Water Heaters Purchased'!G6</f>
        <v>92852.696609960156</v>
      </c>
      <c r="H6" s="34">
        <f>+G6-'Water Heaters Retired'!H6+'Water Heaters Purchased'!H6</f>
        <v>91459.15387449236</v>
      </c>
      <c r="I6" s="34">
        <f>+H6-'Water Heaters Retired'!I6+'Water Heaters Purchased'!I6</f>
        <v>90146.038853432212</v>
      </c>
      <c r="J6" s="34">
        <f>+I6-'Water Heaters Retired'!J6+'Water Heaters Purchased'!J6</f>
        <v>88900.761394848407</v>
      </c>
      <c r="K6" s="34">
        <f>+J6-'Water Heaters Retired'!K6+'Water Heaters Purchased'!K6</f>
        <v>87709.583862848231</v>
      </c>
      <c r="L6" s="34">
        <f>+K6-'Water Heaters Retired'!L6+'Water Heaters Purchased'!L6</f>
        <v>86557.565197548858</v>
      </c>
      <c r="M6" s="34">
        <f>+L6-'Water Heaters Retired'!M6+'Water Heaters Purchased'!M6</f>
        <v>85428.676863901128</v>
      </c>
      <c r="N6" s="34">
        <f>+M6-'Water Heaters Retired'!N6+'Water Heaters Purchased'!N6</f>
        <v>84306.122330080136</v>
      </c>
      <c r="O6" s="34">
        <f>+N6-'Water Heaters Retired'!O6+'Water Heaters Purchased'!O6</f>
        <v>83172.865190766126</v>
      </c>
      <c r="P6" s="34">
        <f>+O6-'Water Heaters Retired'!P6+'Water Heaters Purchased'!P6</f>
        <v>82012.335170926686</v>
      </c>
      <c r="Q6" s="34">
        <f>+P6-'Water Heaters Retired'!Q6+'Water Heaters Purchased'!Q6</f>
        <v>80809.243119561535</v>
      </c>
      <c r="R6" s="34">
        <f>+Q6-'Water Heaters Retired'!R6+'Water Heaters Purchased'!R6</f>
        <v>79550.40598086259</v>
      </c>
      <c r="S6" s="34">
        <f>+R6-'Water Heaters Retired'!S6+'Water Heaters Purchased'!S6</f>
        <v>78225.470671135161</v>
      </c>
      <c r="T6" s="34">
        <f>+S6-'Water Heaters Retired'!T6+'Water Heaters Purchased'!T6</f>
        <v>76827.437375537134</v>
      </c>
      <c r="U6" s="34">
        <f>+T6-'Water Heaters Retired'!U6+'Water Heaters Purchased'!U6</f>
        <v>75352.916138360204</v>
      </c>
      <c r="V6" s="34">
        <f>+U6-'Water Heaters Retired'!V6+'Water Heaters Purchased'!V6</f>
        <v>73802.096688952632</v>
      </c>
      <c r="W6" s="34">
        <f>+V6-'Water Heaters Retired'!W6+'Water Heaters Purchased'!W6</f>
        <v>72178.4575573935</v>
      </c>
    </row>
    <row r="7" spans="1:23">
      <c r="A7" s="9" t="str">
        <f>+'Device Energy Use'!A6</f>
        <v>HPWH</v>
      </c>
      <c r="B7" s="34">
        <v>0</v>
      </c>
      <c r="C7" s="34">
        <f>+B7-'Water Heaters Retired'!C7+'Water Heaters Purchased'!C7</f>
        <v>0.70528000494062915</v>
      </c>
      <c r="D7" s="34">
        <f>+C7-'Water Heaters Retired'!D7+'Water Heaters Purchased'!D7</f>
        <v>2.0645563264125042</v>
      </c>
      <c r="E7" s="34">
        <f>+D7-'Water Heaters Retired'!E7+'Water Heaters Purchased'!E7</f>
        <v>4.5957605949738758</v>
      </c>
      <c r="F7" s="34">
        <f>+E7-'Water Heaters Retired'!F7+'Water Heaters Purchased'!F7</f>
        <v>9.1242075456162048</v>
      </c>
      <c r="G7" s="34">
        <f>+F7-'Water Heaters Retired'!G7+'Water Heaters Purchased'!G7</f>
        <v>16.90195486045894</v>
      </c>
      <c r="H7" s="34">
        <f>+G7-'Water Heaters Retired'!H7+'Water Heaters Purchased'!H7</f>
        <v>29.741462335364169</v>
      </c>
      <c r="I7" s="34">
        <f>+H7-'Water Heaters Retired'!I7+'Water Heaters Purchased'!I7</f>
        <v>50.150421137986207</v>
      </c>
      <c r="J7" s="34">
        <f>+I7-'Water Heaters Retired'!J7+'Water Heaters Purchased'!J7</f>
        <v>81.448301974404387</v>
      </c>
      <c r="K7" s="34">
        <f>+J7-'Water Heaters Retired'!K7+'Water Heaters Purchased'!K7</f>
        <v>127.83992690046716</v>
      </c>
      <c r="L7" s="34">
        <f>+K7-'Water Heaters Retired'!L7+'Water Heaters Purchased'!L7</f>
        <v>194.41891685599984</v>
      </c>
      <c r="M7" s="34">
        <f>+L7-'Water Heaters Retired'!M7+'Water Heaters Purchased'!M7</f>
        <v>287.07610724318818</v>
      </c>
      <c r="N7" s="34">
        <f>+M7-'Water Heaters Retired'!N7+'Water Heaters Purchased'!N7</f>
        <v>412.29650492037092</v>
      </c>
      <c r="O7" s="34">
        <f>+N7-'Water Heaters Retired'!O7+'Water Heaters Purchased'!O7</f>
        <v>576.84344248983768</v>
      </c>
      <c r="P7" s="34">
        <f>+O7-'Water Heaters Retired'!P7+'Water Heaters Purchased'!P7</f>
        <v>787.34859108270086</v>
      </c>
      <c r="Q7" s="34">
        <f>+P7-'Water Heaters Retired'!Q7+'Water Heaters Purchased'!Q7</f>
        <v>1049.847368421697</v>
      </c>
      <c r="R7" s="34">
        <f>+Q7-'Water Heaters Retired'!R7+'Water Heaters Purchased'!R7</f>
        <v>1369.315326061306</v>
      </c>
      <c r="S7" s="34">
        <f>+R7-'Water Heaters Retired'!S7+'Water Heaters Purchased'!S7</f>
        <v>1749.2668591373681</v>
      </c>
      <c r="T7" s="34">
        <f>+S7-'Water Heaters Retired'!T7+'Water Heaters Purchased'!T7</f>
        <v>2191.4701908841166</v>
      </c>
      <c r="U7" s="34">
        <f>+T7-'Water Heaters Retired'!U7+'Water Heaters Purchased'!U7</f>
        <v>2695.8133471154542</v>
      </c>
      <c r="V7" s="34">
        <f>+U7-'Water Heaters Retired'!V7+'Water Heaters Purchased'!V7</f>
        <v>3260.3299766444966</v>
      </c>
      <c r="W7" s="34">
        <f>+V7-'Water Heaters Retired'!W7+'Water Heaters Purchased'!W7</f>
        <v>3881.3684672277482</v>
      </c>
    </row>
    <row r="8" spans="1:23">
      <c r="A8" s="9" t="str">
        <f>+'Device Energy Use'!A7</f>
        <v>Gas Tank</v>
      </c>
      <c r="B8" s="34">
        <v>0</v>
      </c>
      <c r="C8" s="34">
        <f>+B8-'Water Heaters Retired'!C8+'Water Heaters Purchased'!C8</f>
        <v>1958.5382818199682</v>
      </c>
      <c r="D8" s="34">
        <f>+C8-'Water Heaters Retired'!D8+'Water Heaters Purchased'!D8</f>
        <v>3781.1412682875534</v>
      </c>
      <c r="E8" s="34">
        <f>+D8-'Water Heaters Retired'!E8+'Water Heaters Purchased'!E8</f>
        <v>5477.0589921910105</v>
      </c>
      <c r="F8" s="34">
        <f>+E8-'Water Heaters Retired'!F8+'Water Heaters Purchased'!F8</f>
        <v>7054.6475852568619</v>
      </c>
      <c r="G8" s="34">
        <f>+F8-'Water Heaters Retired'!G8+'Water Heaters Purchased'!G8</f>
        <v>8521.3349449455673</v>
      </c>
      <c r="H8" s="34">
        <f>+G8-'Water Heaters Retired'!H8+'Water Heaters Purchased'!H8</f>
        <v>9883.5713547898522</v>
      </c>
      <c r="I8" s="34">
        <f>+H8-'Water Heaters Retired'!I8+'Water Heaters Purchased'!I8</f>
        <v>11146.773817509547</v>
      </c>
      <c r="J8" s="34">
        <f>+I8-'Water Heaters Retired'!J8+'Water Heaters Purchased'!J8</f>
        <v>12315.277405365598</v>
      </c>
      <c r="K8" s="34">
        <f>+J8-'Water Heaters Retired'!K8+'Water Heaters Purchased'!K8</f>
        <v>13392.310915350148</v>
      </c>
      <c r="L8" s="34">
        <f>+K8-'Water Heaters Retired'!L8+'Water Heaters Purchased'!L8</f>
        <v>14380.016339244423</v>
      </c>
      <c r="M8" s="34">
        <f>+L8-'Water Heaters Retired'!M8+'Water Heaters Purchased'!M8</f>
        <v>15279.530737452802</v>
      </c>
      <c r="N8" s="34">
        <f>+M8-'Water Heaters Retired'!N8+'Water Heaters Purchased'!N8</f>
        <v>16091.143839512586</v>
      </c>
      <c r="O8" s="34">
        <f>+N8-'Water Heaters Retired'!O8+'Water Heaters Purchased'!O8</f>
        <v>16814.534651963007</v>
      </c>
      <c r="P8" s="34">
        <f>+O8-'Water Heaters Retired'!P8+'Water Heaters Purchased'!P8</f>
        <v>17449.076507817554</v>
      </c>
      <c r="Q8" s="34">
        <f>+P8-'Water Heaters Retired'!Q8+'Water Heaters Purchased'!Q8</f>
        <v>17994.185021904072</v>
      </c>
      <c r="R8" s="34">
        <f>+Q8-'Water Heaters Retired'!R8+'Water Heaters Purchased'!R8</f>
        <v>18449.671286458266</v>
      </c>
      <c r="S8" s="34">
        <f>+R8-'Water Heaters Retired'!S8+'Water Heaters Purchased'!S8</f>
        <v>18816.057329909745</v>
      </c>
      <c r="T8" s="34">
        <f>+S8-'Water Heaters Retired'!T8+'Water Heaters Purchased'!T8</f>
        <v>19094.814688031449</v>
      </c>
      <c r="U8" s="34">
        <f>+T8-'Water Heaters Retired'!U8+'Water Heaters Purchased'!U8</f>
        <v>19288.499354304462</v>
      </c>
      <c r="V8" s="34">
        <f>+U8-'Water Heaters Retired'!V8+'Water Heaters Purchased'!V8</f>
        <v>19400.774004006114</v>
      </c>
      <c r="W8" s="34">
        <f>+V8-'Water Heaters Retired'!W8+'Water Heaters Purchased'!W8</f>
        <v>19436.326350619147</v>
      </c>
    </row>
    <row r="9" spans="1:23">
      <c r="A9" s="9" t="str">
        <f>+'Device Energy Use'!A8</f>
        <v>Instant Gas</v>
      </c>
      <c r="B9" s="34">
        <v>0</v>
      </c>
      <c r="C9" s="34">
        <f>+B9-'Water Heaters Retired'!C9+'Water Heaters Purchased'!C9</f>
        <v>0.1957597967225449</v>
      </c>
      <c r="D9" s="34">
        <f>+C9-'Water Heaters Retired'!D9+'Water Heaters Purchased'!D9</f>
        <v>0.57559953560662558</v>
      </c>
      <c r="E9" s="34">
        <f>+D9-'Water Heaters Retired'!E9+'Water Heaters Purchased'!E9</f>
        <v>1.2877360806992533</v>
      </c>
      <c r="F9" s="34">
        <f>+E9-'Water Heaters Retired'!F9+'Water Heaters Purchased'!F9</f>
        <v>2.5704281916686815</v>
      </c>
      <c r="G9" s="34">
        <f>+F9-'Water Heaters Retired'!G9+'Water Heaters Purchased'!G9</f>
        <v>4.7884175728404301</v>
      </c>
      <c r="H9" s="34">
        <f>+G9-'Water Heaters Retired'!H9+'Water Heaters Purchased'!H9</f>
        <v>8.4746885242921959</v>
      </c>
      <c r="I9" s="34">
        <f>+H9-'Water Heaters Retired'!I9+'Water Heaters Purchased'!I9</f>
        <v>14.373961605357559</v>
      </c>
      <c r="J9" s="34">
        <f>+I9-'Water Heaters Retired'!J9+'Water Heaters Purchased'!J9</f>
        <v>23.482328878532932</v>
      </c>
      <c r="K9" s="34">
        <f>+J9-'Water Heaters Retired'!K9+'Water Heaters Purchased'!K9</f>
        <v>37.075640386026336</v>
      </c>
      <c r="L9" s="34">
        <f>+K9-'Water Heaters Retired'!L9+'Water Heaters Purchased'!L9</f>
        <v>56.718182727528514</v>
      </c>
      <c r="M9" s="34">
        <f>+L9-'Water Heaters Retired'!M9+'Water Heaters Purchased'!M9</f>
        <v>84.243460433591451</v>
      </c>
      <c r="N9" s="34">
        <f>+M9-'Water Heaters Retired'!N9+'Water Heaters Purchased'!N9</f>
        <v>121.70104319623663</v>
      </c>
      <c r="O9" s="34">
        <f>+N9-'Water Heaters Retired'!O9+'Water Heaters Purchased'!O9</f>
        <v>171.26769899634655</v>
      </c>
      <c r="P9" s="34">
        <f>+O9-'Water Heaters Retired'!P9+'Water Heaters Purchased'!P9</f>
        <v>235.12701260221883</v>
      </c>
      <c r="Q9" s="34">
        <f>+P9-'Water Heaters Retired'!Q9+'Water Heaters Purchased'!Q9</f>
        <v>315.32825750941231</v>
      </c>
      <c r="R9" s="34">
        <f>+Q9-'Water Heaters Retired'!R9+'Water Heaters Purchased'!R9</f>
        <v>413.64073079741718</v>
      </c>
      <c r="S9" s="34">
        <f>+R9-'Water Heaters Retired'!S9+'Water Heaters Purchased'!S9</f>
        <v>531.42231562752579</v>
      </c>
      <c r="T9" s="34">
        <f>+S9-'Water Heaters Retired'!T9+'Water Heaters Purchased'!T9</f>
        <v>669.5196353210606</v>
      </c>
      <c r="U9" s="34">
        <f>+T9-'Water Heaters Retired'!U9+'Water Heaters Purchased'!U9</f>
        <v>828.21197059549775</v>
      </c>
      <c r="V9" s="34">
        <f>+U9-'Water Heaters Retired'!V9+'Water Heaters Purchased'!V9</f>
        <v>1007.2035418327423</v>
      </c>
      <c r="W9" s="34">
        <f>+V9-'Water Heaters Retired'!W9+'Water Heaters Purchased'!W9</f>
        <v>1205.6609126147787</v>
      </c>
    </row>
    <row r="10" spans="1:23">
      <c r="A10" s="9" t="str">
        <f>+'Device Energy Use'!A9</f>
        <v>Condensing Gas</v>
      </c>
      <c r="B10" s="34">
        <v>0</v>
      </c>
      <c r="C10" s="34">
        <f>+B10-'Water Heaters Retired'!C10+'Water Heaters Purchased'!C10</f>
        <v>0.7930273733480856</v>
      </c>
      <c r="D10" s="34">
        <f>+C10-'Water Heaters Retired'!D10+'Water Heaters Purchased'!D10</f>
        <v>2.3286523109264694</v>
      </c>
      <c r="E10" s="34">
        <f>+D10-'Water Heaters Retired'!E10+'Water Heaters Purchased'!E10</f>
        <v>5.2018063345972756</v>
      </c>
      <c r="F10" s="34">
        <f>+E10-'Water Heaters Retired'!F10+'Water Heaters Purchased'!F10</f>
        <v>10.36627148300709</v>
      </c>
      <c r="G10" s="34">
        <f>+F10-'Water Heaters Retired'!G10+'Water Heaters Purchased'!G10</f>
        <v>19.278072660989192</v>
      </c>
      <c r="H10" s="34">
        <f>+G10-'Water Heaters Retired'!H10+'Water Heaters Purchased'!H10</f>
        <v>34.058619858139153</v>
      </c>
      <c r="I10" s="34">
        <f>+H10-'Water Heaters Retired'!I10+'Water Heaters Purchased'!I10</f>
        <v>57.662946314909703</v>
      </c>
      <c r="J10" s="34">
        <f>+I10-'Water Heaters Retired'!J10+'Water Heaters Purchased'!J10</f>
        <v>94.030568933069802</v>
      </c>
      <c r="K10" s="34">
        <f>+J10-'Water Heaters Retired'!K10+'Water Heaters Purchased'!K10</f>
        <v>148.18965451513381</v>
      </c>
      <c r="L10" s="34">
        <f>+K10-'Water Heaters Retired'!L10+'Water Heaters Purchased'!L10</f>
        <v>226.28136362319384</v>
      </c>
      <c r="M10" s="34">
        <f>+L10-'Water Heaters Retired'!M10+'Water Heaters Purchased'!M10</f>
        <v>335.47283096930227</v>
      </c>
      <c r="N10" s="34">
        <f>+M10-'Water Heaters Retired'!N10+'Water Heaters Purchased'!N10</f>
        <v>483.73628229067788</v>
      </c>
      <c r="O10" s="34">
        <f>+N10-'Water Heaters Retired'!O10+'Water Heaters Purchased'!O10</f>
        <v>679.48901578469554</v>
      </c>
      <c r="P10" s="34">
        <f>+O10-'Water Heaters Retired'!P10+'Water Heaters Purchased'!P10</f>
        <v>931.1127175708541</v>
      </c>
      <c r="Q10" s="34">
        <f>+P10-'Water Heaters Retired'!Q10+'Water Heaters Purchased'!Q10</f>
        <v>1246.396232603304</v>
      </c>
      <c r="R10" s="34">
        <f>+Q10-'Water Heaters Retired'!R10+'Water Heaters Purchased'!R10</f>
        <v>1631.9666758204332</v>
      </c>
      <c r="S10" s="34">
        <f>+R10-'Water Heaters Retired'!S10+'Water Heaters Purchased'!S10</f>
        <v>2092.7828241902039</v>
      </c>
      <c r="T10" s="34">
        <f>+S10-'Water Heaters Retired'!T10+'Water Heaters Purchased'!T10</f>
        <v>2631.7581102262388</v>
      </c>
      <c r="U10" s="34">
        <f>+T10-'Water Heaters Retired'!U10+'Water Heaters Purchased'!U10</f>
        <v>3249.5591896243805</v>
      </c>
      <c r="V10" s="34">
        <f>+U10-'Water Heaters Retired'!V10+'Water Heaters Purchased'!V10</f>
        <v>3944.59578856402</v>
      </c>
      <c r="W10" s="34">
        <f>+V10-'Water Heaters Retired'!W10+'Water Heaters Purchased'!W10</f>
        <v>4713.1867121448322</v>
      </c>
    </row>
    <row r="11" spans="1:23">
      <c r="A11" s="38"/>
    </row>
    <row r="12" spans="1:23">
      <c r="A12" s="102" t="s">
        <v>113</v>
      </c>
    </row>
    <row r="13" spans="1:23" s="23" customFormat="1">
      <c r="A13" s="41" t="str">
        <f>+'Device Energy Use'!A4</f>
        <v>Water Heat Ending</v>
      </c>
      <c r="B13" s="40">
        <v>2014</v>
      </c>
      <c r="C13" s="40">
        <v>2015</v>
      </c>
      <c r="D13" s="40">
        <v>2016</v>
      </c>
      <c r="E13" s="40">
        <v>2017</v>
      </c>
      <c r="F13" s="40">
        <v>2018</v>
      </c>
      <c r="G13" s="40">
        <v>2019</v>
      </c>
      <c r="H13" s="40">
        <v>2020</v>
      </c>
      <c r="I13" s="40">
        <v>2021</v>
      </c>
      <c r="J13" s="40">
        <v>2022</v>
      </c>
      <c r="K13" s="40">
        <v>2023</v>
      </c>
      <c r="L13" s="40">
        <v>2024</v>
      </c>
      <c r="M13" s="40">
        <v>2025</v>
      </c>
      <c r="N13" s="40">
        <v>2026</v>
      </c>
      <c r="O13" s="40">
        <v>2027</v>
      </c>
      <c r="P13" s="40">
        <v>2028</v>
      </c>
      <c r="Q13" s="40">
        <v>2029</v>
      </c>
      <c r="R13" s="40">
        <v>2030</v>
      </c>
      <c r="S13" s="40">
        <v>2031</v>
      </c>
      <c r="T13" s="40">
        <v>2032</v>
      </c>
      <c r="U13" s="40">
        <v>2033</v>
      </c>
      <c r="V13" s="40">
        <v>2034</v>
      </c>
      <c r="W13" s="40">
        <v>2035</v>
      </c>
    </row>
    <row r="14" spans="1:23" s="23" customFormat="1" ht="16.5" thickBot="1">
      <c r="A14" s="49" t="s">
        <v>49</v>
      </c>
      <c r="B14" s="50">
        <f t="shared" ref="B14:W14" si="1">SUM(B15:B19)</f>
        <v>101415</v>
      </c>
      <c r="C14" s="50">
        <f t="shared" si="1"/>
        <v>101415</v>
      </c>
      <c r="D14" s="50">
        <f t="shared" si="1"/>
        <v>101415.00000000001</v>
      </c>
      <c r="E14" s="50">
        <f t="shared" si="1"/>
        <v>101415.00000000001</v>
      </c>
      <c r="F14" s="50">
        <f t="shared" si="1"/>
        <v>101415.00000000001</v>
      </c>
      <c r="G14" s="50">
        <f t="shared" si="1"/>
        <v>101415</v>
      </c>
      <c r="H14" s="50">
        <f t="shared" si="1"/>
        <v>101415</v>
      </c>
      <c r="I14" s="50">
        <f t="shared" si="1"/>
        <v>101415</v>
      </c>
      <c r="J14" s="50">
        <f t="shared" si="1"/>
        <v>101415</v>
      </c>
      <c r="K14" s="50">
        <f t="shared" si="1"/>
        <v>101415</v>
      </c>
      <c r="L14" s="50">
        <f t="shared" si="1"/>
        <v>101415</v>
      </c>
      <c r="M14" s="50">
        <f t="shared" si="1"/>
        <v>101415</v>
      </c>
      <c r="N14" s="50">
        <f t="shared" si="1"/>
        <v>101415</v>
      </c>
      <c r="O14" s="50">
        <f t="shared" si="1"/>
        <v>101415</v>
      </c>
      <c r="P14" s="50">
        <f t="shared" si="1"/>
        <v>101415</v>
      </c>
      <c r="Q14" s="50">
        <f t="shared" si="1"/>
        <v>101415</v>
      </c>
      <c r="R14" s="50">
        <f t="shared" si="1"/>
        <v>101415</v>
      </c>
      <c r="S14" s="50">
        <f t="shared" si="1"/>
        <v>101415</v>
      </c>
      <c r="T14" s="50">
        <f t="shared" si="1"/>
        <v>101415</v>
      </c>
      <c r="U14" s="50">
        <f t="shared" si="1"/>
        <v>101415</v>
      </c>
      <c r="V14" s="50">
        <f t="shared" si="1"/>
        <v>101414.99999999999</v>
      </c>
      <c r="W14" s="50">
        <f t="shared" si="1"/>
        <v>101414.99999999997</v>
      </c>
    </row>
    <row r="15" spans="1:23" ht="16.5" thickTop="1">
      <c r="A15" s="9" t="str">
        <f>+'Device Energy Use'!A5</f>
        <v>Electric Resistance</v>
      </c>
      <c r="B15" s="34">
        <f>Households</f>
        <v>101415</v>
      </c>
      <c r="C15" s="34">
        <f>+B15-'Water Heaters Retired'!C15+'Water Heaters Purchased'!C15</f>
        <v>94171.071428571435</v>
      </c>
      <c r="D15" s="34">
        <f>+C15-'Water Heaters Retired'!D15+'Water Heaters Purchased'!D15</f>
        <v>87444.566326530621</v>
      </c>
      <c r="E15" s="34">
        <f>+D15-'Water Heaters Retired'!E15+'Water Heaters Purchased'!E15</f>
        <v>81198.525874635583</v>
      </c>
      <c r="F15" s="34">
        <f>+E15-'Water Heaters Retired'!F15+'Water Heaters Purchased'!F15</f>
        <v>75398.63116930447</v>
      </c>
      <c r="G15" s="34">
        <f>+F15-'Water Heaters Retired'!G15+'Water Heaters Purchased'!G15</f>
        <v>70013.014657211286</v>
      </c>
      <c r="H15" s="34">
        <f>+G15-'Water Heaters Retired'!H15+'Water Heaters Purchased'!H15</f>
        <v>65012.085038839054</v>
      </c>
      <c r="I15" s="34">
        <f>+H15-'Water Heaters Retired'!I15+'Water Heaters Purchased'!I15</f>
        <v>60368.364678921978</v>
      </c>
      <c r="J15" s="34">
        <f>+I15-'Water Heaters Retired'!J15+'Water Heaters Purchased'!J15</f>
        <v>56056.338630427548</v>
      </c>
      <c r="K15" s="34">
        <f>+J15-'Water Heaters Retired'!K15+'Water Heaters Purchased'!K15</f>
        <v>52052.314442539864</v>
      </c>
      <c r="L15" s="34">
        <f>+K15-'Water Heaters Retired'!L15+'Water Heaters Purchased'!L15</f>
        <v>48334.291982358445</v>
      </c>
      <c r="M15" s="34">
        <f>+L15-'Water Heaters Retired'!M15+'Water Heaters Purchased'!M15</f>
        <v>44881.842555047129</v>
      </c>
      <c r="N15" s="34">
        <f>+M15-'Water Heaters Retired'!N15+'Water Heaters Purchased'!N15</f>
        <v>41675.996658258045</v>
      </c>
      <c r="O15" s="34">
        <f>+N15-'Water Heaters Retired'!O15+'Water Heaters Purchased'!O15</f>
        <v>38699.139754096759</v>
      </c>
      <c r="P15" s="34">
        <f>+O15-'Water Heaters Retired'!P15+'Water Heaters Purchased'!P15</f>
        <v>35934.915485946993</v>
      </c>
      <c r="Q15" s="34">
        <f>+P15-'Water Heaters Retired'!Q15+'Water Heaters Purchased'!Q15</f>
        <v>33368.135808379353</v>
      </c>
      <c r="R15" s="34">
        <f>+Q15-'Water Heaters Retired'!R15+'Water Heaters Purchased'!R15</f>
        <v>30984.697536352258</v>
      </c>
      <c r="S15" s="34">
        <f>+R15-'Water Heaters Retired'!S15+'Water Heaters Purchased'!S15</f>
        <v>28771.504855184241</v>
      </c>
      <c r="T15" s="34">
        <f>+S15-'Water Heaters Retired'!T15+'Water Heaters Purchased'!T15</f>
        <v>26716.397365528224</v>
      </c>
      <c r="U15" s="34">
        <f>+T15-'Water Heaters Retired'!U15+'Water Heaters Purchased'!U15</f>
        <v>24808.083267990492</v>
      </c>
      <c r="V15" s="34">
        <f>+U15-'Water Heaters Retired'!V15+'Water Heaters Purchased'!V15</f>
        <v>23036.077320276887</v>
      </c>
      <c r="W15" s="34">
        <f>+V15-'Water Heaters Retired'!W15+'Water Heaters Purchased'!W15</f>
        <v>21390.643225971395</v>
      </c>
    </row>
    <row r="16" spans="1:23">
      <c r="A16" s="9" t="str">
        <f>+'Device Energy Use'!A6</f>
        <v>HPWH</v>
      </c>
      <c r="B16" s="34">
        <v>0</v>
      </c>
      <c r="C16" s="34">
        <f>+B16-'Water Heaters Retired'!C16+'Water Heaters Purchased'!C16</f>
        <v>0</v>
      </c>
      <c r="D16" s="34">
        <f>+C16-'Water Heaters Retired'!D16+'Water Heaters Purchased'!D16</f>
        <v>0</v>
      </c>
      <c r="E16" s="34">
        <f>+D16-'Water Heaters Retired'!E16+'Water Heaters Purchased'!E16</f>
        <v>0</v>
      </c>
      <c r="F16" s="34">
        <f>+E16-'Water Heaters Retired'!F16+'Water Heaters Purchased'!F16</f>
        <v>0</v>
      </c>
      <c r="G16" s="34">
        <f>+F16-'Water Heaters Retired'!G16+'Water Heaters Purchased'!G16</f>
        <v>0</v>
      </c>
      <c r="H16" s="34">
        <f>+G16-'Water Heaters Retired'!H16+'Water Heaters Purchased'!H16</f>
        <v>0</v>
      </c>
      <c r="I16" s="34">
        <f>+H16-'Water Heaters Retired'!I16+'Water Heaters Purchased'!I16</f>
        <v>0</v>
      </c>
      <c r="J16" s="34">
        <f>+I16-'Water Heaters Retired'!J16+'Water Heaters Purchased'!J16</f>
        <v>0</v>
      </c>
      <c r="K16" s="34">
        <f>+J16-'Water Heaters Retired'!K16+'Water Heaters Purchased'!K16</f>
        <v>0</v>
      </c>
      <c r="L16" s="34">
        <f>+K16-'Water Heaters Retired'!L16+'Water Heaters Purchased'!L16</f>
        <v>0</v>
      </c>
      <c r="M16" s="34">
        <f>+L16-'Water Heaters Retired'!M16+'Water Heaters Purchased'!M16</f>
        <v>0</v>
      </c>
      <c r="N16" s="34">
        <f>+M16-'Water Heaters Retired'!N16+'Water Heaters Purchased'!N16</f>
        <v>0</v>
      </c>
      <c r="O16" s="34">
        <f>+N16-'Water Heaters Retired'!O16+'Water Heaters Purchased'!O16</f>
        <v>0</v>
      </c>
      <c r="P16" s="34">
        <f>+O16-'Water Heaters Retired'!P16+'Water Heaters Purchased'!P16</f>
        <v>0</v>
      </c>
      <c r="Q16" s="34">
        <f>+P16-'Water Heaters Retired'!Q16+'Water Heaters Purchased'!Q16</f>
        <v>0</v>
      </c>
      <c r="R16" s="34">
        <f>+Q16-'Water Heaters Retired'!R16+'Water Heaters Purchased'!R16</f>
        <v>0</v>
      </c>
      <c r="S16" s="34">
        <f>+R16-'Water Heaters Retired'!S16+'Water Heaters Purchased'!S16</f>
        <v>0</v>
      </c>
      <c r="T16" s="34">
        <f>+S16-'Water Heaters Retired'!T16+'Water Heaters Purchased'!T16</f>
        <v>0</v>
      </c>
      <c r="U16" s="34">
        <f>+T16-'Water Heaters Retired'!U16+'Water Heaters Purchased'!U16</f>
        <v>0</v>
      </c>
      <c r="V16" s="34">
        <f>+U16-'Water Heaters Retired'!V16+'Water Heaters Purchased'!V16</f>
        <v>0</v>
      </c>
      <c r="W16" s="34">
        <f>+V16-'Water Heaters Retired'!W16+'Water Heaters Purchased'!W16</f>
        <v>0</v>
      </c>
    </row>
    <row r="17" spans="1:23">
      <c r="A17" s="9" t="str">
        <f>+'Device Energy Use'!A7</f>
        <v>Gas Tank</v>
      </c>
      <c r="B17" s="34">
        <v>0</v>
      </c>
      <c r="C17" s="34">
        <f>+B17-'Water Heaters Retired'!C17+'Water Heaters Purchased'!C17</f>
        <v>7243.9285714285716</v>
      </c>
      <c r="D17" s="34">
        <f>+C17-'Water Heaters Retired'!D17+'Water Heaters Purchased'!D17</f>
        <v>13970.433673469388</v>
      </c>
      <c r="E17" s="34">
        <f>+D17-'Water Heaters Retired'!E17+'Water Heaters Purchased'!E17</f>
        <v>20216.474125364432</v>
      </c>
      <c r="F17" s="34">
        <f>+E17-'Water Heaters Retired'!F17+'Water Heaters Purchased'!F17</f>
        <v>26016.368830695545</v>
      </c>
      <c r="G17" s="34">
        <f>+F17-'Water Heaters Retired'!G17+'Water Heaters Purchased'!G17</f>
        <v>31401.985342788721</v>
      </c>
      <c r="H17" s="34">
        <f>+G17-'Water Heaters Retired'!H17+'Water Heaters Purchased'!H17</f>
        <v>36402.914961160954</v>
      </c>
      <c r="I17" s="34">
        <f>+H17-'Water Heaters Retired'!I17+'Water Heaters Purchased'!I17</f>
        <v>41046.635321078029</v>
      </c>
      <c r="J17" s="34">
        <f>+I17-'Water Heaters Retired'!J17+'Water Heaters Purchased'!J17</f>
        <v>45358.661369572459</v>
      </c>
      <c r="K17" s="34">
        <f>+J17-'Water Heaters Retired'!K17+'Water Heaters Purchased'!K17</f>
        <v>49362.685557460143</v>
      </c>
      <c r="L17" s="34">
        <f>+K17-'Water Heaters Retired'!L17+'Water Heaters Purchased'!L17</f>
        <v>53080.708017641562</v>
      </c>
      <c r="M17" s="34">
        <f>+L17-'Water Heaters Retired'!M17+'Water Heaters Purchased'!M17</f>
        <v>56533.157444952878</v>
      </c>
      <c r="N17" s="34">
        <f>+M17-'Water Heaters Retired'!N17+'Water Heaters Purchased'!N17</f>
        <v>59739.003341741962</v>
      </c>
      <c r="O17" s="34">
        <f>+N17-'Water Heaters Retired'!O17+'Water Heaters Purchased'!O17</f>
        <v>62715.860245903248</v>
      </c>
      <c r="P17" s="34">
        <f>+O17-'Water Heaters Retired'!P17+'Water Heaters Purchased'!P17</f>
        <v>65480.084514053015</v>
      </c>
      <c r="Q17" s="34">
        <f>+P17-'Water Heaters Retired'!Q17+'Water Heaters Purchased'!Q17</f>
        <v>68046.864191620654</v>
      </c>
      <c r="R17" s="34">
        <f>+Q17-'Water Heaters Retired'!R17+'Water Heaters Purchased'!R17</f>
        <v>70430.302463647749</v>
      </c>
      <c r="S17" s="34">
        <f>+R17-'Water Heaters Retired'!S17+'Water Heaters Purchased'!S17</f>
        <v>72643.495144815766</v>
      </c>
      <c r="T17" s="34">
        <f>+S17-'Water Heaters Retired'!T17+'Water Heaters Purchased'!T17</f>
        <v>74698.602634471783</v>
      </c>
      <c r="U17" s="34">
        <f>+T17-'Water Heaters Retired'!U17+'Water Heaters Purchased'!U17</f>
        <v>76606.9167320095</v>
      </c>
      <c r="V17" s="34">
        <f>+U17-'Water Heaters Retired'!V17+'Water Heaters Purchased'!V17</f>
        <v>78378.922679723095</v>
      </c>
      <c r="W17" s="34">
        <f>+V17-'Water Heaters Retired'!W17+'Water Heaters Purchased'!W17</f>
        <v>80024.35677402858</v>
      </c>
    </row>
    <row r="18" spans="1:23">
      <c r="A18" s="9" t="str">
        <f>+'Device Energy Use'!A8</f>
        <v>Instant Gas</v>
      </c>
      <c r="B18" s="34">
        <v>0</v>
      </c>
      <c r="C18" s="34">
        <f>+B18-'Water Heaters Retired'!C18+'Water Heaters Purchased'!C18</f>
        <v>0</v>
      </c>
      <c r="D18" s="34">
        <f>+C18-'Water Heaters Retired'!D18+'Water Heaters Purchased'!D18</f>
        <v>0</v>
      </c>
      <c r="E18" s="34">
        <f>+D18-'Water Heaters Retired'!E18+'Water Heaters Purchased'!E18</f>
        <v>0</v>
      </c>
      <c r="F18" s="34">
        <f>+E18-'Water Heaters Retired'!F18+'Water Heaters Purchased'!F18</f>
        <v>0</v>
      </c>
      <c r="G18" s="34">
        <f>+F18-'Water Heaters Retired'!G18+'Water Heaters Purchased'!G18</f>
        <v>0</v>
      </c>
      <c r="H18" s="34">
        <f>+G18-'Water Heaters Retired'!H18+'Water Heaters Purchased'!H18</f>
        <v>0</v>
      </c>
      <c r="I18" s="34">
        <f>+H18-'Water Heaters Retired'!I18+'Water Heaters Purchased'!I18</f>
        <v>0</v>
      </c>
      <c r="J18" s="34">
        <f>+I18-'Water Heaters Retired'!J18+'Water Heaters Purchased'!J18</f>
        <v>0</v>
      </c>
      <c r="K18" s="34">
        <f>+J18-'Water Heaters Retired'!K18+'Water Heaters Purchased'!K18</f>
        <v>0</v>
      </c>
      <c r="L18" s="34">
        <f>+K18-'Water Heaters Retired'!L18+'Water Heaters Purchased'!L18</f>
        <v>0</v>
      </c>
      <c r="M18" s="34">
        <f>+L18-'Water Heaters Retired'!M18+'Water Heaters Purchased'!M18</f>
        <v>0</v>
      </c>
      <c r="N18" s="34">
        <f>+M18-'Water Heaters Retired'!N18+'Water Heaters Purchased'!N18</f>
        <v>0</v>
      </c>
      <c r="O18" s="34">
        <f>+N18-'Water Heaters Retired'!O18+'Water Heaters Purchased'!O18</f>
        <v>0</v>
      </c>
      <c r="P18" s="34">
        <f>+O18-'Water Heaters Retired'!P18+'Water Heaters Purchased'!P18</f>
        <v>0</v>
      </c>
      <c r="Q18" s="34">
        <f>+P18-'Water Heaters Retired'!Q18+'Water Heaters Purchased'!Q18</f>
        <v>0</v>
      </c>
      <c r="R18" s="34">
        <f>+Q18-'Water Heaters Retired'!R18+'Water Heaters Purchased'!R18</f>
        <v>0</v>
      </c>
      <c r="S18" s="34">
        <f>+R18-'Water Heaters Retired'!S18+'Water Heaters Purchased'!S18</f>
        <v>0</v>
      </c>
      <c r="T18" s="34">
        <f>+S18-'Water Heaters Retired'!T18+'Water Heaters Purchased'!T18</f>
        <v>0</v>
      </c>
      <c r="U18" s="34">
        <f>+T18-'Water Heaters Retired'!U18+'Water Heaters Purchased'!U18</f>
        <v>0</v>
      </c>
      <c r="V18" s="34">
        <f>+U18-'Water Heaters Retired'!V18+'Water Heaters Purchased'!V18</f>
        <v>0</v>
      </c>
      <c r="W18" s="34">
        <f>+V18-'Water Heaters Retired'!W18+'Water Heaters Purchased'!W18</f>
        <v>0</v>
      </c>
    </row>
    <row r="19" spans="1:23">
      <c r="A19" s="9" t="str">
        <f>+'Device Energy Use'!A9</f>
        <v>Condensing Gas</v>
      </c>
      <c r="B19" s="34">
        <v>0</v>
      </c>
      <c r="C19" s="34">
        <f>+B19-'Water Heaters Retired'!C19+'Water Heaters Purchased'!C19</f>
        <v>0</v>
      </c>
      <c r="D19" s="34">
        <f>+C19-'Water Heaters Retired'!D19+'Water Heaters Purchased'!D19</f>
        <v>0</v>
      </c>
      <c r="E19" s="34">
        <f>+D19-'Water Heaters Retired'!E19+'Water Heaters Purchased'!E19</f>
        <v>0</v>
      </c>
      <c r="F19" s="34">
        <f>+E19-'Water Heaters Retired'!F19+'Water Heaters Purchased'!F19</f>
        <v>0</v>
      </c>
      <c r="G19" s="34">
        <f>+F19-'Water Heaters Retired'!G19+'Water Heaters Purchased'!G19</f>
        <v>0</v>
      </c>
      <c r="H19" s="34">
        <f>+G19-'Water Heaters Retired'!H19+'Water Heaters Purchased'!H19</f>
        <v>0</v>
      </c>
      <c r="I19" s="34">
        <f>+H19-'Water Heaters Retired'!I19+'Water Heaters Purchased'!I19</f>
        <v>0</v>
      </c>
      <c r="J19" s="34">
        <f>+I19-'Water Heaters Retired'!J19+'Water Heaters Purchased'!J19</f>
        <v>0</v>
      </c>
      <c r="K19" s="34">
        <f>+J19-'Water Heaters Retired'!K19+'Water Heaters Purchased'!K19</f>
        <v>0</v>
      </c>
      <c r="L19" s="34">
        <f>+K19-'Water Heaters Retired'!L19+'Water Heaters Purchased'!L19</f>
        <v>0</v>
      </c>
      <c r="M19" s="34">
        <f>+L19-'Water Heaters Retired'!M19+'Water Heaters Purchased'!M19</f>
        <v>0</v>
      </c>
      <c r="N19" s="34">
        <f>+M19-'Water Heaters Retired'!N19+'Water Heaters Purchased'!N19</f>
        <v>0</v>
      </c>
      <c r="O19" s="34">
        <f>+N19-'Water Heaters Retired'!O19+'Water Heaters Purchased'!O19</f>
        <v>0</v>
      </c>
      <c r="P19" s="34">
        <f>+O19-'Water Heaters Retired'!P19+'Water Heaters Purchased'!P19</f>
        <v>0</v>
      </c>
      <c r="Q19" s="34">
        <f>+P19-'Water Heaters Retired'!Q19+'Water Heaters Purchased'!Q19</f>
        <v>0</v>
      </c>
      <c r="R19" s="34">
        <f>+Q19-'Water Heaters Retired'!R19+'Water Heaters Purchased'!R19</f>
        <v>0</v>
      </c>
      <c r="S19" s="34">
        <f>+R19-'Water Heaters Retired'!S19+'Water Heaters Purchased'!S19</f>
        <v>0</v>
      </c>
      <c r="T19" s="34">
        <f>+S19-'Water Heaters Retired'!T19+'Water Heaters Purchased'!T19</f>
        <v>0</v>
      </c>
      <c r="U19" s="34">
        <f>+T19-'Water Heaters Retired'!U19+'Water Heaters Purchased'!U19</f>
        <v>0</v>
      </c>
      <c r="V19" s="34">
        <f>+U19-'Water Heaters Retired'!V19+'Water Heaters Purchased'!V19</f>
        <v>0</v>
      </c>
      <c r="W19" s="34">
        <f>+V19-'Water Heaters Retired'!W19+'Water Heaters Purchased'!W19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W19"/>
  <sheetViews>
    <sheetView workbookViewId="0"/>
  </sheetViews>
  <sheetFormatPr defaultColWidth="9.140625" defaultRowHeight="15.75"/>
  <cols>
    <col min="1" max="1" width="20.7109375" style="9" customWidth="1"/>
    <col min="2" max="10" width="9.7109375" style="9" customWidth="1"/>
    <col min="11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23">
      <c r="A3" s="12" t="s">
        <v>110</v>
      </c>
      <c r="D3" s="12"/>
    </row>
    <row r="4" spans="1:23">
      <c r="A4" s="39" t="str">
        <f>'Device Energy Use'!A4</f>
        <v>Water Heat Ending</v>
      </c>
      <c r="B4" s="40">
        <f>'Water Heater Stock'!B4</f>
        <v>2014</v>
      </c>
      <c r="C4" s="40">
        <f>'Water Heater Stock'!C4</f>
        <v>2015</v>
      </c>
      <c r="D4" s="40">
        <f>'Water Heater Stock'!D4</f>
        <v>2016</v>
      </c>
      <c r="E4" s="40">
        <f>'Water Heater Stock'!E4</f>
        <v>2017</v>
      </c>
      <c r="F4" s="40">
        <f>'Water Heater Stock'!F4</f>
        <v>2018</v>
      </c>
      <c r="G4" s="40">
        <f>'Water Heater Stock'!G4</f>
        <v>2019</v>
      </c>
      <c r="H4" s="40">
        <f>'Water Heater Stock'!H4</f>
        <v>2020</v>
      </c>
      <c r="I4" s="40">
        <f>'Water Heater Stock'!I4</f>
        <v>2021</v>
      </c>
      <c r="J4" s="40">
        <f>'Water Heater Stock'!J4</f>
        <v>2022</v>
      </c>
      <c r="K4" s="40">
        <f>'Water Heater Stock'!K4</f>
        <v>2023</v>
      </c>
      <c r="L4" s="40">
        <f>'Water Heater Stock'!L4</f>
        <v>2024</v>
      </c>
      <c r="M4" s="40">
        <f>'Water Heater Stock'!M4</f>
        <v>2025</v>
      </c>
      <c r="N4" s="40">
        <f>'Water Heater Stock'!N4</f>
        <v>2026</v>
      </c>
      <c r="O4" s="40">
        <f>'Water Heater Stock'!O4</f>
        <v>2027</v>
      </c>
      <c r="P4" s="40">
        <f>'Water Heater Stock'!P4</f>
        <v>2028</v>
      </c>
      <c r="Q4" s="40">
        <f>'Water Heater Stock'!Q4</f>
        <v>2029</v>
      </c>
      <c r="R4" s="40">
        <f>'Water Heater Stock'!R4</f>
        <v>2030</v>
      </c>
      <c r="S4" s="40">
        <f>'Water Heater Stock'!S4</f>
        <v>2031</v>
      </c>
      <c r="T4" s="40">
        <f>'Water Heater Stock'!T4</f>
        <v>2032</v>
      </c>
      <c r="U4" s="40">
        <f>'Water Heater Stock'!U4</f>
        <v>2033</v>
      </c>
      <c r="V4" s="40">
        <f>'Water Heater Stock'!V4</f>
        <v>2034</v>
      </c>
      <c r="W4" s="40">
        <f>'Water Heater Stock'!W4</f>
        <v>2035</v>
      </c>
    </row>
    <row r="5" spans="1:23" ht="16.5" thickBot="1">
      <c r="A5" s="49" t="s">
        <v>49</v>
      </c>
      <c r="B5" s="50">
        <f t="shared" ref="B5:W5" si="0">SUM(B6:B10)</f>
        <v>0</v>
      </c>
      <c r="C5" s="50">
        <f t="shared" si="0"/>
        <v>7243.9285714285716</v>
      </c>
      <c r="D5" s="50">
        <f t="shared" si="0"/>
        <v>7243.9285714285716</v>
      </c>
      <c r="E5" s="50">
        <f t="shared" si="0"/>
        <v>7243.9285714285725</v>
      </c>
      <c r="F5" s="50">
        <f t="shared" si="0"/>
        <v>7243.9285714285716</v>
      </c>
      <c r="G5" s="50">
        <f t="shared" si="0"/>
        <v>7243.9285714285725</v>
      </c>
      <c r="H5" s="50">
        <f t="shared" si="0"/>
        <v>7243.9285714285716</v>
      </c>
      <c r="I5" s="50">
        <f t="shared" si="0"/>
        <v>7243.9285714285716</v>
      </c>
      <c r="J5" s="50">
        <f t="shared" si="0"/>
        <v>7243.9285714285725</v>
      </c>
      <c r="K5" s="50">
        <f t="shared" si="0"/>
        <v>7243.9285714285725</v>
      </c>
      <c r="L5" s="50">
        <f t="shared" si="0"/>
        <v>7243.9285714285716</v>
      </c>
      <c r="M5" s="50">
        <f t="shared" si="0"/>
        <v>7243.9285714285716</v>
      </c>
      <c r="N5" s="50">
        <f t="shared" si="0"/>
        <v>7243.9285714285725</v>
      </c>
      <c r="O5" s="50">
        <f t="shared" si="0"/>
        <v>7243.9285714285725</v>
      </c>
      <c r="P5" s="50">
        <f t="shared" si="0"/>
        <v>7243.9285714285725</v>
      </c>
      <c r="Q5" s="50">
        <f t="shared" si="0"/>
        <v>7243.9285714285725</v>
      </c>
      <c r="R5" s="50">
        <f t="shared" si="0"/>
        <v>7243.9285714285716</v>
      </c>
      <c r="S5" s="50">
        <f t="shared" si="0"/>
        <v>7243.9285714285725</v>
      </c>
      <c r="T5" s="50">
        <f t="shared" si="0"/>
        <v>7243.9285714285716</v>
      </c>
      <c r="U5" s="50">
        <f t="shared" si="0"/>
        <v>7243.9285714285706</v>
      </c>
      <c r="V5" s="50">
        <f t="shared" si="0"/>
        <v>7243.9285714285706</v>
      </c>
      <c r="W5" s="50">
        <f t="shared" si="0"/>
        <v>7243.9285714285716</v>
      </c>
    </row>
    <row r="6" spans="1:23" ht="16.5" thickTop="1">
      <c r="A6" s="9" t="str">
        <f>+'Water Heater Stock'!A6</f>
        <v>Electric Resistance</v>
      </c>
      <c r="B6" s="34">
        <v>0</v>
      </c>
      <c r="C6" s="34">
        <f>'Water Heater Stock'!B6/Lifetime</f>
        <v>7243.9285714285716</v>
      </c>
      <c r="D6" s="34">
        <f>'Water Heater Stock'!C6/Lifetime</f>
        <v>7103.9119750717873</v>
      </c>
      <c r="E6" s="34">
        <f>'Water Heater Stock'!D6/Lifetime</f>
        <v>6973.4921373956795</v>
      </c>
      <c r="F6" s="34">
        <f>'Water Heater Stock'!E6/Lifetime</f>
        <v>6851.9182646284808</v>
      </c>
      <c r="G6" s="34">
        <f>'Water Heater Stock'!F6/Lifetime</f>
        <v>6738.4493933944896</v>
      </c>
      <c r="H6" s="34">
        <f>'Water Heater Stock'!G6/Lifetime</f>
        <v>6632.335472140011</v>
      </c>
      <c r="I6" s="34">
        <f>'Water Heater Stock'!H6/Lifetime</f>
        <v>6532.7967053208831</v>
      </c>
      <c r="J6" s="34">
        <f>'Water Heater Stock'!I6/Lifetime</f>
        <v>6439.0027752451579</v>
      </c>
      <c r="K6" s="34">
        <f>'Water Heater Stock'!J6/Lifetime</f>
        <v>6350.054385346315</v>
      </c>
      <c r="L6" s="34">
        <f>'Water Heater Stock'!K6/Lifetime</f>
        <v>6264.9702759177308</v>
      </c>
      <c r="M6" s="34">
        <f>'Water Heater Stock'!L6/Lifetime</f>
        <v>6182.6832283963467</v>
      </c>
      <c r="N6" s="34">
        <f>'Water Heater Stock'!M6/Lifetime</f>
        <v>6102.0483474215089</v>
      </c>
      <c r="O6" s="34">
        <f>'Water Heater Stock'!N6/Lifetime</f>
        <v>6021.86588072001</v>
      </c>
      <c r="P6" s="34">
        <f>'Water Heater Stock'!O6/Lifetime</f>
        <v>5940.9189421975807</v>
      </c>
      <c r="Q6" s="34">
        <f>'Water Heater Stock'!P6/Lifetime</f>
        <v>5858.0239407804775</v>
      </c>
      <c r="R6" s="34">
        <f>'Water Heater Stock'!Q6/Lifetime</f>
        <v>5772.088794254395</v>
      </c>
      <c r="S6" s="34">
        <f>'Water Heater Stock'!R6/Lifetime</f>
        <v>5682.1718557758995</v>
      </c>
      <c r="T6" s="34">
        <f>'Water Heater Stock'!S6/Lifetime</f>
        <v>5587.5336193667972</v>
      </c>
      <c r="U6" s="34">
        <f>'Water Heater Stock'!T6/Lifetime</f>
        <v>5487.6740982526526</v>
      </c>
      <c r="V6" s="34">
        <f>'Water Heater Stock'!U6/Lifetime</f>
        <v>5382.3511527400142</v>
      </c>
      <c r="W6" s="34">
        <f>'Water Heater Stock'!V6/Lifetime</f>
        <v>5271.5783349251878</v>
      </c>
    </row>
    <row r="7" spans="1:23">
      <c r="A7" s="9" t="str">
        <f>+'Water Heater Stock'!A7</f>
        <v>HPWH</v>
      </c>
      <c r="B7" s="34">
        <v>0</v>
      </c>
      <c r="C7" s="34">
        <f>'Water Heater Stock'!B7/Lifetime</f>
        <v>0</v>
      </c>
      <c r="D7" s="34">
        <f>'Water Heater Stock'!C7/Lifetime</f>
        <v>5.0377143210044939E-2</v>
      </c>
      <c r="E7" s="34">
        <f>'Water Heater Stock'!D7/Lifetime</f>
        <v>0.14746830902946459</v>
      </c>
      <c r="F7" s="34">
        <f>'Water Heater Stock'!E7/Lifetime</f>
        <v>0.32826861392670542</v>
      </c>
      <c r="G7" s="34">
        <f>'Water Heater Stock'!F7/Lifetime</f>
        <v>0.65172911040115744</v>
      </c>
      <c r="H7" s="34">
        <f>'Water Heater Stock'!G7/Lifetime</f>
        <v>1.2072824900327814</v>
      </c>
      <c r="I7" s="34">
        <f>'Water Heater Stock'!H7/Lifetime</f>
        <v>2.1243901668117262</v>
      </c>
      <c r="J7" s="34">
        <f>'Water Heater Stock'!I7/Lifetime</f>
        <v>3.5821729384275862</v>
      </c>
      <c r="K7" s="34">
        <f>'Water Heater Stock'!J7/Lifetime</f>
        <v>5.8177358553145995</v>
      </c>
      <c r="L7" s="34">
        <f>'Water Heater Stock'!K7/Lifetime</f>
        <v>9.1314233500333692</v>
      </c>
      <c r="M7" s="34">
        <f>'Water Heater Stock'!L7/Lifetime</f>
        <v>13.887065489714274</v>
      </c>
      <c r="N7" s="34">
        <f>'Water Heater Stock'!M7/Lifetime</f>
        <v>20.505436231656297</v>
      </c>
      <c r="O7" s="34">
        <f>'Water Heater Stock'!N7/Lifetime</f>
        <v>29.449750351455066</v>
      </c>
      <c r="P7" s="34">
        <f>'Water Heater Stock'!O7/Lifetime</f>
        <v>41.203103034988409</v>
      </c>
      <c r="Q7" s="34">
        <f>'Water Heater Stock'!P7/Lifetime</f>
        <v>56.239185077335776</v>
      </c>
      <c r="R7" s="34">
        <f>'Water Heater Stock'!Q7/Lifetime</f>
        <v>74.989097744406919</v>
      </c>
      <c r="S7" s="34">
        <f>'Water Heater Stock'!R7/Lifetime</f>
        <v>97.808237575807567</v>
      </c>
      <c r="T7" s="34">
        <f>'Water Heater Stock'!S7/Lifetime</f>
        <v>124.94763279552629</v>
      </c>
      <c r="U7" s="34">
        <f>'Water Heater Stock'!T7/Lifetime</f>
        <v>156.53358506315118</v>
      </c>
      <c r="V7" s="34">
        <f>'Water Heater Stock'!U7/Lifetime</f>
        <v>192.55809622253244</v>
      </c>
      <c r="W7" s="34">
        <f>'Water Heater Stock'!V7/Lifetime</f>
        <v>232.88071261746404</v>
      </c>
    </row>
    <row r="8" spans="1:23">
      <c r="A8" s="9" t="str">
        <f>+'Water Heater Stock'!A8</f>
        <v>Gas Tank</v>
      </c>
      <c r="B8" s="34">
        <v>0</v>
      </c>
      <c r="C8" s="34">
        <f>'Water Heater Stock'!B8/Lifetime</f>
        <v>0</v>
      </c>
      <c r="D8" s="34">
        <f>'Water Heater Stock'!C8/Lifetime</f>
        <v>139.89559155856915</v>
      </c>
      <c r="E8" s="34">
        <f>'Water Heater Stock'!D8/Lifetime</f>
        <v>270.08151916339665</v>
      </c>
      <c r="F8" s="34">
        <f>'Water Heater Stock'!E8/Lifetime</f>
        <v>391.21849944221503</v>
      </c>
      <c r="G8" s="34">
        <f>'Water Heater Stock'!F8/Lifetime</f>
        <v>503.90339894691868</v>
      </c>
      <c r="H8" s="34">
        <f>'Water Heater Stock'!G8/Lifetime</f>
        <v>608.66678178182622</v>
      </c>
      <c r="I8" s="34">
        <f>'Water Heater Stock'!H8/Lifetime</f>
        <v>705.96938248498941</v>
      </c>
      <c r="J8" s="34">
        <f>'Water Heater Stock'!I8/Lifetime</f>
        <v>796.19812982211056</v>
      </c>
      <c r="K8" s="34">
        <f>'Water Heater Stock'!J8/Lifetime</f>
        <v>879.66267181182843</v>
      </c>
      <c r="L8" s="34">
        <f>'Water Heater Stock'!K8/Lifetime</f>
        <v>956.59363681072489</v>
      </c>
      <c r="M8" s="34">
        <f>'Water Heater Stock'!L8/Lifetime</f>
        <v>1027.1440242317444</v>
      </c>
      <c r="N8" s="34">
        <f>'Water Heater Stock'!M8/Lifetime</f>
        <v>1091.3950526752001</v>
      </c>
      <c r="O8" s="34">
        <f>'Water Heater Stock'!N8/Lifetime</f>
        <v>1149.3674171080418</v>
      </c>
      <c r="P8" s="34">
        <f>'Water Heater Stock'!O8/Lifetime</f>
        <v>1201.0381894259292</v>
      </c>
      <c r="Q8" s="34">
        <f>'Water Heater Stock'!P8/Lifetime</f>
        <v>1246.3626077012539</v>
      </c>
      <c r="R8" s="34">
        <f>'Water Heater Stock'!Q8/Lifetime</f>
        <v>1285.2989301360051</v>
      </c>
      <c r="S8" s="34">
        <f>'Water Heater Stock'!R8/Lifetime</f>
        <v>1317.8336633184476</v>
      </c>
      <c r="T8" s="34">
        <f>'Water Heater Stock'!S8/Lifetime</f>
        <v>1344.0040949935533</v>
      </c>
      <c r="U8" s="34">
        <f>'Water Heater Stock'!T8/Lifetime</f>
        <v>1363.9153348593893</v>
      </c>
      <c r="V8" s="34">
        <f>'Water Heater Stock'!U8/Lifetime</f>
        <v>1377.7499538788902</v>
      </c>
      <c r="W8" s="34">
        <f>'Water Heater Stock'!V8/Lifetime</f>
        <v>1385.7695717147224</v>
      </c>
    </row>
    <row r="9" spans="1:23">
      <c r="A9" s="9" t="str">
        <f>+'Water Heater Stock'!A9</f>
        <v>Instant Gas</v>
      </c>
      <c r="B9" s="34">
        <v>0</v>
      </c>
      <c r="C9" s="34">
        <f>'Water Heater Stock'!B9/Lifetime</f>
        <v>0</v>
      </c>
      <c r="D9" s="34">
        <f>'Water Heater Stock'!C9/Lifetime</f>
        <v>1.3982842623038921E-2</v>
      </c>
      <c r="E9" s="34">
        <f>'Water Heater Stock'!D9/Lifetime</f>
        <v>4.1114252543330398E-2</v>
      </c>
      <c r="F9" s="34">
        <f>'Water Heater Stock'!E9/Lifetime</f>
        <v>9.1981148621375228E-2</v>
      </c>
      <c r="G9" s="34">
        <f>'Water Heater Stock'!F9/Lifetime</f>
        <v>0.1836020136906201</v>
      </c>
      <c r="H9" s="34">
        <f>'Water Heater Stock'!G9/Lifetime</f>
        <v>0.34202982663145931</v>
      </c>
      <c r="I9" s="34">
        <f>'Water Heater Stock'!H9/Lifetime</f>
        <v>0.60533489459229972</v>
      </c>
      <c r="J9" s="34">
        <f>'Water Heater Stock'!I9/Lifetime</f>
        <v>1.0267115432398257</v>
      </c>
      <c r="K9" s="34">
        <f>'Water Heater Stock'!J9/Lifetime</f>
        <v>1.6773092056094951</v>
      </c>
      <c r="L9" s="34">
        <f>'Water Heater Stock'!K9/Lifetime</f>
        <v>2.6482600275733099</v>
      </c>
      <c r="M9" s="34">
        <f>'Water Heater Stock'!L9/Lifetime</f>
        <v>4.051298766252037</v>
      </c>
      <c r="N9" s="34">
        <f>'Water Heater Stock'!M9/Lifetime</f>
        <v>6.0173900309708177</v>
      </c>
      <c r="O9" s="34">
        <f>'Water Heater Stock'!N9/Lifetime</f>
        <v>8.6929316568740447</v>
      </c>
      <c r="P9" s="34">
        <f>'Water Heater Stock'!O9/Lifetime</f>
        <v>12.23340707116761</v>
      </c>
      <c r="Q9" s="34">
        <f>'Water Heater Stock'!P9/Lifetime</f>
        <v>16.794786614444202</v>
      </c>
      <c r="R9" s="34">
        <f>'Water Heater Stock'!Q9/Lifetime</f>
        <v>22.523446964958023</v>
      </c>
      <c r="S9" s="34">
        <f>'Water Heater Stock'!R9/Lifetime</f>
        <v>29.5457664855298</v>
      </c>
      <c r="T9" s="34">
        <f>'Water Heater Stock'!S9/Lifetime</f>
        <v>37.958736830537553</v>
      </c>
      <c r="U9" s="34">
        <f>'Water Heater Stock'!T9/Lifetime</f>
        <v>47.822831094361469</v>
      </c>
      <c r="V9" s="34">
        <f>'Water Heater Stock'!U9/Lifetime</f>
        <v>59.157997899678413</v>
      </c>
      <c r="W9" s="34">
        <f>'Water Heater Stock'!V9/Lifetime</f>
        <v>71.943110130910171</v>
      </c>
    </row>
    <row r="10" spans="1:23">
      <c r="A10" s="9" t="str">
        <f>+'Water Heater Stock'!A10</f>
        <v>Condensing Gas</v>
      </c>
      <c r="B10" s="34">
        <v>0</v>
      </c>
      <c r="C10" s="34">
        <f>'Water Heater Stock'!B10/Lifetime</f>
        <v>0</v>
      </c>
      <c r="D10" s="34">
        <f>'Water Heater Stock'!C10/Lifetime</f>
        <v>5.6644812382006117E-2</v>
      </c>
      <c r="E10" s="34">
        <f>'Water Heater Stock'!D10/Lifetime</f>
        <v>0.16633230792331924</v>
      </c>
      <c r="F10" s="34">
        <f>'Water Heater Stock'!E10/Lifetime</f>
        <v>0.37155759532837684</v>
      </c>
      <c r="G10" s="34">
        <f>'Water Heater Stock'!F10/Lifetime</f>
        <v>0.74044796307193494</v>
      </c>
      <c r="H10" s="34">
        <f>'Water Heater Stock'!G10/Lifetime</f>
        <v>1.3770051900706566</v>
      </c>
      <c r="I10" s="34">
        <f>'Water Heater Stock'!H10/Lifetime</f>
        <v>2.4327585612956537</v>
      </c>
      <c r="J10" s="34">
        <f>'Water Heater Stock'!I10/Lifetime</f>
        <v>4.1187818796364075</v>
      </c>
      <c r="K10" s="34">
        <f>'Water Heater Stock'!J10/Lifetime</f>
        <v>6.7164692095049858</v>
      </c>
      <c r="L10" s="34">
        <f>'Water Heater Stock'!K10/Lifetime</f>
        <v>10.584975322509559</v>
      </c>
      <c r="M10" s="34">
        <f>'Water Heater Stock'!L10/Lifetime</f>
        <v>16.162954544513845</v>
      </c>
      <c r="N10" s="34">
        <f>'Water Heater Stock'!M10/Lifetime</f>
        <v>23.962345069235877</v>
      </c>
      <c r="O10" s="34">
        <f>'Water Heater Stock'!N10/Lifetime</f>
        <v>34.552591592191277</v>
      </c>
      <c r="P10" s="34">
        <f>'Water Heater Stock'!O10/Lifetime</f>
        <v>48.534929698906822</v>
      </c>
      <c r="Q10" s="34">
        <f>'Water Heater Stock'!P10/Lifetime</f>
        <v>66.508051255061005</v>
      </c>
      <c r="R10" s="34">
        <f>'Water Heater Stock'!Q10/Lifetime</f>
        <v>89.028302328807428</v>
      </c>
      <c r="S10" s="34">
        <f>'Water Heater Stock'!R10/Lifetime</f>
        <v>116.56904827288808</v>
      </c>
      <c r="T10" s="34">
        <f>'Water Heater Stock'!S10/Lifetime</f>
        <v>149.48448744215742</v>
      </c>
      <c r="U10" s="34">
        <f>'Water Heater Stock'!T10/Lifetime</f>
        <v>187.98272215901707</v>
      </c>
      <c r="V10" s="34">
        <f>'Water Heater Stock'!U10/Lifetime</f>
        <v>232.11137068745575</v>
      </c>
      <c r="W10" s="34">
        <f>'Water Heater Stock'!V10/Lifetime</f>
        <v>281.75684204028715</v>
      </c>
    </row>
    <row r="12" spans="1:23">
      <c r="A12" s="12" t="s">
        <v>111</v>
      </c>
      <c r="D12" s="12"/>
    </row>
    <row r="13" spans="1:23">
      <c r="A13" s="39" t="str">
        <f>'Device Energy Use'!A4</f>
        <v>Water Heat Ending</v>
      </c>
      <c r="B13" s="40">
        <f>+'Water Heater Stock'!B13</f>
        <v>2014</v>
      </c>
      <c r="C13" s="40">
        <f>+'Water Heater Stock'!C13</f>
        <v>2015</v>
      </c>
      <c r="D13" s="40">
        <f>+'Water Heater Stock'!D13</f>
        <v>2016</v>
      </c>
      <c r="E13" s="40">
        <f>+'Water Heater Stock'!E13</f>
        <v>2017</v>
      </c>
      <c r="F13" s="40">
        <f>+'Water Heater Stock'!F13</f>
        <v>2018</v>
      </c>
      <c r="G13" s="40">
        <f>+'Water Heater Stock'!G13</f>
        <v>2019</v>
      </c>
      <c r="H13" s="40">
        <f>+'Water Heater Stock'!H13</f>
        <v>2020</v>
      </c>
      <c r="I13" s="40">
        <f>+'Water Heater Stock'!I13</f>
        <v>2021</v>
      </c>
      <c r="J13" s="40">
        <f>+'Water Heater Stock'!J13</f>
        <v>2022</v>
      </c>
      <c r="K13" s="40">
        <f>+'Water Heater Stock'!K13</f>
        <v>2023</v>
      </c>
      <c r="L13" s="40">
        <f>+'Water Heater Stock'!L13</f>
        <v>2024</v>
      </c>
      <c r="M13" s="40">
        <f>+'Water Heater Stock'!M13</f>
        <v>2025</v>
      </c>
      <c r="N13" s="40">
        <f>+'Water Heater Stock'!N13</f>
        <v>2026</v>
      </c>
      <c r="O13" s="40">
        <f>+'Water Heater Stock'!O13</f>
        <v>2027</v>
      </c>
      <c r="P13" s="40">
        <f>+'Water Heater Stock'!P13</f>
        <v>2028</v>
      </c>
      <c r="Q13" s="40">
        <f>+'Water Heater Stock'!Q13</f>
        <v>2029</v>
      </c>
      <c r="R13" s="40">
        <f>+'Water Heater Stock'!R13</f>
        <v>2030</v>
      </c>
      <c r="S13" s="40">
        <f>+'Water Heater Stock'!S13</f>
        <v>2031</v>
      </c>
      <c r="T13" s="40">
        <f>+'Water Heater Stock'!T13</f>
        <v>2032</v>
      </c>
      <c r="U13" s="40">
        <f>+'Water Heater Stock'!U13</f>
        <v>2033</v>
      </c>
      <c r="V13" s="40">
        <f>+'Water Heater Stock'!V13</f>
        <v>2034</v>
      </c>
      <c r="W13" s="40">
        <f>+'Water Heater Stock'!W13</f>
        <v>2035</v>
      </c>
    </row>
    <row r="14" spans="1:23" ht="16.5" thickBot="1">
      <c r="A14" s="49" t="s">
        <v>49</v>
      </c>
      <c r="B14" s="50">
        <f t="shared" ref="B14:W14" si="1">SUM(B15:B19)</f>
        <v>0</v>
      </c>
      <c r="C14" s="50">
        <f t="shared" si="1"/>
        <v>7243.9285714285716</v>
      </c>
      <c r="D14" s="50">
        <f t="shared" si="1"/>
        <v>7243.9285714285716</v>
      </c>
      <c r="E14" s="50">
        <f t="shared" si="1"/>
        <v>7243.9285714285725</v>
      </c>
      <c r="F14" s="50">
        <f t="shared" si="1"/>
        <v>7243.9285714285725</v>
      </c>
      <c r="G14" s="50">
        <f t="shared" si="1"/>
        <v>7243.9285714285725</v>
      </c>
      <c r="H14" s="50">
        <f t="shared" si="1"/>
        <v>7243.9285714285716</v>
      </c>
      <c r="I14" s="50">
        <f t="shared" si="1"/>
        <v>7243.9285714285725</v>
      </c>
      <c r="J14" s="50">
        <f t="shared" si="1"/>
        <v>7243.9285714285725</v>
      </c>
      <c r="K14" s="50">
        <f t="shared" si="1"/>
        <v>7243.9285714285716</v>
      </c>
      <c r="L14" s="50">
        <f t="shared" si="1"/>
        <v>7243.9285714285725</v>
      </c>
      <c r="M14" s="50">
        <f t="shared" si="1"/>
        <v>7243.9285714285716</v>
      </c>
      <c r="N14" s="50">
        <f t="shared" si="1"/>
        <v>7243.9285714285725</v>
      </c>
      <c r="O14" s="50">
        <f t="shared" si="1"/>
        <v>7243.9285714285725</v>
      </c>
      <c r="P14" s="50">
        <f t="shared" si="1"/>
        <v>7243.9285714285725</v>
      </c>
      <c r="Q14" s="50">
        <f t="shared" si="1"/>
        <v>7243.9285714285725</v>
      </c>
      <c r="R14" s="50">
        <f t="shared" si="1"/>
        <v>7243.9285714285725</v>
      </c>
      <c r="S14" s="50">
        <f t="shared" si="1"/>
        <v>7243.9285714285725</v>
      </c>
      <c r="T14" s="50">
        <f t="shared" si="1"/>
        <v>7243.9285714285725</v>
      </c>
      <c r="U14" s="50">
        <f t="shared" si="1"/>
        <v>7243.9285714285716</v>
      </c>
      <c r="V14" s="50">
        <f t="shared" si="1"/>
        <v>7243.9285714285706</v>
      </c>
      <c r="W14" s="50">
        <f t="shared" si="1"/>
        <v>7243.9285714285706</v>
      </c>
    </row>
    <row r="15" spans="1:23" ht="16.5" thickTop="1">
      <c r="A15" s="9" t="str">
        <f>+'Water Heater Stock'!A15</f>
        <v>Electric Resistance</v>
      </c>
      <c r="B15" s="34">
        <v>0</v>
      </c>
      <c r="C15" s="34">
        <f>'Water Heater Stock'!B15/Lifetime</f>
        <v>7243.9285714285716</v>
      </c>
      <c r="D15" s="34">
        <f>'Water Heater Stock'!C15/Lifetime</f>
        <v>6726.5051020408164</v>
      </c>
      <c r="E15" s="34">
        <f>'Water Heater Stock'!D15/Lifetime</f>
        <v>6246.0404518950445</v>
      </c>
      <c r="F15" s="34">
        <f>'Water Heater Stock'!E15/Lifetime</f>
        <v>5799.8947053311131</v>
      </c>
      <c r="G15" s="34">
        <f>'Water Heater Stock'!F15/Lifetime</f>
        <v>5385.6165120931764</v>
      </c>
      <c r="H15" s="34">
        <f>'Water Heater Stock'!G15/Lifetime</f>
        <v>5000.9296183722345</v>
      </c>
      <c r="I15" s="34">
        <f>'Water Heater Stock'!H15/Lifetime</f>
        <v>4643.7203599170753</v>
      </c>
      <c r="J15" s="34">
        <f>'Water Heater Stock'!I15/Lifetime</f>
        <v>4312.0260484944274</v>
      </c>
      <c r="K15" s="34">
        <f>'Water Heater Stock'!J15/Lifetime</f>
        <v>4004.0241878876818</v>
      </c>
      <c r="L15" s="34">
        <f>'Water Heater Stock'!K15/Lifetime</f>
        <v>3718.0224601814189</v>
      </c>
      <c r="M15" s="34">
        <f>'Water Heater Stock'!L15/Lifetime</f>
        <v>3452.4494273113173</v>
      </c>
      <c r="N15" s="34">
        <f>'Water Heater Stock'!M15/Lifetime</f>
        <v>3205.8458967890806</v>
      </c>
      <c r="O15" s="34">
        <f>'Water Heater Stock'!N15/Lifetime</f>
        <v>2976.8569041612891</v>
      </c>
      <c r="P15" s="34">
        <f>'Water Heater Stock'!O15/Lifetime</f>
        <v>2764.2242681497687</v>
      </c>
      <c r="Q15" s="34">
        <f>'Water Heater Stock'!P15/Lifetime</f>
        <v>2566.7796775676425</v>
      </c>
      <c r="R15" s="34">
        <f>'Water Heater Stock'!Q15/Lifetime</f>
        <v>2383.4382720270964</v>
      </c>
      <c r="S15" s="34">
        <f>'Water Heater Stock'!R15/Lifetime</f>
        <v>2213.1926811680182</v>
      </c>
      <c r="T15" s="34">
        <f>'Water Heater Stock'!S15/Lifetime</f>
        <v>2055.1074896560172</v>
      </c>
      <c r="U15" s="34">
        <f>'Water Heater Stock'!T15/Lifetime</f>
        <v>1908.3140975377303</v>
      </c>
      <c r="V15" s="34">
        <f>'Water Heater Stock'!U15/Lifetime</f>
        <v>1772.0059477136067</v>
      </c>
      <c r="W15" s="34">
        <f>'Water Heater Stock'!V15/Lifetime</f>
        <v>1645.434094305492</v>
      </c>
    </row>
    <row r="16" spans="1:23">
      <c r="A16" s="9" t="str">
        <f>+'Water Heater Stock'!A16</f>
        <v>HPWH</v>
      </c>
      <c r="B16" s="34">
        <v>0</v>
      </c>
      <c r="C16" s="34">
        <f>'Water Heater Stock'!B16/Lifetime</f>
        <v>0</v>
      </c>
      <c r="D16" s="34">
        <f>'Water Heater Stock'!C16/Lifetime</f>
        <v>0</v>
      </c>
      <c r="E16" s="34">
        <f>'Water Heater Stock'!D16/Lifetime</f>
        <v>0</v>
      </c>
      <c r="F16" s="34">
        <f>'Water Heater Stock'!E16/Lifetime</f>
        <v>0</v>
      </c>
      <c r="G16" s="34">
        <f>'Water Heater Stock'!F16/Lifetime</f>
        <v>0</v>
      </c>
      <c r="H16" s="34">
        <f>'Water Heater Stock'!G16/Lifetime</f>
        <v>0</v>
      </c>
      <c r="I16" s="34">
        <f>'Water Heater Stock'!H16/Lifetime</f>
        <v>0</v>
      </c>
      <c r="J16" s="34">
        <f>'Water Heater Stock'!I16/Lifetime</f>
        <v>0</v>
      </c>
      <c r="K16" s="34">
        <f>'Water Heater Stock'!J16/Lifetime</f>
        <v>0</v>
      </c>
      <c r="L16" s="34">
        <f>'Water Heater Stock'!K16/Lifetime</f>
        <v>0</v>
      </c>
      <c r="M16" s="34">
        <f>'Water Heater Stock'!L16/Lifetime</f>
        <v>0</v>
      </c>
      <c r="N16" s="34">
        <f>'Water Heater Stock'!M16/Lifetime</f>
        <v>0</v>
      </c>
      <c r="O16" s="34">
        <f>'Water Heater Stock'!N16/Lifetime</f>
        <v>0</v>
      </c>
      <c r="P16" s="34">
        <f>'Water Heater Stock'!O16/Lifetime</f>
        <v>0</v>
      </c>
      <c r="Q16" s="34">
        <f>'Water Heater Stock'!P16/Lifetime</f>
        <v>0</v>
      </c>
      <c r="R16" s="34">
        <f>'Water Heater Stock'!Q16/Lifetime</f>
        <v>0</v>
      </c>
      <c r="S16" s="34">
        <f>'Water Heater Stock'!R16/Lifetime</f>
        <v>0</v>
      </c>
      <c r="T16" s="34">
        <f>'Water Heater Stock'!S16/Lifetime</f>
        <v>0</v>
      </c>
      <c r="U16" s="34">
        <f>'Water Heater Stock'!T16/Lifetime</f>
        <v>0</v>
      </c>
      <c r="V16" s="34">
        <f>'Water Heater Stock'!U16/Lifetime</f>
        <v>0</v>
      </c>
      <c r="W16" s="34">
        <f>'Water Heater Stock'!V16/Lifetime</f>
        <v>0</v>
      </c>
    </row>
    <row r="17" spans="1:23">
      <c r="A17" s="9" t="str">
        <f>+'Water Heater Stock'!A17</f>
        <v>Gas Tank</v>
      </c>
      <c r="B17" s="34">
        <v>0</v>
      </c>
      <c r="C17" s="34">
        <f>'Water Heater Stock'!B17/Lifetime</f>
        <v>0</v>
      </c>
      <c r="D17" s="34">
        <f>'Water Heater Stock'!C17/Lifetime</f>
        <v>517.42346938775506</v>
      </c>
      <c r="E17" s="34">
        <f>'Water Heater Stock'!D17/Lifetime</f>
        <v>997.88811953352774</v>
      </c>
      <c r="F17" s="34">
        <f>'Water Heater Stock'!E17/Lifetime</f>
        <v>1444.0338660974594</v>
      </c>
      <c r="G17" s="34">
        <f>'Water Heater Stock'!F17/Lifetime</f>
        <v>1858.312059335396</v>
      </c>
      <c r="H17" s="34">
        <f>'Water Heater Stock'!G17/Lifetime</f>
        <v>2242.9989530563371</v>
      </c>
      <c r="I17" s="34">
        <f>'Water Heater Stock'!H17/Lifetime</f>
        <v>2600.2082115114968</v>
      </c>
      <c r="J17" s="34">
        <f>'Water Heater Stock'!I17/Lifetime</f>
        <v>2931.9025229341451</v>
      </c>
      <c r="K17" s="34">
        <f>'Water Heater Stock'!J17/Lifetime</f>
        <v>3239.9043835408897</v>
      </c>
      <c r="L17" s="34">
        <f>'Water Heater Stock'!K17/Lifetime</f>
        <v>3525.9061112471531</v>
      </c>
      <c r="M17" s="34">
        <f>'Water Heater Stock'!L17/Lifetime</f>
        <v>3791.4791441172542</v>
      </c>
      <c r="N17" s="34">
        <f>'Water Heater Stock'!M17/Lifetime</f>
        <v>4038.0826746394914</v>
      </c>
      <c r="O17" s="34">
        <f>'Water Heater Stock'!N17/Lifetime</f>
        <v>4267.0716672672834</v>
      </c>
      <c r="P17" s="34">
        <f>'Water Heater Stock'!O17/Lifetime</f>
        <v>4479.7043032788033</v>
      </c>
      <c r="Q17" s="34">
        <f>'Water Heater Stock'!P17/Lifetime</f>
        <v>4677.14889386093</v>
      </c>
      <c r="R17" s="34">
        <f>'Water Heater Stock'!Q17/Lifetime</f>
        <v>4860.4902994014756</v>
      </c>
      <c r="S17" s="34">
        <f>'Water Heater Stock'!R17/Lifetime</f>
        <v>5030.7358902605538</v>
      </c>
      <c r="T17" s="34">
        <f>'Water Heater Stock'!S17/Lifetime</f>
        <v>5188.8210817725549</v>
      </c>
      <c r="U17" s="34">
        <f>'Water Heater Stock'!T17/Lifetime</f>
        <v>5335.6144738908415</v>
      </c>
      <c r="V17" s="34">
        <f>'Water Heater Stock'!U17/Lifetime</f>
        <v>5471.9226237149642</v>
      </c>
      <c r="W17" s="34">
        <f>'Water Heater Stock'!V17/Lifetime</f>
        <v>5598.4944771230785</v>
      </c>
    </row>
    <row r="18" spans="1:23">
      <c r="A18" s="9" t="str">
        <f>+'Water Heater Stock'!A18</f>
        <v>Instant Gas</v>
      </c>
      <c r="B18" s="34">
        <v>0</v>
      </c>
      <c r="C18" s="34">
        <f>'Water Heater Stock'!B18/Lifetime</f>
        <v>0</v>
      </c>
      <c r="D18" s="34">
        <f>'Water Heater Stock'!C18/Lifetime</f>
        <v>0</v>
      </c>
      <c r="E18" s="34">
        <f>'Water Heater Stock'!D18/Lifetime</f>
        <v>0</v>
      </c>
      <c r="F18" s="34">
        <f>'Water Heater Stock'!E18/Lifetime</f>
        <v>0</v>
      </c>
      <c r="G18" s="34">
        <f>'Water Heater Stock'!F18/Lifetime</f>
        <v>0</v>
      </c>
      <c r="H18" s="34">
        <f>'Water Heater Stock'!G18/Lifetime</f>
        <v>0</v>
      </c>
      <c r="I18" s="34">
        <f>'Water Heater Stock'!H18/Lifetime</f>
        <v>0</v>
      </c>
      <c r="J18" s="34">
        <f>'Water Heater Stock'!I18/Lifetime</f>
        <v>0</v>
      </c>
      <c r="K18" s="34">
        <f>'Water Heater Stock'!J18/Lifetime</f>
        <v>0</v>
      </c>
      <c r="L18" s="34">
        <f>'Water Heater Stock'!K18/Lifetime</f>
        <v>0</v>
      </c>
      <c r="M18" s="34">
        <f>'Water Heater Stock'!L18/Lifetime</f>
        <v>0</v>
      </c>
      <c r="N18" s="34">
        <f>'Water Heater Stock'!M18/Lifetime</f>
        <v>0</v>
      </c>
      <c r="O18" s="34">
        <f>'Water Heater Stock'!N18/Lifetime</f>
        <v>0</v>
      </c>
      <c r="P18" s="34">
        <f>'Water Heater Stock'!O18/Lifetime</f>
        <v>0</v>
      </c>
      <c r="Q18" s="34">
        <f>'Water Heater Stock'!P18/Lifetime</f>
        <v>0</v>
      </c>
      <c r="R18" s="34">
        <f>'Water Heater Stock'!Q18/Lifetime</f>
        <v>0</v>
      </c>
      <c r="S18" s="34">
        <f>'Water Heater Stock'!R18/Lifetime</f>
        <v>0</v>
      </c>
      <c r="T18" s="34">
        <f>'Water Heater Stock'!S18/Lifetime</f>
        <v>0</v>
      </c>
      <c r="U18" s="34">
        <f>'Water Heater Stock'!T18/Lifetime</f>
        <v>0</v>
      </c>
      <c r="V18" s="34">
        <f>'Water Heater Stock'!U18/Lifetime</f>
        <v>0</v>
      </c>
      <c r="W18" s="34">
        <f>'Water Heater Stock'!V18/Lifetime</f>
        <v>0</v>
      </c>
    </row>
    <row r="19" spans="1:23">
      <c r="A19" s="9" t="str">
        <f>+'Water Heater Stock'!A19</f>
        <v>Condensing Gas</v>
      </c>
      <c r="B19" s="34">
        <v>0</v>
      </c>
      <c r="C19" s="34">
        <f>'Water Heater Stock'!B19/Lifetime</f>
        <v>0</v>
      </c>
      <c r="D19" s="34">
        <f>'Water Heater Stock'!C19/Lifetime</f>
        <v>0</v>
      </c>
      <c r="E19" s="34">
        <f>'Water Heater Stock'!D19/Lifetime</f>
        <v>0</v>
      </c>
      <c r="F19" s="34">
        <f>'Water Heater Stock'!E19/Lifetime</f>
        <v>0</v>
      </c>
      <c r="G19" s="34">
        <f>'Water Heater Stock'!F19/Lifetime</f>
        <v>0</v>
      </c>
      <c r="H19" s="34">
        <f>'Water Heater Stock'!G19/Lifetime</f>
        <v>0</v>
      </c>
      <c r="I19" s="34">
        <f>'Water Heater Stock'!H19/Lifetime</f>
        <v>0</v>
      </c>
      <c r="J19" s="34">
        <f>'Water Heater Stock'!I19/Lifetime</f>
        <v>0</v>
      </c>
      <c r="K19" s="34">
        <f>'Water Heater Stock'!J19/Lifetime</f>
        <v>0</v>
      </c>
      <c r="L19" s="34">
        <f>'Water Heater Stock'!K19/Lifetime</f>
        <v>0</v>
      </c>
      <c r="M19" s="34">
        <f>'Water Heater Stock'!L19/Lifetime</f>
        <v>0</v>
      </c>
      <c r="N19" s="34">
        <f>'Water Heater Stock'!M19/Lifetime</f>
        <v>0</v>
      </c>
      <c r="O19" s="34">
        <f>'Water Heater Stock'!N19/Lifetime</f>
        <v>0</v>
      </c>
      <c r="P19" s="34">
        <f>'Water Heater Stock'!O19/Lifetime</f>
        <v>0</v>
      </c>
      <c r="Q19" s="34">
        <f>'Water Heater Stock'!P19/Lifetime</f>
        <v>0</v>
      </c>
      <c r="R19" s="34">
        <f>'Water Heater Stock'!Q19/Lifetime</f>
        <v>0</v>
      </c>
      <c r="S19" s="34">
        <f>'Water Heater Stock'!R19/Lifetime</f>
        <v>0</v>
      </c>
      <c r="T19" s="34">
        <f>'Water Heater Stock'!S19/Lifetime</f>
        <v>0</v>
      </c>
      <c r="U19" s="34">
        <f>'Water Heater Stock'!T19/Lifetime</f>
        <v>0</v>
      </c>
      <c r="V19" s="34">
        <f>'Water Heater Stock'!U19/Lifetime</f>
        <v>0</v>
      </c>
      <c r="W19" s="34">
        <f>'Water Heater Stock'!V19/Lifetime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W19"/>
  <sheetViews>
    <sheetView workbookViewId="0"/>
  </sheetViews>
  <sheetFormatPr defaultColWidth="9.140625" defaultRowHeight="15.75"/>
  <cols>
    <col min="1" max="1" width="20.7109375" style="9" customWidth="1"/>
    <col min="2" max="13" width="9.7109375" style="9" customWidth="1"/>
    <col min="14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23">
      <c r="A3" s="12" t="s">
        <v>108</v>
      </c>
    </row>
    <row r="4" spans="1:23">
      <c r="A4" s="39" t="str">
        <f>'Device Energy Use'!A4</f>
        <v>Water Heat Ending</v>
      </c>
      <c r="B4" s="40">
        <f>+'Water Heater Stock'!B4</f>
        <v>2014</v>
      </c>
      <c r="C4" s="40">
        <f>+'Water Heater Stock'!C4</f>
        <v>2015</v>
      </c>
      <c r="D4" s="40">
        <f>+'Water Heater Stock'!D4</f>
        <v>2016</v>
      </c>
      <c r="E4" s="40">
        <f>+'Water Heater Stock'!E4</f>
        <v>2017</v>
      </c>
      <c r="F4" s="40">
        <f>+'Water Heater Stock'!F4</f>
        <v>2018</v>
      </c>
      <c r="G4" s="40">
        <f>+'Water Heater Stock'!G4</f>
        <v>2019</v>
      </c>
      <c r="H4" s="40">
        <f>+'Water Heater Stock'!H4</f>
        <v>2020</v>
      </c>
      <c r="I4" s="40">
        <f>+'Water Heater Stock'!I4</f>
        <v>2021</v>
      </c>
      <c r="J4" s="40">
        <f>+'Water Heater Stock'!J4</f>
        <v>2022</v>
      </c>
      <c r="K4" s="40">
        <f>+'Water Heater Stock'!K4</f>
        <v>2023</v>
      </c>
      <c r="L4" s="40">
        <f>+'Water Heater Stock'!L4</f>
        <v>2024</v>
      </c>
      <c r="M4" s="40">
        <f>+'Water Heater Stock'!M4</f>
        <v>2025</v>
      </c>
      <c r="N4" s="40">
        <f>+'Water Heater Stock'!N4</f>
        <v>2026</v>
      </c>
      <c r="O4" s="40">
        <f>+'Water Heater Stock'!O4</f>
        <v>2027</v>
      </c>
      <c r="P4" s="40">
        <f>+'Water Heater Stock'!P4</f>
        <v>2028</v>
      </c>
      <c r="Q4" s="40">
        <f>+'Water Heater Stock'!Q4</f>
        <v>2029</v>
      </c>
      <c r="R4" s="40">
        <f>+'Water Heater Stock'!R4</f>
        <v>2030</v>
      </c>
      <c r="S4" s="40">
        <f>+'Water Heater Stock'!S4</f>
        <v>2031</v>
      </c>
      <c r="T4" s="40">
        <f>+'Water Heater Stock'!T4</f>
        <v>2032</v>
      </c>
      <c r="U4" s="40">
        <f>+'Water Heater Stock'!U4</f>
        <v>2033</v>
      </c>
      <c r="V4" s="40">
        <f>+'Water Heater Stock'!V4</f>
        <v>2034</v>
      </c>
      <c r="W4" s="40">
        <f>+'Water Heater Stock'!W4</f>
        <v>2035</v>
      </c>
    </row>
    <row r="5" spans="1:23" s="29" customFormat="1" ht="16.5" thickBot="1">
      <c r="A5" s="49" t="s">
        <v>49</v>
      </c>
      <c r="B5" s="50">
        <f t="shared" ref="B5:W5" si="0">SUM(B6:B10)</f>
        <v>0</v>
      </c>
      <c r="C5" s="50">
        <f t="shared" ref="C5" si="1">SUM(C6:C10)</f>
        <v>7243.9285714285716</v>
      </c>
      <c r="D5" s="50">
        <f t="shared" si="0"/>
        <v>7243.9285714285706</v>
      </c>
      <c r="E5" s="50">
        <f t="shared" si="0"/>
        <v>7243.9285714285725</v>
      </c>
      <c r="F5" s="50">
        <f t="shared" si="0"/>
        <v>7243.9285714285716</v>
      </c>
      <c r="G5" s="50">
        <f t="shared" si="0"/>
        <v>7243.9285714285725</v>
      </c>
      <c r="H5" s="50">
        <f t="shared" si="0"/>
        <v>7243.9285714285716</v>
      </c>
      <c r="I5" s="50">
        <f t="shared" si="0"/>
        <v>7243.9285714285725</v>
      </c>
      <c r="J5" s="50">
        <f t="shared" si="0"/>
        <v>7243.9285714285716</v>
      </c>
      <c r="K5" s="50">
        <f t="shared" si="0"/>
        <v>7243.9285714285734</v>
      </c>
      <c r="L5" s="50">
        <f t="shared" si="0"/>
        <v>7243.9285714285706</v>
      </c>
      <c r="M5" s="50">
        <f t="shared" si="0"/>
        <v>7243.9285714285706</v>
      </c>
      <c r="N5" s="50">
        <f t="shared" si="0"/>
        <v>7243.9285714285716</v>
      </c>
      <c r="O5" s="50">
        <f t="shared" si="0"/>
        <v>7243.9285714285716</v>
      </c>
      <c r="P5" s="50">
        <f t="shared" si="0"/>
        <v>7243.9285714285725</v>
      </c>
      <c r="Q5" s="50">
        <f t="shared" si="0"/>
        <v>7243.9285714285716</v>
      </c>
      <c r="R5" s="50">
        <f t="shared" si="0"/>
        <v>7243.9285714285706</v>
      </c>
      <c r="S5" s="50">
        <f t="shared" si="0"/>
        <v>7243.9285714285716</v>
      </c>
      <c r="T5" s="50">
        <f t="shared" si="0"/>
        <v>7243.9285714285706</v>
      </c>
      <c r="U5" s="50">
        <f t="shared" si="0"/>
        <v>7243.9285714285716</v>
      </c>
      <c r="V5" s="50">
        <f t="shared" si="0"/>
        <v>7243.9285714285706</v>
      </c>
      <c r="W5" s="50">
        <f t="shared" si="0"/>
        <v>7243.9285714285706</v>
      </c>
    </row>
    <row r="6" spans="1:23" ht="16.5" thickTop="1">
      <c r="A6" s="9" t="str">
        <f>+'Water Heater Stock'!A6</f>
        <v>Electric Resistance</v>
      </c>
      <c r="B6" s="34">
        <v>0</v>
      </c>
      <c r="C6" s="34">
        <f>SUM('Water Heaters Retired'!C$6:C$10)*'Marginal Market Share'!C5</f>
        <v>5283.6962224335912</v>
      </c>
      <c r="D6" s="34">
        <f>SUM('Water Heaters Retired'!D$6:D$10)*'Marginal Market Share'!D5</f>
        <v>5278.0342476062679</v>
      </c>
      <c r="E6" s="34">
        <f>SUM('Water Heaters Retired'!E$6:E$10)*'Marginal Market Share'!E5</f>
        <v>5271.457918654899</v>
      </c>
      <c r="F6" s="34">
        <f>SUM('Water Heaters Retired'!F$6:F$10)*'Marginal Market Share'!F5</f>
        <v>5263.3540673526068</v>
      </c>
      <c r="G6" s="34">
        <f>SUM('Water Heaters Retired'!G$6:G$10)*'Marginal Market Share'!G5</f>
        <v>5252.854495831788</v>
      </c>
      <c r="H6" s="34">
        <f>SUM('Water Heaters Retired'!H$6:H$10)*'Marginal Market Share'!H5</f>
        <v>5238.7927366722179</v>
      </c>
      <c r="I6" s="34">
        <f>SUM('Water Heaters Retired'!I$6:I$10)*'Marginal Market Share'!I5</f>
        <v>5219.6816842607304</v>
      </c>
      <c r="J6" s="34">
        <f>SUM('Water Heaters Retired'!J$6:J$10)*'Marginal Market Share'!J5</f>
        <v>5193.7253166613527</v>
      </c>
      <c r="K6" s="34">
        <f>SUM('Water Heaters Retired'!K$6:K$10)*'Marginal Market Share'!K5</f>
        <v>5158.8768533461443</v>
      </c>
      <c r="L6" s="34">
        <f>SUM('Water Heaters Retired'!L$6:L$10)*'Marginal Market Share'!L5</f>
        <v>5112.9516106183601</v>
      </c>
      <c r="M6" s="34">
        <f>SUM('Water Heaters Retired'!M$6:M$10)*'Marginal Market Share'!M5</f>
        <v>5053.7948947486084</v>
      </c>
      <c r="N6" s="34">
        <f>SUM('Water Heaters Retired'!N$6:N$10)*'Marginal Market Share'!N5</f>
        <v>4979.4938136005221</v>
      </c>
      <c r="O6" s="34">
        <f>SUM('Water Heaters Retired'!O$6:O$10)*'Marginal Market Share'!O5</f>
        <v>4888.6087414059957</v>
      </c>
      <c r="P6" s="34">
        <f>SUM('Water Heaters Retired'!P$6:P$10)*'Marginal Market Share'!P5</f>
        <v>4780.38892235814</v>
      </c>
      <c r="Q6" s="34">
        <f>SUM('Water Heaters Retired'!Q$6:Q$10)*'Marginal Market Share'!Q5</f>
        <v>4654.9318894153193</v>
      </c>
      <c r="R6" s="34">
        <f>SUM('Water Heaters Retired'!R$6:R$10)*'Marginal Market Share'!R5</f>
        <v>4513.2516555554539</v>
      </c>
      <c r="S6" s="34">
        <f>SUM('Water Heaters Retired'!S$6:S$10)*'Marginal Market Share'!S5</f>
        <v>4357.2365460484771</v>
      </c>
      <c r="T6" s="34">
        <f>SUM('Water Heaters Retired'!T$6:T$10)*'Marginal Market Share'!T5</f>
        <v>4189.5003237687733</v>
      </c>
      <c r="U6" s="34">
        <f>SUM('Water Heaters Retired'!U$6:U$10)*'Marginal Market Share'!U5</f>
        <v>4013.1528610757223</v>
      </c>
      <c r="V6" s="34">
        <f>SUM('Water Heaters Retired'!V$6:V$10)*'Marginal Market Share'!V5</f>
        <v>3831.531703332435</v>
      </c>
      <c r="W6" s="34">
        <f>SUM('Water Heaters Retired'!W$6:W$10)*'Marginal Market Share'!W5</f>
        <v>3647.9392033660565</v>
      </c>
    </row>
    <row r="7" spans="1:23">
      <c r="A7" s="9" t="str">
        <f>+'Water Heater Stock'!A7</f>
        <v>HPWH</v>
      </c>
      <c r="B7" s="34">
        <v>0</v>
      </c>
      <c r="C7" s="34">
        <f>SUM('Water Heaters Retired'!C$6:C$10)*'Marginal Market Share'!C6</f>
        <v>0.70528000494062915</v>
      </c>
      <c r="D7" s="34">
        <f>SUM('Water Heaters Retired'!D$6:D$10)*'Marginal Market Share'!D6</f>
        <v>1.4096534646819199</v>
      </c>
      <c r="E7" s="34">
        <f>SUM('Water Heaters Retired'!E$6:E$10)*'Marginal Market Share'!E6</f>
        <v>2.6786725775908362</v>
      </c>
      <c r="F7" s="34">
        <f>SUM('Water Heaters Retired'!F$6:F$10)*'Marginal Market Share'!F6</f>
        <v>4.8567155645690354</v>
      </c>
      <c r="G7" s="34">
        <f>SUM('Water Heaters Retired'!G$6:G$10)*'Marginal Market Share'!G6</f>
        <v>8.4294764252438927</v>
      </c>
      <c r="H7" s="34">
        <f>SUM('Water Heaters Retired'!H$6:H$10)*'Marginal Market Share'!H6</f>
        <v>14.046789964938009</v>
      </c>
      <c r="I7" s="34">
        <f>SUM('Water Heaters Retired'!I$6:I$10)*'Marginal Market Share'!I6</f>
        <v>22.533348969433764</v>
      </c>
      <c r="J7" s="34">
        <f>SUM('Water Heaters Retired'!J$6:J$10)*'Marginal Market Share'!J6</f>
        <v>34.88005377484577</v>
      </c>
      <c r="K7" s="34">
        <f>SUM('Water Heaters Retired'!K$6:K$10)*'Marginal Market Share'!K6</f>
        <v>52.20936078137737</v>
      </c>
      <c r="L7" s="34">
        <f>SUM('Water Heaters Retired'!L$6:L$10)*'Marginal Market Share'!L6</f>
        <v>75.71041330556605</v>
      </c>
      <c r="M7" s="34">
        <f>SUM('Water Heaters Retired'!M$6:M$10)*'Marginal Market Share'!M6</f>
        <v>106.54425587690264</v>
      </c>
      <c r="N7" s="34">
        <f>SUM('Water Heaters Retired'!N$6:N$10)*'Marginal Market Share'!N6</f>
        <v>145.72583390883904</v>
      </c>
      <c r="O7" s="34">
        <f>SUM('Water Heaters Retired'!O$6:O$10)*'Marginal Market Share'!O6</f>
        <v>193.99668792092183</v>
      </c>
      <c r="P7" s="34">
        <f>SUM('Water Heaters Retired'!P$6:P$10)*'Marginal Market Share'!P6</f>
        <v>251.70825162785164</v>
      </c>
      <c r="Q7" s="34">
        <f>SUM('Water Heaters Retired'!Q$6:Q$10)*'Marginal Market Share'!Q6</f>
        <v>318.7379624163317</v>
      </c>
      <c r="R7" s="34">
        <f>SUM('Water Heaters Retired'!R$6:R$10)*'Marginal Market Share'!R6</f>
        <v>394.45705538401597</v>
      </c>
      <c r="S7" s="34">
        <f>SUM('Water Heaters Retired'!S$6:S$10)*'Marginal Market Share'!S6</f>
        <v>477.75977065186987</v>
      </c>
      <c r="T7" s="34">
        <f>SUM('Water Heaters Retired'!T$6:T$10)*'Marginal Market Share'!T6</f>
        <v>567.15096454227466</v>
      </c>
      <c r="U7" s="34">
        <f>SUM('Water Heaters Retired'!U$6:U$10)*'Marginal Market Share'!U6</f>
        <v>660.87674129448862</v>
      </c>
      <c r="V7" s="34">
        <f>SUM('Water Heaters Retired'!V$6:V$10)*'Marginal Market Share'!V6</f>
        <v>757.0747257515751</v>
      </c>
      <c r="W7" s="34">
        <f>SUM('Water Heaters Retired'!W$6:W$10)*'Marginal Market Share'!W6</f>
        <v>853.9192032007154</v>
      </c>
    </row>
    <row r="8" spans="1:23">
      <c r="A8" s="9" t="str">
        <f>+'Water Heater Stock'!A8</f>
        <v>Gas Tank</v>
      </c>
      <c r="B8" s="34">
        <v>0</v>
      </c>
      <c r="C8" s="34">
        <f>SUM('Water Heaters Retired'!C$6:C$10)*'Marginal Market Share'!C7</f>
        <v>1958.5382818199682</v>
      </c>
      <c r="D8" s="34">
        <f>SUM('Water Heaters Retired'!D$6:D$10)*'Marginal Market Share'!D7</f>
        <v>1962.4985780261543</v>
      </c>
      <c r="E8" s="34">
        <f>SUM('Water Heaters Retired'!E$6:E$10)*'Marginal Market Share'!E7</f>
        <v>1965.9992430668531</v>
      </c>
      <c r="F8" s="34">
        <f>SUM('Water Heaters Retired'!F$6:F$10)*'Marginal Market Share'!F7</f>
        <v>1968.8070925080663</v>
      </c>
      <c r="G8" s="34">
        <f>SUM('Water Heaters Retired'!G$6:G$10)*'Marginal Market Share'!G7</f>
        <v>1970.5907586356241</v>
      </c>
      <c r="H8" s="34">
        <f>SUM('Water Heaters Retired'!H$6:H$10)*'Marginal Market Share'!H7</f>
        <v>1970.9031916261115</v>
      </c>
      <c r="I8" s="34">
        <f>SUM('Water Heaters Retired'!I$6:I$10)*'Marginal Market Share'!I7</f>
        <v>1969.1718452046839</v>
      </c>
      <c r="J8" s="34">
        <f>SUM('Water Heaters Retired'!J$6:J$10)*'Marginal Market Share'!J7</f>
        <v>1964.7017176781615</v>
      </c>
      <c r="K8" s="34">
        <f>SUM('Water Heaters Retired'!K$6:K$10)*'Marginal Market Share'!K7</f>
        <v>1956.6961817963788</v>
      </c>
      <c r="L8" s="34">
        <f>SUM('Water Heaters Retired'!L$6:L$10)*'Marginal Market Share'!L7</f>
        <v>1944.2990607049994</v>
      </c>
      <c r="M8" s="34">
        <f>SUM('Water Heaters Retired'!M$6:M$10)*'Marginal Market Share'!M7</f>
        <v>1926.6584224401226</v>
      </c>
      <c r="N8" s="34">
        <f>SUM('Water Heaters Retired'!N$6:N$10)*'Marginal Market Share'!N7</f>
        <v>1903.008154734983</v>
      </c>
      <c r="O8" s="34">
        <f>SUM('Water Heaters Retired'!O$6:O$10)*'Marginal Market Share'!O7</f>
        <v>1872.7582295584618</v>
      </c>
      <c r="P8" s="34">
        <f>SUM('Water Heaters Retired'!P$6:P$10)*'Marginal Market Share'!P7</f>
        <v>1835.5800452804749</v>
      </c>
      <c r="Q8" s="34">
        <f>SUM('Water Heaters Retired'!Q$6:Q$10)*'Marginal Market Share'!Q7</f>
        <v>1791.4711217877723</v>
      </c>
      <c r="R8" s="34">
        <f>SUM('Water Heaters Retired'!R$6:R$10)*'Marginal Market Share'!R7</f>
        <v>1740.7851946902024</v>
      </c>
      <c r="S8" s="34">
        <f>SUM('Water Heaters Retired'!S$6:S$10)*'Marginal Market Share'!S7</f>
        <v>1684.2197067699274</v>
      </c>
      <c r="T8" s="34">
        <f>SUM('Water Heaters Retired'!T$6:T$10)*'Marginal Market Share'!T7</f>
        <v>1622.7614531152578</v>
      </c>
      <c r="U8" s="34">
        <f>SUM('Water Heaters Retired'!U$6:U$10)*'Marginal Market Share'!U7</f>
        <v>1557.6000011324029</v>
      </c>
      <c r="V8" s="34">
        <f>SUM('Water Heaters Retired'!V$6:V$10)*'Marginal Market Share'!V7</f>
        <v>1490.0246035805426</v>
      </c>
      <c r="W8" s="34">
        <f>SUM('Water Heaters Retired'!W$6:W$10)*'Marginal Market Share'!W7</f>
        <v>1421.3219183277536</v>
      </c>
    </row>
    <row r="9" spans="1:23">
      <c r="A9" s="9" t="str">
        <f>+'Water Heater Stock'!A9</f>
        <v>Instant Gas</v>
      </c>
      <c r="B9" s="34">
        <v>0</v>
      </c>
      <c r="C9" s="34">
        <f>SUM('Water Heaters Retired'!C$6:C$10)*'Marginal Market Share'!C8</f>
        <v>0.1957597967225449</v>
      </c>
      <c r="D9" s="34">
        <f>SUM('Water Heaters Retired'!D$6:D$10)*'Marginal Market Share'!D8</f>
        <v>0.39382258150711963</v>
      </c>
      <c r="E9" s="34">
        <f>SUM('Water Heaters Retired'!E$6:E$10)*'Marginal Market Share'!E8</f>
        <v>0.75325079763595804</v>
      </c>
      <c r="F9" s="34">
        <f>SUM('Water Heaters Retired'!F$6:F$10)*'Marginal Market Share'!F8</f>
        <v>1.3746732595908038</v>
      </c>
      <c r="G9" s="34">
        <f>SUM('Water Heaters Retired'!G$6:G$10)*'Marginal Market Share'!G8</f>
        <v>2.4015913948623693</v>
      </c>
      <c r="H9" s="34">
        <f>SUM('Water Heaters Retired'!H$6:H$10)*'Marginal Market Share'!H8</f>
        <v>4.0283007780832252</v>
      </c>
      <c r="I9" s="34">
        <f>SUM('Water Heaters Retired'!I$6:I$10)*'Marginal Market Share'!I8</f>
        <v>6.5046079756576631</v>
      </c>
      <c r="J9" s="34">
        <f>SUM('Water Heaters Retired'!J$6:J$10)*'Marginal Market Share'!J8</f>
        <v>10.135078816415197</v>
      </c>
      <c r="K9" s="34">
        <f>SUM('Water Heaters Retired'!K$6:K$10)*'Marginal Market Share'!K8</f>
        <v>15.270620713102899</v>
      </c>
      <c r="L9" s="34">
        <f>SUM('Water Heaters Retired'!L$6:L$10)*'Marginal Market Share'!L8</f>
        <v>22.29080236907549</v>
      </c>
      <c r="M9" s="34">
        <f>SUM('Water Heaters Retired'!M$6:M$10)*'Marginal Market Share'!M8</f>
        <v>31.576576472314979</v>
      </c>
      <c r="N9" s="34">
        <f>SUM('Water Heaters Retired'!N$6:N$10)*'Marginal Market Share'!N8</f>
        <v>43.47497279361599</v>
      </c>
      <c r="O9" s="34">
        <f>SUM('Water Heaters Retired'!O$6:O$10)*'Marginal Market Share'!O8</f>
        <v>58.259587456983972</v>
      </c>
      <c r="P9" s="34">
        <f>SUM('Water Heaters Retired'!P$6:P$10)*'Marginal Market Share'!P8</f>
        <v>76.092720677039878</v>
      </c>
      <c r="Q9" s="34">
        <f>SUM('Water Heaters Retired'!Q$6:Q$10)*'Marginal Market Share'!Q8</f>
        <v>96.996031521637704</v>
      </c>
      <c r="R9" s="34">
        <f>SUM('Water Heaters Retired'!R$6:R$10)*'Marginal Market Share'!R8</f>
        <v>120.83592025296288</v>
      </c>
      <c r="S9" s="34">
        <f>SUM('Water Heaters Retired'!S$6:S$10)*'Marginal Market Share'!S8</f>
        <v>147.32735131563837</v>
      </c>
      <c r="T9" s="34">
        <f>SUM('Water Heaters Retired'!T$6:T$10)*'Marginal Market Share'!T8</f>
        <v>176.05605652407232</v>
      </c>
      <c r="U9" s="34">
        <f>SUM('Water Heaters Retired'!U$6:U$10)*'Marginal Market Share'!U8</f>
        <v>206.51516636879862</v>
      </c>
      <c r="V9" s="34">
        <f>SUM('Water Heaters Retired'!V$6:V$10)*'Marginal Market Share'!V8</f>
        <v>238.14956913692299</v>
      </c>
      <c r="W9" s="34">
        <f>SUM('Water Heaters Retired'!W$6:W$10)*'Marginal Market Share'!W8</f>
        <v>270.40048091294653</v>
      </c>
    </row>
    <row r="10" spans="1:23">
      <c r="A10" s="9" t="str">
        <f>+'Water Heater Stock'!A10</f>
        <v>Condensing Gas</v>
      </c>
      <c r="B10" s="34">
        <v>0</v>
      </c>
      <c r="C10" s="34">
        <f>SUM('Water Heaters Retired'!C$6:C$10)*'Marginal Market Share'!C9</f>
        <v>0.7930273733480856</v>
      </c>
      <c r="D10" s="34">
        <f>SUM('Water Heaters Retired'!D$6:D$10)*'Marginal Market Share'!D9</f>
        <v>1.5922697499603899</v>
      </c>
      <c r="E10" s="34">
        <f>SUM('Water Heaters Retired'!E$6:E$10)*'Marginal Market Share'!E9</f>
        <v>3.0394863315941252</v>
      </c>
      <c r="F10" s="34">
        <f>SUM('Water Heaters Retired'!F$6:F$10)*'Marginal Market Share'!F9</f>
        <v>5.5360227437381901</v>
      </c>
      <c r="G10" s="34">
        <f>SUM('Water Heaters Retired'!G$6:G$10)*'Marginal Market Share'!G9</f>
        <v>9.6522491410540372</v>
      </c>
      <c r="H10" s="34">
        <f>SUM('Water Heaters Retired'!H$6:H$10)*'Marginal Market Share'!H9</f>
        <v>16.157552387220615</v>
      </c>
      <c r="I10" s="34">
        <f>SUM('Water Heaters Retired'!I$6:I$10)*'Marginal Market Share'!I9</f>
        <v>26.037085018066204</v>
      </c>
      <c r="J10" s="34">
        <f>SUM('Water Heaters Retired'!J$6:J$10)*'Marginal Market Share'!J9</f>
        <v>40.486404497796507</v>
      </c>
      <c r="K10" s="34">
        <f>SUM('Water Heaters Retired'!K$6:K$10)*'Marginal Market Share'!K9</f>
        <v>60.87555479156898</v>
      </c>
      <c r="L10" s="34">
        <f>SUM('Water Heaters Retired'!L$6:L$10)*'Marginal Market Share'!L9</f>
        <v>88.67668443056958</v>
      </c>
      <c r="M10" s="34">
        <f>SUM('Water Heaters Retired'!M$6:M$10)*'Marginal Market Share'!M9</f>
        <v>125.35442189062225</v>
      </c>
      <c r="N10" s="34">
        <f>SUM('Water Heaters Retired'!N$6:N$10)*'Marginal Market Share'!N9</f>
        <v>172.22579639061146</v>
      </c>
      <c r="O10" s="34">
        <f>SUM('Water Heaters Retired'!O$6:O$10)*'Marginal Market Share'!O9</f>
        <v>230.30532508620894</v>
      </c>
      <c r="P10" s="34">
        <f>SUM('Water Heaters Retired'!P$6:P$10)*'Marginal Market Share'!P9</f>
        <v>300.15863148506531</v>
      </c>
      <c r="Q10" s="34">
        <f>SUM('Water Heaters Retired'!Q$6:Q$10)*'Marginal Market Share'!Q9</f>
        <v>381.79156628751093</v>
      </c>
      <c r="R10" s="34">
        <f>SUM('Water Heaters Retired'!R$6:R$10)*'Marginal Market Share'!R9</f>
        <v>474.59874554593671</v>
      </c>
      <c r="S10" s="34">
        <f>SUM('Water Heaters Retired'!S$6:S$10)*'Marginal Market Share'!S9</f>
        <v>577.3851966426588</v>
      </c>
      <c r="T10" s="34">
        <f>SUM('Water Heaters Retired'!T$6:T$10)*'Marginal Market Share'!T9</f>
        <v>688.45977347819235</v>
      </c>
      <c r="U10" s="34">
        <f>SUM('Water Heaters Retired'!U$6:U$10)*'Marginal Market Share'!U9</f>
        <v>805.78380155715877</v>
      </c>
      <c r="V10" s="34">
        <f>SUM('Water Heaters Retired'!V$6:V$10)*'Marginal Market Share'!V9</f>
        <v>927.14796962709534</v>
      </c>
      <c r="W10" s="34">
        <f>SUM('Water Heaters Retired'!W$6:W$10)*'Marginal Market Share'!W9</f>
        <v>1050.3477656210994</v>
      </c>
    </row>
    <row r="11" spans="1:23">
      <c r="D11" s="12"/>
    </row>
    <row r="12" spans="1:23">
      <c r="A12" s="12" t="s">
        <v>109</v>
      </c>
    </row>
    <row r="13" spans="1:23">
      <c r="A13" s="39" t="str">
        <f>'Device Energy Use'!A4</f>
        <v>Water Heat Ending</v>
      </c>
      <c r="B13" s="40">
        <f>+'Water Heater Stock'!B13</f>
        <v>2014</v>
      </c>
      <c r="C13" s="40">
        <f>+'Water Heater Stock'!C13</f>
        <v>2015</v>
      </c>
      <c r="D13" s="40">
        <f>+'Water Heater Stock'!D13</f>
        <v>2016</v>
      </c>
      <c r="E13" s="40">
        <f>+'Water Heater Stock'!E13</f>
        <v>2017</v>
      </c>
      <c r="F13" s="40">
        <f>+'Water Heater Stock'!F13</f>
        <v>2018</v>
      </c>
      <c r="G13" s="40">
        <f>+'Water Heater Stock'!G13</f>
        <v>2019</v>
      </c>
      <c r="H13" s="40">
        <f>+'Water Heater Stock'!H13</f>
        <v>2020</v>
      </c>
      <c r="I13" s="40">
        <f>+'Water Heater Stock'!I13</f>
        <v>2021</v>
      </c>
      <c r="J13" s="40">
        <f>+'Water Heater Stock'!J13</f>
        <v>2022</v>
      </c>
      <c r="K13" s="40">
        <f>+'Water Heater Stock'!K13</f>
        <v>2023</v>
      </c>
      <c r="L13" s="40">
        <f>+'Water Heater Stock'!L13</f>
        <v>2024</v>
      </c>
      <c r="M13" s="40">
        <f>+'Water Heater Stock'!M13</f>
        <v>2025</v>
      </c>
      <c r="N13" s="40">
        <f>+'Water Heater Stock'!N13</f>
        <v>2026</v>
      </c>
      <c r="O13" s="40">
        <f>+'Water Heater Stock'!O13</f>
        <v>2027</v>
      </c>
      <c r="P13" s="40">
        <f>+'Water Heater Stock'!P13</f>
        <v>2028</v>
      </c>
      <c r="Q13" s="40">
        <f>+'Water Heater Stock'!Q13</f>
        <v>2029</v>
      </c>
      <c r="R13" s="40">
        <f>+'Water Heater Stock'!R13</f>
        <v>2030</v>
      </c>
      <c r="S13" s="40">
        <f>+'Water Heater Stock'!S13</f>
        <v>2031</v>
      </c>
      <c r="T13" s="40">
        <f>+'Water Heater Stock'!T13</f>
        <v>2032</v>
      </c>
      <c r="U13" s="40">
        <f>+'Water Heater Stock'!U13</f>
        <v>2033</v>
      </c>
      <c r="V13" s="40">
        <f>+'Water Heater Stock'!V13</f>
        <v>2034</v>
      </c>
      <c r="W13" s="40">
        <f>+'Water Heater Stock'!W13</f>
        <v>2035</v>
      </c>
    </row>
    <row r="14" spans="1:23" ht="16.5" thickBot="1">
      <c r="A14" s="49" t="s">
        <v>49</v>
      </c>
      <c r="B14" s="50">
        <f t="shared" ref="B14:W14" si="2">SUM(B15:B19)</f>
        <v>0</v>
      </c>
      <c r="C14" s="50">
        <f t="shared" ref="C14" si="3">SUM(C15:C19)</f>
        <v>7243.9285714285716</v>
      </c>
      <c r="D14" s="50">
        <f t="shared" si="2"/>
        <v>7243.9285714285716</v>
      </c>
      <c r="E14" s="50">
        <f t="shared" si="2"/>
        <v>7243.9285714285725</v>
      </c>
      <c r="F14" s="50">
        <f t="shared" si="2"/>
        <v>7243.9285714285725</v>
      </c>
      <c r="G14" s="50">
        <f t="shared" si="2"/>
        <v>7243.9285714285725</v>
      </c>
      <c r="H14" s="50">
        <f t="shared" si="2"/>
        <v>7243.9285714285716</v>
      </c>
      <c r="I14" s="50">
        <f t="shared" si="2"/>
        <v>7243.9285714285725</v>
      </c>
      <c r="J14" s="50">
        <f t="shared" si="2"/>
        <v>7243.9285714285725</v>
      </c>
      <c r="K14" s="50">
        <f t="shared" si="2"/>
        <v>7243.9285714285716</v>
      </c>
      <c r="L14" s="50">
        <f t="shared" si="2"/>
        <v>7243.9285714285725</v>
      </c>
      <c r="M14" s="50">
        <f t="shared" si="2"/>
        <v>7243.9285714285716</v>
      </c>
      <c r="N14" s="50">
        <f t="shared" si="2"/>
        <v>7243.9285714285725</v>
      </c>
      <c r="O14" s="50">
        <f t="shared" si="2"/>
        <v>7243.9285714285725</v>
      </c>
      <c r="P14" s="50">
        <f t="shared" si="2"/>
        <v>7243.9285714285725</v>
      </c>
      <c r="Q14" s="50">
        <f t="shared" si="2"/>
        <v>7243.9285714285725</v>
      </c>
      <c r="R14" s="50">
        <f t="shared" si="2"/>
        <v>7243.9285714285725</v>
      </c>
      <c r="S14" s="50">
        <f t="shared" si="2"/>
        <v>7243.9285714285725</v>
      </c>
      <c r="T14" s="50">
        <f t="shared" si="2"/>
        <v>7243.9285714285725</v>
      </c>
      <c r="U14" s="50">
        <f t="shared" si="2"/>
        <v>7243.9285714285716</v>
      </c>
      <c r="V14" s="50">
        <f t="shared" si="2"/>
        <v>7243.9285714285706</v>
      </c>
      <c r="W14" s="50">
        <f t="shared" si="2"/>
        <v>7243.9285714285706</v>
      </c>
    </row>
    <row r="15" spans="1:23" ht="16.5" thickTop="1">
      <c r="A15" s="9" t="str">
        <f>+'Water Heater Stock'!A15</f>
        <v>Electric Resistance</v>
      </c>
      <c r="B15" s="34">
        <v>0</v>
      </c>
      <c r="C15" s="34">
        <f>SUM('Water Heaters Retired'!C$15:C$19)*'Marginal Market Share'!C13</f>
        <v>0</v>
      </c>
      <c r="D15" s="34">
        <f>SUM('Water Heaters Retired'!D$15:D$19)*'Marginal Market Share'!D13</f>
        <v>0</v>
      </c>
      <c r="E15" s="34">
        <f>SUM('Water Heaters Retired'!E$15:E$19)*'Marginal Market Share'!E13</f>
        <v>0</v>
      </c>
      <c r="F15" s="34">
        <f>SUM('Water Heaters Retired'!F$15:F$19)*'Marginal Market Share'!F13</f>
        <v>0</v>
      </c>
      <c r="G15" s="34">
        <f>SUM('Water Heaters Retired'!G$15:G$19)*'Marginal Market Share'!G13</f>
        <v>0</v>
      </c>
      <c r="H15" s="34">
        <f>SUM('Water Heaters Retired'!H$15:H$19)*'Marginal Market Share'!H13</f>
        <v>0</v>
      </c>
      <c r="I15" s="34">
        <f>SUM('Water Heaters Retired'!I$15:I$19)*'Marginal Market Share'!I13</f>
        <v>0</v>
      </c>
      <c r="J15" s="34">
        <f>SUM('Water Heaters Retired'!J$15:J$19)*'Marginal Market Share'!J13</f>
        <v>0</v>
      </c>
      <c r="K15" s="34">
        <f>SUM('Water Heaters Retired'!K$15:K$19)*'Marginal Market Share'!K13</f>
        <v>0</v>
      </c>
      <c r="L15" s="34">
        <f>SUM('Water Heaters Retired'!L$15:L$19)*'Marginal Market Share'!L13</f>
        <v>0</v>
      </c>
      <c r="M15" s="34">
        <f>SUM('Water Heaters Retired'!M$15:M$19)*'Marginal Market Share'!M13</f>
        <v>0</v>
      </c>
      <c r="N15" s="34">
        <f>SUM('Water Heaters Retired'!N$15:N$19)*'Marginal Market Share'!N13</f>
        <v>0</v>
      </c>
      <c r="O15" s="34">
        <f>SUM('Water Heaters Retired'!O$15:O$19)*'Marginal Market Share'!O13</f>
        <v>0</v>
      </c>
      <c r="P15" s="34">
        <f>SUM('Water Heaters Retired'!P$15:P$19)*'Marginal Market Share'!P13</f>
        <v>0</v>
      </c>
      <c r="Q15" s="34">
        <f>SUM('Water Heaters Retired'!Q$15:Q$19)*'Marginal Market Share'!Q13</f>
        <v>0</v>
      </c>
      <c r="R15" s="34">
        <f>SUM('Water Heaters Retired'!R$15:R$19)*'Marginal Market Share'!R13</f>
        <v>0</v>
      </c>
      <c r="S15" s="34">
        <f>SUM('Water Heaters Retired'!S$15:S$19)*'Marginal Market Share'!S13</f>
        <v>0</v>
      </c>
      <c r="T15" s="34">
        <f>SUM('Water Heaters Retired'!T$15:T$19)*'Marginal Market Share'!T13</f>
        <v>0</v>
      </c>
      <c r="U15" s="34">
        <f>SUM('Water Heaters Retired'!U$15:U$19)*'Marginal Market Share'!U13</f>
        <v>0</v>
      </c>
      <c r="V15" s="34">
        <f>SUM('Water Heaters Retired'!V$15:V$19)*'Marginal Market Share'!V13</f>
        <v>0</v>
      </c>
      <c r="W15" s="34">
        <f>SUM('Water Heaters Retired'!W$15:W$19)*'Marginal Market Share'!W13</f>
        <v>0</v>
      </c>
    </row>
    <row r="16" spans="1:23">
      <c r="A16" s="9" t="str">
        <f>+'Water Heater Stock'!A16</f>
        <v>HPWH</v>
      </c>
      <c r="B16" s="34">
        <v>0</v>
      </c>
      <c r="C16" s="34">
        <f>SUM('Water Heaters Retired'!C$15:C$19)*'Marginal Market Share'!C14</f>
        <v>0</v>
      </c>
      <c r="D16" s="34">
        <f>SUM('Water Heaters Retired'!D$15:D$19)*'Marginal Market Share'!D14</f>
        <v>0</v>
      </c>
      <c r="E16" s="34">
        <f>SUM('Water Heaters Retired'!E$15:E$19)*'Marginal Market Share'!E14</f>
        <v>0</v>
      </c>
      <c r="F16" s="34">
        <f>SUM('Water Heaters Retired'!F$15:F$19)*'Marginal Market Share'!F14</f>
        <v>0</v>
      </c>
      <c r="G16" s="34">
        <f>SUM('Water Heaters Retired'!G$15:G$19)*'Marginal Market Share'!G14</f>
        <v>0</v>
      </c>
      <c r="H16" s="34">
        <f>SUM('Water Heaters Retired'!H$15:H$19)*'Marginal Market Share'!H14</f>
        <v>0</v>
      </c>
      <c r="I16" s="34">
        <f>SUM('Water Heaters Retired'!I$15:I$19)*'Marginal Market Share'!I14</f>
        <v>0</v>
      </c>
      <c r="J16" s="34">
        <f>SUM('Water Heaters Retired'!J$15:J$19)*'Marginal Market Share'!J14</f>
        <v>0</v>
      </c>
      <c r="K16" s="34">
        <f>SUM('Water Heaters Retired'!K$15:K$19)*'Marginal Market Share'!K14</f>
        <v>0</v>
      </c>
      <c r="L16" s="34">
        <f>SUM('Water Heaters Retired'!L$15:L$19)*'Marginal Market Share'!L14</f>
        <v>0</v>
      </c>
      <c r="M16" s="34">
        <f>SUM('Water Heaters Retired'!M$15:M$19)*'Marginal Market Share'!M14</f>
        <v>0</v>
      </c>
      <c r="N16" s="34">
        <f>SUM('Water Heaters Retired'!N$15:N$19)*'Marginal Market Share'!N14</f>
        <v>0</v>
      </c>
      <c r="O16" s="34">
        <f>SUM('Water Heaters Retired'!O$15:O$19)*'Marginal Market Share'!O14</f>
        <v>0</v>
      </c>
      <c r="P16" s="34">
        <f>SUM('Water Heaters Retired'!P$15:P$19)*'Marginal Market Share'!P14</f>
        <v>0</v>
      </c>
      <c r="Q16" s="34">
        <f>SUM('Water Heaters Retired'!Q$15:Q$19)*'Marginal Market Share'!Q14</f>
        <v>0</v>
      </c>
      <c r="R16" s="34">
        <f>SUM('Water Heaters Retired'!R$15:R$19)*'Marginal Market Share'!R14</f>
        <v>0</v>
      </c>
      <c r="S16" s="34">
        <f>SUM('Water Heaters Retired'!S$15:S$19)*'Marginal Market Share'!S14</f>
        <v>0</v>
      </c>
      <c r="T16" s="34">
        <f>SUM('Water Heaters Retired'!T$15:T$19)*'Marginal Market Share'!T14</f>
        <v>0</v>
      </c>
      <c r="U16" s="34">
        <f>SUM('Water Heaters Retired'!U$15:U$19)*'Marginal Market Share'!U14</f>
        <v>0</v>
      </c>
      <c r="V16" s="34">
        <f>SUM('Water Heaters Retired'!V$15:V$19)*'Marginal Market Share'!V14</f>
        <v>0</v>
      </c>
      <c r="W16" s="34">
        <f>SUM('Water Heaters Retired'!W$15:W$19)*'Marginal Market Share'!W14</f>
        <v>0</v>
      </c>
    </row>
    <row r="17" spans="1:23">
      <c r="A17" s="9" t="str">
        <f>+'Water Heater Stock'!A17</f>
        <v>Gas Tank</v>
      </c>
      <c r="B17" s="34">
        <v>0</v>
      </c>
      <c r="C17" s="34">
        <f>SUM('Water Heaters Retired'!C$15:C$19)*'Marginal Market Share'!C15</f>
        <v>7243.9285714285716</v>
      </c>
      <c r="D17" s="34">
        <f>SUM('Water Heaters Retired'!D$15:D$19)*'Marginal Market Share'!D15</f>
        <v>7243.9285714285716</v>
      </c>
      <c r="E17" s="34">
        <f>SUM('Water Heaters Retired'!E$15:E$19)*'Marginal Market Share'!E15</f>
        <v>7243.9285714285725</v>
      </c>
      <c r="F17" s="34">
        <f>SUM('Water Heaters Retired'!F$15:F$19)*'Marginal Market Share'!F15</f>
        <v>7243.9285714285725</v>
      </c>
      <c r="G17" s="34">
        <f>SUM('Water Heaters Retired'!G$15:G$19)*'Marginal Market Share'!G15</f>
        <v>7243.9285714285725</v>
      </c>
      <c r="H17" s="34">
        <f>SUM('Water Heaters Retired'!H$15:H$19)*'Marginal Market Share'!H15</f>
        <v>7243.9285714285716</v>
      </c>
      <c r="I17" s="34">
        <f>SUM('Water Heaters Retired'!I$15:I$19)*'Marginal Market Share'!I15</f>
        <v>7243.9285714285725</v>
      </c>
      <c r="J17" s="34">
        <f>SUM('Water Heaters Retired'!J$15:J$19)*'Marginal Market Share'!J15</f>
        <v>7243.9285714285725</v>
      </c>
      <c r="K17" s="34">
        <f>SUM('Water Heaters Retired'!K$15:K$19)*'Marginal Market Share'!K15</f>
        <v>7243.9285714285716</v>
      </c>
      <c r="L17" s="34">
        <f>SUM('Water Heaters Retired'!L$15:L$19)*'Marginal Market Share'!L15</f>
        <v>7243.9285714285725</v>
      </c>
      <c r="M17" s="34">
        <f>SUM('Water Heaters Retired'!M$15:M$19)*'Marginal Market Share'!M15</f>
        <v>7243.9285714285716</v>
      </c>
      <c r="N17" s="34">
        <f>SUM('Water Heaters Retired'!N$15:N$19)*'Marginal Market Share'!N15</f>
        <v>7243.9285714285725</v>
      </c>
      <c r="O17" s="34">
        <f>SUM('Water Heaters Retired'!O$15:O$19)*'Marginal Market Share'!O15</f>
        <v>7243.9285714285725</v>
      </c>
      <c r="P17" s="34">
        <f>SUM('Water Heaters Retired'!P$15:P$19)*'Marginal Market Share'!P15</f>
        <v>7243.9285714285725</v>
      </c>
      <c r="Q17" s="34">
        <f>SUM('Water Heaters Retired'!Q$15:Q$19)*'Marginal Market Share'!Q15</f>
        <v>7243.9285714285725</v>
      </c>
      <c r="R17" s="34">
        <f>SUM('Water Heaters Retired'!R$15:R$19)*'Marginal Market Share'!R15</f>
        <v>7243.9285714285725</v>
      </c>
      <c r="S17" s="34">
        <f>SUM('Water Heaters Retired'!S$15:S$19)*'Marginal Market Share'!S15</f>
        <v>7243.9285714285725</v>
      </c>
      <c r="T17" s="34">
        <f>SUM('Water Heaters Retired'!T$15:T$19)*'Marginal Market Share'!T15</f>
        <v>7243.9285714285725</v>
      </c>
      <c r="U17" s="34">
        <f>SUM('Water Heaters Retired'!U$15:U$19)*'Marginal Market Share'!U15</f>
        <v>7243.9285714285716</v>
      </c>
      <c r="V17" s="34">
        <f>SUM('Water Heaters Retired'!V$15:V$19)*'Marginal Market Share'!V15</f>
        <v>7243.9285714285706</v>
      </c>
      <c r="W17" s="34">
        <f>SUM('Water Heaters Retired'!W$15:W$19)*'Marginal Market Share'!W15</f>
        <v>7243.9285714285706</v>
      </c>
    </row>
    <row r="18" spans="1:23">
      <c r="A18" s="9" t="str">
        <f>+'Water Heater Stock'!A18</f>
        <v>Instant Gas</v>
      </c>
      <c r="B18" s="34">
        <v>0</v>
      </c>
      <c r="C18" s="34">
        <f>SUM('Water Heaters Retired'!C$15:C$19)*'Marginal Market Share'!C16</f>
        <v>0</v>
      </c>
      <c r="D18" s="34">
        <f>SUM('Water Heaters Retired'!D$15:D$19)*'Marginal Market Share'!D16</f>
        <v>0</v>
      </c>
      <c r="E18" s="34">
        <f>SUM('Water Heaters Retired'!E$15:E$19)*'Marginal Market Share'!E16</f>
        <v>0</v>
      </c>
      <c r="F18" s="34">
        <f>SUM('Water Heaters Retired'!F$15:F$19)*'Marginal Market Share'!F16</f>
        <v>0</v>
      </c>
      <c r="G18" s="34">
        <f>SUM('Water Heaters Retired'!G$15:G$19)*'Marginal Market Share'!G16</f>
        <v>0</v>
      </c>
      <c r="H18" s="34">
        <f>SUM('Water Heaters Retired'!H$15:H$19)*'Marginal Market Share'!H16</f>
        <v>0</v>
      </c>
      <c r="I18" s="34">
        <f>SUM('Water Heaters Retired'!I$15:I$19)*'Marginal Market Share'!I16</f>
        <v>0</v>
      </c>
      <c r="J18" s="34">
        <f>SUM('Water Heaters Retired'!J$15:J$19)*'Marginal Market Share'!J16</f>
        <v>0</v>
      </c>
      <c r="K18" s="34">
        <f>SUM('Water Heaters Retired'!K$15:K$19)*'Marginal Market Share'!K16</f>
        <v>0</v>
      </c>
      <c r="L18" s="34">
        <f>SUM('Water Heaters Retired'!L$15:L$19)*'Marginal Market Share'!L16</f>
        <v>0</v>
      </c>
      <c r="M18" s="34">
        <f>SUM('Water Heaters Retired'!M$15:M$19)*'Marginal Market Share'!M16</f>
        <v>0</v>
      </c>
      <c r="N18" s="34">
        <f>SUM('Water Heaters Retired'!N$15:N$19)*'Marginal Market Share'!N16</f>
        <v>0</v>
      </c>
      <c r="O18" s="34">
        <f>SUM('Water Heaters Retired'!O$15:O$19)*'Marginal Market Share'!O16</f>
        <v>0</v>
      </c>
      <c r="P18" s="34">
        <f>SUM('Water Heaters Retired'!P$15:P$19)*'Marginal Market Share'!P16</f>
        <v>0</v>
      </c>
      <c r="Q18" s="34">
        <f>SUM('Water Heaters Retired'!Q$15:Q$19)*'Marginal Market Share'!Q16</f>
        <v>0</v>
      </c>
      <c r="R18" s="34">
        <f>SUM('Water Heaters Retired'!R$15:R$19)*'Marginal Market Share'!R16</f>
        <v>0</v>
      </c>
      <c r="S18" s="34">
        <f>SUM('Water Heaters Retired'!S$15:S$19)*'Marginal Market Share'!S16</f>
        <v>0</v>
      </c>
      <c r="T18" s="34">
        <f>SUM('Water Heaters Retired'!T$15:T$19)*'Marginal Market Share'!T16</f>
        <v>0</v>
      </c>
      <c r="U18" s="34">
        <f>SUM('Water Heaters Retired'!U$15:U$19)*'Marginal Market Share'!U16</f>
        <v>0</v>
      </c>
      <c r="V18" s="34">
        <f>SUM('Water Heaters Retired'!V$15:V$19)*'Marginal Market Share'!V16</f>
        <v>0</v>
      </c>
      <c r="W18" s="34">
        <f>SUM('Water Heaters Retired'!W$15:W$19)*'Marginal Market Share'!W16</f>
        <v>0</v>
      </c>
    </row>
    <row r="19" spans="1:23">
      <c r="A19" s="9" t="str">
        <f>+'Water Heater Stock'!A19</f>
        <v>Condensing Gas</v>
      </c>
      <c r="B19" s="34">
        <v>0</v>
      </c>
      <c r="C19" s="34">
        <f>SUM('Water Heaters Retired'!C$15:C$19)*'Marginal Market Share'!C17</f>
        <v>0</v>
      </c>
      <c r="D19" s="34">
        <f>SUM('Water Heaters Retired'!D$15:D$19)*'Marginal Market Share'!D17</f>
        <v>0</v>
      </c>
      <c r="E19" s="34">
        <f>SUM('Water Heaters Retired'!E$15:E$19)*'Marginal Market Share'!E17</f>
        <v>0</v>
      </c>
      <c r="F19" s="34">
        <f>SUM('Water Heaters Retired'!F$15:F$19)*'Marginal Market Share'!F17</f>
        <v>0</v>
      </c>
      <c r="G19" s="34">
        <f>SUM('Water Heaters Retired'!G$15:G$19)*'Marginal Market Share'!G17</f>
        <v>0</v>
      </c>
      <c r="H19" s="34">
        <f>SUM('Water Heaters Retired'!H$15:H$19)*'Marginal Market Share'!H17</f>
        <v>0</v>
      </c>
      <c r="I19" s="34">
        <f>SUM('Water Heaters Retired'!I$15:I$19)*'Marginal Market Share'!I17</f>
        <v>0</v>
      </c>
      <c r="J19" s="34">
        <f>SUM('Water Heaters Retired'!J$15:J$19)*'Marginal Market Share'!J17</f>
        <v>0</v>
      </c>
      <c r="K19" s="34">
        <f>SUM('Water Heaters Retired'!K$15:K$19)*'Marginal Market Share'!K17</f>
        <v>0</v>
      </c>
      <c r="L19" s="34">
        <f>SUM('Water Heaters Retired'!L$15:L$19)*'Marginal Market Share'!L17</f>
        <v>0</v>
      </c>
      <c r="M19" s="34">
        <f>SUM('Water Heaters Retired'!M$15:M$19)*'Marginal Market Share'!M17</f>
        <v>0</v>
      </c>
      <c r="N19" s="34">
        <f>SUM('Water Heaters Retired'!N$15:N$19)*'Marginal Market Share'!N17</f>
        <v>0</v>
      </c>
      <c r="O19" s="34">
        <f>SUM('Water Heaters Retired'!O$15:O$19)*'Marginal Market Share'!O17</f>
        <v>0</v>
      </c>
      <c r="P19" s="34">
        <f>SUM('Water Heaters Retired'!P$15:P$19)*'Marginal Market Share'!P17</f>
        <v>0</v>
      </c>
      <c r="Q19" s="34">
        <f>SUM('Water Heaters Retired'!Q$15:Q$19)*'Marginal Market Share'!Q17</f>
        <v>0</v>
      </c>
      <c r="R19" s="34">
        <f>SUM('Water Heaters Retired'!R$15:R$19)*'Marginal Market Share'!R17</f>
        <v>0</v>
      </c>
      <c r="S19" s="34">
        <f>SUM('Water Heaters Retired'!S$15:S$19)*'Marginal Market Share'!S17</f>
        <v>0</v>
      </c>
      <c r="T19" s="34">
        <f>SUM('Water Heaters Retired'!T$15:T$19)*'Marginal Market Share'!T17</f>
        <v>0</v>
      </c>
      <c r="U19" s="34">
        <f>SUM('Water Heaters Retired'!U$15:U$19)*'Marginal Market Share'!U17</f>
        <v>0</v>
      </c>
      <c r="V19" s="34">
        <f>SUM('Water Heaters Retired'!V$15:V$19)*'Marginal Market Share'!V17</f>
        <v>0</v>
      </c>
      <c r="W19" s="34">
        <f>SUM('Water Heaters Retired'!W$15:W$19)*'Marginal Market Share'!W17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W17"/>
  <sheetViews>
    <sheetView workbookViewId="0"/>
  </sheetViews>
  <sheetFormatPr defaultColWidth="9.140625" defaultRowHeight="15.75"/>
  <cols>
    <col min="1" max="1" width="20.7109375" style="9" customWidth="1"/>
    <col min="2" max="9" width="9.7109375" style="9" customWidth="1"/>
    <col min="10" max="29" width="8.42578125" style="9" customWidth="1"/>
    <col min="30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23" ht="18" customHeight="1">
      <c r="A3" s="43" t="s">
        <v>114</v>
      </c>
    </row>
    <row r="4" spans="1:23" s="23" customFormat="1">
      <c r="A4" s="41" t="str">
        <f>+'Device Energy Use'!A4</f>
        <v>Water Heat Ending</v>
      </c>
      <c r="B4" s="40">
        <f>'Marginal Allocation Weight'!B4</f>
        <v>2014</v>
      </c>
      <c r="C4" s="40">
        <f>'Marginal Allocation Weight'!C4</f>
        <v>2015</v>
      </c>
      <c r="D4" s="40">
        <f>'Marginal Allocation Weight'!D4</f>
        <v>2016</v>
      </c>
      <c r="E4" s="40">
        <f>'Marginal Allocation Weight'!E4</f>
        <v>2017</v>
      </c>
      <c r="F4" s="40">
        <f>'Marginal Allocation Weight'!F4</f>
        <v>2018</v>
      </c>
      <c r="G4" s="40">
        <f>'Marginal Allocation Weight'!G4</f>
        <v>2019</v>
      </c>
      <c r="H4" s="40">
        <f>'Marginal Allocation Weight'!H4</f>
        <v>2020</v>
      </c>
      <c r="I4" s="40">
        <f>'Marginal Allocation Weight'!I4</f>
        <v>2021</v>
      </c>
      <c r="J4" s="40">
        <f>'Marginal Allocation Weight'!J4</f>
        <v>2022</v>
      </c>
      <c r="K4" s="40">
        <f>'Marginal Allocation Weight'!K4</f>
        <v>2023</v>
      </c>
      <c r="L4" s="40">
        <f>'Marginal Allocation Weight'!L4</f>
        <v>2024</v>
      </c>
      <c r="M4" s="40">
        <f>'Marginal Allocation Weight'!M4</f>
        <v>2025</v>
      </c>
      <c r="N4" s="40">
        <f>'Marginal Allocation Weight'!N4</f>
        <v>2026</v>
      </c>
      <c r="O4" s="40">
        <f>'Marginal Allocation Weight'!O4</f>
        <v>2027</v>
      </c>
      <c r="P4" s="40">
        <f>'Marginal Allocation Weight'!P4</f>
        <v>2028</v>
      </c>
      <c r="Q4" s="40">
        <f>'Marginal Allocation Weight'!Q4</f>
        <v>2029</v>
      </c>
      <c r="R4" s="40">
        <f>'Marginal Allocation Weight'!R4</f>
        <v>2030</v>
      </c>
      <c r="S4" s="40">
        <f>'Marginal Allocation Weight'!S4</f>
        <v>2031</v>
      </c>
      <c r="T4" s="40">
        <f>'Marginal Allocation Weight'!T4</f>
        <v>2032</v>
      </c>
      <c r="U4" s="40">
        <f>'Marginal Allocation Weight'!U4</f>
        <v>2033</v>
      </c>
      <c r="V4" s="40">
        <f>'Marginal Allocation Weight'!V4</f>
        <v>2034</v>
      </c>
      <c r="W4" s="40">
        <f>'Marginal Allocation Weight'!W4</f>
        <v>2035</v>
      </c>
    </row>
    <row r="5" spans="1:23">
      <c r="A5" s="9" t="str">
        <f>+'Device Energy Use'!A5</f>
        <v>Electric Resistance</v>
      </c>
      <c r="B5" s="33">
        <f>'Water Heater Stock'!B6/'Water Heater Stock'!B$5</f>
        <v>1</v>
      </c>
      <c r="C5" s="33">
        <f>'Water Heater Stock'!C6/'Water Heater Stock'!C$5</f>
        <v>0.98067117932263481</v>
      </c>
      <c r="D5" s="33">
        <f>'Water Heater Stock'!D6/'Water Heater Stock'!D$5</f>
        <v>0.96266715893644439</v>
      </c>
      <c r="E5" s="33">
        <f>'Water Heater Stock'!E6/'Water Heater Stock'!E$5</f>
        <v>0.94588429428387022</v>
      </c>
      <c r="F5" s="33">
        <f>'Water Heater Stock'!F6/'Water Heater Stock'!F$5</f>
        <v>0.93022029786050231</v>
      </c>
      <c r="G5" s="33">
        <f>'Water Heater Stock'!G6/'Water Heater Stock'!G$5</f>
        <v>0.91557162756949306</v>
      </c>
      <c r="H5" s="33">
        <f>'Water Heater Stock'!H6/'Water Heater Stock'!H$5</f>
        <v>0.90183063525605034</v>
      </c>
      <c r="I5" s="33">
        <f>'Water Heater Stock'!I6/'Water Heater Stock'!I$5</f>
        <v>0.88888269835263223</v>
      </c>
      <c r="J5" s="33">
        <f>'Water Heater Stock'!J6/'Water Heater Stock'!J$5</f>
        <v>0.87660367198982792</v>
      </c>
      <c r="K5" s="33">
        <f>'Water Heater Stock'!K6/'Water Heater Stock'!K$5</f>
        <v>0.86485809656212809</v>
      </c>
      <c r="L5" s="33">
        <f>'Water Heater Stock'!L6/'Water Heater Stock'!L$5</f>
        <v>0.85349864613271076</v>
      </c>
      <c r="M5" s="33">
        <f>'Water Heater Stock'!M6/'Water Heater Stock'!M$5</f>
        <v>0.84236727174383585</v>
      </c>
      <c r="N5" s="33">
        <f>'Water Heater Stock'!N6/'Water Heater Stock'!N$5</f>
        <v>0.83129835162530319</v>
      </c>
      <c r="O5" s="33">
        <f>'Water Heater Stock'!O6/'Water Heater Stock'!O$5</f>
        <v>0.82012389874048319</v>
      </c>
      <c r="P5" s="33">
        <f>'Water Heater Stock'!P6/'Water Heater Stock'!P$5</f>
        <v>0.80868052231846055</v>
      </c>
      <c r="Q5" s="33">
        <f>'Water Heater Stock'!Q6/'Water Heater Stock'!Q$5</f>
        <v>0.79681746407889875</v>
      </c>
      <c r="R5" s="33">
        <f>'Water Heater Stock'!R6/'Water Heater Stock'!R$5</f>
        <v>0.78440473283895462</v>
      </c>
      <c r="S5" s="33">
        <f>'Water Heater Stock'!S6/'Water Heater Stock'!S$5</f>
        <v>0.77134024228304654</v>
      </c>
      <c r="T5" s="33">
        <f>'Water Heater Stock'!T6/'Water Heater Stock'!T$5</f>
        <v>0.75755497091689727</v>
      </c>
      <c r="U5" s="33">
        <f>'Water Heater Stock'!U6/'Water Heater Stock'!U$5</f>
        <v>0.74301549216940499</v>
      </c>
      <c r="V5" s="33">
        <f>'Water Heater Stock'!V6/'Water Heater Stock'!V$5</f>
        <v>0.72772367686192996</v>
      </c>
      <c r="W5" s="33">
        <f>'Water Heater Stock'!W6/'Water Heater Stock'!W$5</f>
        <v>0.71171382495088009</v>
      </c>
    </row>
    <row r="6" spans="1:23">
      <c r="A6" s="9" t="str">
        <f>+'Device Energy Use'!A6</f>
        <v>HPWH</v>
      </c>
      <c r="B6" s="33">
        <f>'Water Heater Stock'!B7/'Water Heater Stock'!B$5</f>
        <v>0</v>
      </c>
      <c r="C6" s="33">
        <f>'Water Heater Stock'!C7/'Water Heater Stock'!C$5</f>
        <v>6.9543953551311843E-6</v>
      </c>
      <c r="D6" s="33">
        <f>'Water Heater Stock'!D7/'Water Heater Stock'!D$5</f>
        <v>2.0357504574397321E-5</v>
      </c>
      <c r="E6" s="33">
        <f>'Water Heater Stock'!E7/'Water Heater Stock'!E$5</f>
        <v>4.5316379184281167E-5</v>
      </c>
      <c r="F6" s="33">
        <f>'Water Heater Stock'!F7/'Water Heater Stock'!F$5</f>
        <v>8.9969013909344805E-5</v>
      </c>
      <c r="G6" s="33">
        <f>'Water Heater Stock'!G7/'Water Heater Stock'!G$5</f>
        <v>1.666612913322382E-4</v>
      </c>
      <c r="H6" s="33">
        <f>'Water Heater Stock'!H7/'Water Heater Stock'!H$5</f>
        <v>2.9326492466956726E-4</v>
      </c>
      <c r="I6" s="33">
        <f>'Water Heater Stock'!I7/'Water Heater Stock'!I$5</f>
        <v>4.9450693820427157E-4</v>
      </c>
      <c r="J6" s="33">
        <f>'Water Heater Stock'!J7/'Water Heater Stock'!J$5</f>
        <v>8.0311888748611521E-4</v>
      </c>
      <c r="K6" s="33">
        <f>'Water Heater Stock'!K7/'Water Heater Stock'!K$5</f>
        <v>1.260562312285827E-3</v>
      </c>
      <c r="L6" s="33">
        <f>'Water Heater Stock'!L7/'Water Heater Stock'!L$5</f>
        <v>1.9170627309175155E-3</v>
      </c>
      <c r="M6" s="33">
        <f>'Water Heater Stock'!M7/'Water Heater Stock'!M$5</f>
        <v>2.8307065744040639E-3</v>
      </c>
      <c r="N6" s="33">
        <f>'Water Heater Stock'!N7/'Water Heater Stock'!N$5</f>
        <v>4.0654390861349001E-3</v>
      </c>
      <c r="O6" s="33">
        <f>'Water Heater Stock'!O7/'Water Heater Stock'!O$5</f>
        <v>5.6879499333415918E-3</v>
      </c>
      <c r="P6" s="33">
        <f>'Water Heater Stock'!P7/'Water Heater Stock'!P$5</f>
        <v>7.7636305387043412E-3</v>
      </c>
      <c r="Q6" s="33">
        <f>'Water Heater Stock'!Q7/'Water Heater Stock'!Q$5</f>
        <v>1.0351992983500435E-2</v>
      </c>
      <c r="R6" s="33">
        <f>'Water Heater Stock'!R7/'Water Heater Stock'!R$5</f>
        <v>1.3502098565905495E-2</v>
      </c>
      <c r="S6" s="33">
        <f>'Water Heater Stock'!S7/'Water Heater Stock'!S$5</f>
        <v>1.7248600888797202E-2</v>
      </c>
      <c r="T6" s="33">
        <f>'Water Heater Stock'!T7/'Water Heater Stock'!T$5</f>
        <v>2.1608935471913587E-2</v>
      </c>
      <c r="U6" s="33">
        <f>'Water Heater Stock'!U7/'Water Heater Stock'!U$5</f>
        <v>2.658199819667164E-2</v>
      </c>
      <c r="V6" s="33">
        <f>'Water Heater Stock'!V7/'Water Heater Stock'!V$5</f>
        <v>3.2148399907750293E-2</v>
      </c>
      <c r="W6" s="33">
        <f>'Water Heater Stock'!W7/'Water Heater Stock'!W$5</f>
        <v>3.8272133976509866E-2</v>
      </c>
    </row>
    <row r="7" spans="1:23">
      <c r="A7" s="9" t="str">
        <f>+'Device Energy Use'!A7</f>
        <v>Gas Tank</v>
      </c>
      <c r="B7" s="33">
        <f>'Water Heater Stock'!B8/'Water Heater Stock'!B$5</f>
        <v>0</v>
      </c>
      <c r="C7" s="33">
        <f>'Water Heater Stock'!C8/'Water Heater Stock'!C$5</f>
        <v>1.9312116371542357E-2</v>
      </c>
      <c r="D7" s="33">
        <f>'Water Heater Stock'!D8/'Water Heater Stock'!D$5</f>
        <v>3.7283846258320305E-2</v>
      </c>
      <c r="E7" s="33">
        <f>'Water Heater Stock'!E8/'Water Heater Stock'!E$5</f>
        <v>5.4006399370813085E-2</v>
      </c>
      <c r="F7" s="33">
        <f>'Water Heater Stock'!F8/'Water Heater Stock'!F$5</f>
        <v>6.9562171131064054E-2</v>
      </c>
      <c r="G7" s="33">
        <f>'Water Heater Stock'!G8/'Water Heater Stock'!G$5</f>
        <v>8.4024404131001984E-2</v>
      </c>
      <c r="H7" s="33">
        <f>'Water Heater Stock'!H8/'Water Heater Stock'!H$5</f>
        <v>9.7456701225556872E-2</v>
      </c>
      <c r="I7" s="33">
        <f>'Water Heater Stock'!I8/'Water Heater Stock'!I$5</f>
        <v>0.10991247663077006</v>
      </c>
      <c r="J7" s="33">
        <f>'Water Heater Stock'!J8/'Water Heater Stock'!J$5</f>
        <v>0.12143447621521072</v>
      </c>
      <c r="K7" s="33">
        <f>'Water Heater Stock'!K8/'Water Heater Stock'!K$5</f>
        <v>0.13205453744860371</v>
      </c>
      <c r="L7" s="33">
        <f>'Water Heater Stock'!L8/'Water Heater Stock'!L$5</f>
        <v>0.14179378138583468</v>
      </c>
      <c r="M7" s="33">
        <f>'Water Heater Stock'!M8/'Water Heater Stock'!M$5</f>
        <v>0.15066341998178573</v>
      </c>
      <c r="N7" s="33">
        <f>'Water Heater Stock'!N8/'Water Heater Stock'!N$5</f>
        <v>0.15866631010711021</v>
      </c>
      <c r="O7" s="33">
        <f>'Water Heater Stock'!O8/'Water Heater Stock'!O$5</f>
        <v>0.16579928661404134</v>
      </c>
      <c r="P7" s="33">
        <f>'Water Heater Stock'!P8/'Water Heater Stock'!P$5</f>
        <v>0.17205617026887099</v>
      </c>
      <c r="Q7" s="33">
        <f>'Water Heater Stock'!Q8/'Water Heater Stock'!Q$5</f>
        <v>0.1774311987566343</v>
      </c>
      <c r="R7" s="33">
        <f>'Water Heater Stock'!R8/'Water Heater Stock'!R$5</f>
        <v>0.18192250935717855</v>
      </c>
      <c r="S7" s="33">
        <f>'Water Heater Stock'!S8/'Water Heater Stock'!S$5</f>
        <v>0.18553524951841191</v>
      </c>
      <c r="T7" s="33">
        <f>'Water Heater Stock'!T8/'Water Heater Stock'!T$5</f>
        <v>0.1882839292809885</v>
      </c>
      <c r="U7" s="33">
        <f>'Water Heater Stock'!U8/'Water Heater Stock'!U$5</f>
        <v>0.19019375195291094</v>
      </c>
      <c r="V7" s="33">
        <f>'Water Heater Stock'!V8/'Water Heater Stock'!V$5</f>
        <v>0.19130083324957955</v>
      </c>
      <c r="W7" s="33">
        <f>'Water Heater Stock'!W8/'Water Heater Stock'!W$5</f>
        <v>0.19165139624926439</v>
      </c>
    </row>
    <row r="8" spans="1:23">
      <c r="A8" s="9" t="str">
        <f>+'Device Energy Use'!A8</f>
        <v>Instant Gas</v>
      </c>
      <c r="B8" s="33">
        <f>'Water Heater Stock'!B9/'Water Heater Stock'!B$5</f>
        <v>0</v>
      </c>
      <c r="C8" s="33">
        <f>'Water Heater Stock'!C9/'Water Heater Stock'!C$5</f>
        <v>1.9302844423659704E-6</v>
      </c>
      <c r="D8" s="33">
        <f>'Water Heater Stock'!D9/'Water Heater Stock'!D$5</f>
        <v>5.6756844215020024E-6</v>
      </c>
      <c r="E8" s="33">
        <f>'Water Heater Stock'!E9/'Water Heater Stock'!E$5</f>
        <v>1.2697688514512182E-5</v>
      </c>
      <c r="F8" s="33">
        <f>'Water Heater Stock'!F9/'Water Heater Stock'!F$5</f>
        <v>2.5345641095189873E-5</v>
      </c>
      <c r="G8" s="33">
        <f>'Water Heater Stock'!G9/'Water Heater Stock'!G$5</f>
        <v>4.7216068361094803E-5</v>
      </c>
      <c r="H8" s="33">
        <f>'Water Heater Stock'!H9/'Water Heater Stock'!H$5</f>
        <v>8.3564448299484247E-5</v>
      </c>
      <c r="I8" s="33">
        <f>'Water Heater Stock'!I9/'Water Heater Stock'!I$5</f>
        <v>1.4173407883801763E-4</v>
      </c>
      <c r="J8" s="33">
        <f>'Water Heater Stock'!J9/'Water Heater Stock'!J$5</f>
        <v>2.3154690014823181E-4</v>
      </c>
      <c r="K8" s="33">
        <f>'Water Heater Stock'!K9/'Water Heater Stock'!K$5</f>
        <v>3.6558339876770034E-4</v>
      </c>
      <c r="L8" s="33">
        <f>'Water Heater Stock'!L9/'Water Heater Stock'!L$5</f>
        <v>5.5926818249300901E-4</v>
      </c>
      <c r="M8" s="33">
        <f>'Water Heater Stock'!M9/'Water Heater Stock'!M$5</f>
        <v>8.3068047560608824E-4</v>
      </c>
      <c r="N8" s="33">
        <f>'Water Heater Stock'!N9/'Water Heater Stock'!N$5</f>
        <v>1.200030007358247E-3</v>
      </c>
      <c r="O8" s="33">
        <f>'Water Heater Stock'!O9/'Water Heater Stock'!O$5</f>
        <v>1.6887807424576888E-3</v>
      </c>
      <c r="P8" s="33">
        <f>'Water Heater Stock'!P9/'Water Heater Stock'!P$5</f>
        <v>2.3184638623696572E-3</v>
      </c>
      <c r="Q8" s="33">
        <f>'Water Heater Stock'!Q9/'Water Heater Stock'!Q$5</f>
        <v>3.109286175707856E-3</v>
      </c>
      <c r="R8" s="33">
        <f>'Water Heater Stock'!R9/'Water Heater Stock'!R$5</f>
        <v>4.0786937908338719E-3</v>
      </c>
      <c r="S8" s="33">
        <f>'Water Heater Stock'!S9/'Water Heater Stock'!S$5</f>
        <v>5.24007607974684E-3</v>
      </c>
      <c r="T8" s="33">
        <f>'Water Heater Stock'!T9/'Water Heater Stock'!T$5</f>
        <v>6.6017811499389694E-3</v>
      </c>
      <c r="U8" s="33">
        <f>'Water Heater Stock'!U9/'Water Heater Stock'!U$5</f>
        <v>8.1665628417442963E-3</v>
      </c>
      <c r="V8" s="33">
        <f>'Water Heater Stock'!V9/'Water Heater Stock'!V$5</f>
        <v>9.9315046278434377E-3</v>
      </c>
      <c r="W8" s="33">
        <f>'Water Heater Stock'!W9/'Water Heater Stock'!W$5</f>
        <v>1.1888388429865194E-2</v>
      </c>
    </row>
    <row r="9" spans="1:23">
      <c r="A9" s="9" t="str">
        <f>+'Device Energy Use'!A9</f>
        <v>Condensing Gas</v>
      </c>
      <c r="B9" s="33">
        <f>'Water Heater Stock'!B10/'Water Heater Stock'!B$5</f>
        <v>0</v>
      </c>
      <c r="C9" s="33">
        <f>'Water Heater Stock'!C10/'Water Heater Stock'!C$5</f>
        <v>7.8196260252239364E-6</v>
      </c>
      <c r="D9" s="33">
        <f>'Water Heater Stock'!D10/'Water Heater Stock'!D$5</f>
        <v>2.2961616239476107E-5</v>
      </c>
      <c r="E9" s="33">
        <f>'Water Heater Stock'!E10/'Water Heater Stock'!E$5</f>
        <v>5.1292277617682535E-5</v>
      </c>
      <c r="F9" s="33">
        <f>'Water Heater Stock'!F10/'Water Heater Stock'!F$5</f>
        <v>1.0221635342904983E-4</v>
      </c>
      <c r="G9" s="33">
        <f>'Water Heater Stock'!G10/'Water Heater Stock'!G$5</f>
        <v>1.9009093981155835E-4</v>
      </c>
      <c r="H9" s="33">
        <f>'Water Heater Stock'!H10/'Water Heater Stock'!H$5</f>
        <v>3.3583414542364689E-4</v>
      </c>
      <c r="I9" s="33">
        <f>'Water Heater Stock'!I10/'Water Heater Stock'!I$5</f>
        <v>5.6858399955538822E-4</v>
      </c>
      <c r="J9" s="33">
        <f>'Water Heater Stock'!J10/'Water Heater Stock'!J$5</f>
        <v>9.2718600732702059E-4</v>
      </c>
      <c r="K9" s="33">
        <f>'Water Heater Stock'!K10/'Water Heater Stock'!K$5</f>
        <v>1.4612202782146014E-3</v>
      </c>
      <c r="L9" s="33">
        <f>'Water Heater Stock'!L10/'Water Heater Stock'!L$5</f>
        <v>2.231241568044114E-3</v>
      </c>
      <c r="M9" s="33">
        <f>'Water Heater Stock'!M10/'Water Heater Stock'!M$5</f>
        <v>3.3079212243682121E-3</v>
      </c>
      <c r="N9" s="33">
        <f>'Water Heater Stock'!N10/'Water Heater Stock'!N$5</f>
        <v>4.7698691740933573E-3</v>
      </c>
      <c r="O9" s="33">
        <f>'Water Heater Stock'!O10/'Water Heater Stock'!O$5</f>
        <v>6.7000839696760373E-3</v>
      </c>
      <c r="P9" s="33">
        <f>'Water Heater Stock'!P10/'Water Heater Stock'!P$5</f>
        <v>9.1812130115944777E-3</v>
      </c>
      <c r="Q9" s="33">
        <f>'Water Heater Stock'!Q10/'Water Heater Stock'!Q$5</f>
        <v>1.2290058005258628E-2</v>
      </c>
      <c r="R9" s="33">
        <f>'Water Heater Stock'!R10/'Water Heater Stock'!R$5</f>
        <v>1.6091965447127477E-2</v>
      </c>
      <c r="S9" s="33">
        <f>'Water Heater Stock'!S10/'Water Heater Stock'!S$5</f>
        <v>2.0635831229997573E-2</v>
      </c>
      <c r="T9" s="33">
        <f>'Water Heater Stock'!T10/'Water Heater Stock'!T$5</f>
        <v>2.5950383180261685E-2</v>
      </c>
      <c r="U9" s="33">
        <f>'Water Heater Stock'!U10/'Water Heater Stock'!U$5</f>
        <v>3.2042194839268158E-2</v>
      </c>
      <c r="V9" s="33">
        <f>'Water Heater Stock'!V10/'Water Heater Stock'!V$5</f>
        <v>3.8895585352896708E-2</v>
      </c>
      <c r="W9" s="33">
        <f>'Water Heater Stock'!W10/'Water Heater Stock'!W$5</f>
        <v>4.6474256393480573E-2</v>
      </c>
    </row>
    <row r="11" spans="1:23">
      <c r="A11" s="43" t="s">
        <v>115</v>
      </c>
    </row>
    <row r="12" spans="1:23" s="23" customFormat="1">
      <c r="A12" s="41" t="str">
        <f>+'Device Energy Use'!A4</f>
        <v>Water Heat Ending</v>
      </c>
      <c r="B12" s="40">
        <f>'Levelized Costs'!B4</f>
        <v>2014</v>
      </c>
      <c r="C12" s="40">
        <f>'Levelized Costs'!C4</f>
        <v>2015</v>
      </c>
      <c r="D12" s="40">
        <f>'Levelized Costs'!D4</f>
        <v>2016</v>
      </c>
      <c r="E12" s="40">
        <f>'Levelized Costs'!E4</f>
        <v>2017</v>
      </c>
      <c r="F12" s="40">
        <f>'Levelized Costs'!F4</f>
        <v>2018</v>
      </c>
      <c r="G12" s="40">
        <f>'Levelized Costs'!G4</f>
        <v>2019</v>
      </c>
      <c r="H12" s="40">
        <f>'Levelized Costs'!H4</f>
        <v>2020</v>
      </c>
      <c r="I12" s="40">
        <f>'Levelized Costs'!I4</f>
        <v>2021</v>
      </c>
      <c r="J12" s="40">
        <f>'Levelized Costs'!J4</f>
        <v>2022</v>
      </c>
      <c r="K12" s="40">
        <f>'Levelized Costs'!K4</f>
        <v>2023</v>
      </c>
      <c r="L12" s="40">
        <f>'Levelized Costs'!L4</f>
        <v>2024</v>
      </c>
      <c r="M12" s="40">
        <f>'Levelized Costs'!M4</f>
        <v>2025</v>
      </c>
      <c r="N12" s="40">
        <f>'Levelized Costs'!N4</f>
        <v>2026</v>
      </c>
      <c r="O12" s="40">
        <f>'Levelized Costs'!O4</f>
        <v>2027</v>
      </c>
      <c r="P12" s="40">
        <f>'Levelized Costs'!P4</f>
        <v>2028</v>
      </c>
      <c r="Q12" s="40">
        <f>'Levelized Costs'!Q4</f>
        <v>2029</v>
      </c>
      <c r="R12" s="40">
        <f>'Levelized Costs'!R4</f>
        <v>2030</v>
      </c>
      <c r="S12" s="40">
        <f>'Levelized Costs'!S4</f>
        <v>2031</v>
      </c>
      <c r="T12" s="40">
        <f>'Levelized Costs'!T4</f>
        <v>2032</v>
      </c>
      <c r="U12" s="40">
        <f>'Levelized Costs'!U4</f>
        <v>2033</v>
      </c>
      <c r="V12" s="40">
        <f>'Levelized Costs'!V4</f>
        <v>2034</v>
      </c>
      <c r="W12" s="40">
        <f>'Levelized Costs'!W4</f>
        <v>2035</v>
      </c>
    </row>
    <row r="13" spans="1:23">
      <c r="A13" s="9" t="str">
        <f>+'Device Energy Use'!A5</f>
        <v>Electric Resistance</v>
      </c>
      <c r="B13" s="33">
        <f>'Water Heater Stock'!B15/'Water Heater Stock'!B$14</f>
        <v>1</v>
      </c>
      <c r="C13" s="33">
        <f>'Water Heater Stock'!C15/'Water Heater Stock'!C$14</f>
        <v>0.9285714285714286</v>
      </c>
      <c r="D13" s="33">
        <f>'Water Heater Stock'!D15/'Water Heater Stock'!D$14</f>
        <v>0.86224489795918369</v>
      </c>
      <c r="E13" s="33">
        <f>'Water Heater Stock'!E15/'Water Heater Stock'!E$14</f>
        <v>0.80065597667638488</v>
      </c>
      <c r="F13" s="33">
        <f>'Water Heater Stock'!F15/'Water Heater Stock'!F$14</f>
        <v>0.74346626405664307</v>
      </c>
      <c r="G13" s="33">
        <f>'Water Heater Stock'!G15/'Water Heater Stock'!G$14</f>
        <v>0.69036153090974006</v>
      </c>
      <c r="H13" s="33">
        <f>'Water Heater Stock'!H15/'Water Heater Stock'!H$14</f>
        <v>0.64104999298761578</v>
      </c>
      <c r="I13" s="33">
        <f>'Water Heater Stock'!I15/'Water Heater Stock'!I$14</f>
        <v>0.59526070777421469</v>
      </c>
      <c r="J13" s="33">
        <f>'Water Heater Stock'!J15/'Water Heater Stock'!J$14</f>
        <v>0.55274208579034212</v>
      </c>
      <c r="K13" s="33">
        <f>'Water Heater Stock'!K15/'Water Heater Stock'!K$14</f>
        <v>0.51326050823388913</v>
      </c>
      <c r="L13" s="33">
        <f>'Water Heater Stock'!L15/'Water Heater Stock'!L$14</f>
        <v>0.47659904336003989</v>
      </c>
      <c r="M13" s="33">
        <f>'Water Heater Stock'!M15/'Water Heater Stock'!M$14</f>
        <v>0.44255625454860847</v>
      </c>
      <c r="N13" s="33">
        <f>'Water Heater Stock'!N15/'Water Heater Stock'!N$14</f>
        <v>0.41094509350942215</v>
      </c>
      <c r="O13" s="33">
        <f>'Water Heater Stock'!O15/'Water Heater Stock'!O$14</f>
        <v>0.38159187254446342</v>
      </c>
      <c r="P13" s="33">
        <f>'Water Heater Stock'!P15/'Water Heater Stock'!P$14</f>
        <v>0.35433531021985892</v>
      </c>
      <c r="Q13" s="33">
        <f>'Water Heater Stock'!Q15/'Water Heater Stock'!Q$14</f>
        <v>0.32902564520415473</v>
      </c>
      <c r="R13" s="33">
        <f>'Water Heater Stock'!R15/'Water Heater Stock'!R$14</f>
        <v>0.30552381340385798</v>
      </c>
      <c r="S13" s="33">
        <f>'Water Heater Stock'!S15/'Water Heater Stock'!S$14</f>
        <v>0.28370068387501102</v>
      </c>
      <c r="T13" s="33">
        <f>'Water Heater Stock'!T15/'Water Heater Stock'!T$14</f>
        <v>0.2634363493125102</v>
      </c>
      <c r="U13" s="33">
        <f>'Water Heater Stock'!U15/'Water Heater Stock'!U$14</f>
        <v>0.24461946721875949</v>
      </c>
      <c r="V13" s="33">
        <f>'Water Heater Stock'!V15/'Water Heater Stock'!V$14</f>
        <v>0.22714664813170526</v>
      </c>
      <c r="W13" s="33">
        <f>'Water Heater Stock'!W15/'Water Heater Stock'!W$14</f>
        <v>0.21092188755086921</v>
      </c>
    </row>
    <row r="14" spans="1:23">
      <c r="A14" s="9" t="str">
        <f>+'Device Energy Use'!A6</f>
        <v>HPWH</v>
      </c>
      <c r="B14" s="33">
        <f>'Water Heater Stock'!B16/'Water Heater Stock'!B$14</f>
        <v>0</v>
      </c>
      <c r="C14" s="33">
        <f>'Water Heater Stock'!C16/'Water Heater Stock'!C$14</f>
        <v>0</v>
      </c>
      <c r="D14" s="33">
        <f>'Water Heater Stock'!D16/'Water Heater Stock'!D$14</f>
        <v>0</v>
      </c>
      <c r="E14" s="33">
        <f>'Water Heater Stock'!E16/'Water Heater Stock'!E$14</f>
        <v>0</v>
      </c>
      <c r="F14" s="33">
        <f>'Water Heater Stock'!F16/'Water Heater Stock'!F$14</f>
        <v>0</v>
      </c>
      <c r="G14" s="33">
        <f>'Water Heater Stock'!G16/'Water Heater Stock'!G$14</f>
        <v>0</v>
      </c>
      <c r="H14" s="33">
        <f>'Water Heater Stock'!H16/'Water Heater Stock'!H$14</f>
        <v>0</v>
      </c>
      <c r="I14" s="33">
        <f>'Water Heater Stock'!I16/'Water Heater Stock'!I$14</f>
        <v>0</v>
      </c>
      <c r="J14" s="33">
        <f>'Water Heater Stock'!J16/'Water Heater Stock'!J$14</f>
        <v>0</v>
      </c>
      <c r="K14" s="33">
        <f>'Water Heater Stock'!K16/'Water Heater Stock'!K$14</f>
        <v>0</v>
      </c>
      <c r="L14" s="33">
        <f>'Water Heater Stock'!L16/'Water Heater Stock'!L$14</f>
        <v>0</v>
      </c>
      <c r="M14" s="33">
        <f>'Water Heater Stock'!M16/'Water Heater Stock'!M$14</f>
        <v>0</v>
      </c>
      <c r="N14" s="33">
        <f>'Water Heater Stock'!N16/'Water Heater Stock'!N$14</f>
        <v>0</v>
      </c>
      <c r="O14" s="33">
        <f>'Water Heater Stock'!O16/'Water Heater Stock'!O$14</f>
        <v>0</v>
      </c>
      <c r="P14" s="33">
        <f>'Water Heater Stock'!P16/'Water Heater Stock'!P$14</f>
        <v>0</v>
      </c>
      <c r="Q14" s="33">
        <f>'Water Heater Stock'!Q16/'Water Heater Stock'!Q$14</f>
        <v>0</v>
      </c>
      <c r="R14" s="33">
        <f>'Water Heater Stock'!R16/'Water Heater Stock'!R$14</f>
        <v>0</v>
      </c>
      <c r="S14" s="33">
        <f>'Water Heater Stock'!S16/'Water Heater Stock'!S$14</f>
        <v>0</v>
      </c>
      <c r="T14" s="33">
        <f>'Water Heater Stock'!T16/'Water Heater Stock'!T$14</f>
        <v>0</v>
      </c>
      <c r="U14" s="33">
        <f>'Water Heater Stock'!U16/'Water Heater Stock'!U$14</f>
        <v>0</v>
      </c>
      <c r="V14" s="33">
        <f>'Water Heater Stock'!V16/'Water Heater Stock'!V$14</f>
        <v>0</v>
      </c>
      <c r="W14" s="33">
        <f>'Water Heater Stock'!W16/'Water Heater Stock'!W$14</f>
        <v>0</v>
      </c>
    </row>
    <row r="15" spans="1:23">
      <c r="A15" s="9" t="str">
        <f>+'Device Energy Use'!A7</f>
        <v>Gas Tank</v>
      </c>
      <c r="B15" s="33">
        <f>'Water Heater Stock'!B17/'Water Heater Stock'!B$14</f>
        <v>0</v>
      </c>
      <c r="C15" s="33">
        <f>'Water Heater Stock'!C17/'Water Heater Stock'!C$14</f>
        <v>7.1428571428571425E-2</v>
      </c>
      <c r="D15" s="33">
        <f>'Water Heater Stock'!D17/'Water Heater Stock'!D$14</f>
        <v>0.13775510204081631</v>
      </c>
      <c r="E15" s="33">
        <f>'Water Heater Stock'!E17/'Water Heater Stock'!E$14</f>
        <v>0.19934402332361514</v>
      </c>
      <c r="F15" s="33">
        <f>'Water Heater Stock'!F17/'Water Heater Stock'!F$14</f>
        <v>0.25653373594335693</v>
      </c>
      <c r="G15" s="33">
        <f>'Water Heater Stock'!G17/'Water Heater Stock'!G$14</f>
        <v>0.30963846909026005</v>
      </c>
      <c r="H15" s="33">
        <f>'Water Heater Stock'!H17/'Water Heater Stock'!H$14</f>
        <v>0.35895000701238428</v>
      </c>
      <c r="I15" s="33">
        <f>'Water Heater Stock'!I17/'Water Heater Stock'!I$14</f>
        <v>0.40473929222578542</v>
      </c>
      <c r="J15" s="33">
        <f>'Water Heater Stock'!J17/'Water Heater Stock'!J$14</f>
        <v>0.44725791420965794</v>
      </c>
      <c r="K15" s="33">
        <f>'Water Heater Stock'!K17/'Water Heater Stock'!K$14</f>
        <v>0.48673949176611098</v>
      </c>
      <c r="L15" s="33">
        <f>'Water Heater Stock'!L17/'Water Heater Stock'!L$14</f>
        <v>0.52340095663996022</v>
      </c>
      <c r="M15" s="33">
        <f>'Water Heater Stock'!M17/'Water Heater Stock'!M$14</f>
        <v>0.55744374545139164</v>
      </c>
      <c r="N15" s="33">
        <f>'Water Heater Stock'!N17/'Water Heater Stock'!N$14</f>
        <v>0.5890549064905779</v>
      </c>
      <c r="O15" s="33">
        <f>'Water Heater Stock'!O17/'Water Heater Stock'!O$14</f>
        <v>0.61840812745553664</v>
      </c>
      <c r="P15" s="33">
        <f>'Water Heater Stock'!P17/'Water Heater Stock'!P$14</f>
        <v>0.64566468978014113</v>
      </c>
      <c r="Q15" s="33">
        <f>'Water Heater Stock'!Q17/'Water Heater Stock'!Q$14</f>
        <v>0.67097435479584533</v>
      </c>
      <c r="R15" s="33">
        <f>'Water Heater Stock'!R17/'Water Heater Stock'!R$14</f>
        <v>0.69447618659614208</v>
      </c>
      <c r="S15" s="33">
        <f>'Water Heater Stock'!S17/'Water Heater Stock'!S$14</f>
        <v>0.71629931612498909</v>
      </c>
      <c r="T15" s="33">
        <f>'Water Heater Stock'!T17/'Water Heater Stock'!T$14</f>
        <v>0.73656365068748986</v>
      </c>
      <c r="U15" s="33">
        <f>'Water Heater Stock'!U17/'Water Heater Stock'!U$14</f>
        <v>0.7553805327812404</v>
      </c>
      <c r="V15" s="33">
        <f>'Water Heater Stock'!V17/'Water Heater Stock'!V$14</f>
        <v>0.77285335186829474</v>
      </c>
      <c r="W15" s="33">
        <f>'Water Heater Stock'!W17/'Water Heater Stock'!W$14</f>
        <v>0.78907811244913084</v>
      </c>
    </row>
    <row r="16" spans="1:23">
      <c r="A16" s="9" t="str">
        <f>+'Device Energy Use'!A8</f>
        <v>Instant Gas</v>
      </c>
      <c r="B16" s="33">
        <f>'Water Heater Stock'!B18/'Water Heater Stock'!B$14</f>
        <v>0</v>
      </c>
      <c r="C16" s="33">
        <f>'Water Heater Stock'!C18/'Water Heater Stock'!C$14</f>
        <v>0</v>
      </c>
      <c r="D16" s="33">
        <f>'Water Heater Stock'!D18/'Water Heater Stock'!D$14</f>
        <v>0</v>
      </c>
      <c r="E16" s="33">
        <f>'Water Heater Stock'!E18/'Water Heater Stock'!E$14</f>
        <v>0</v>
      </c>
      <c r="F16" s="33">
        <f>'Water Heater Stock'!F18/'Water Heater Stock'!F$14</f>
        <v>0</v>
      </c>
      <c r="G16" s="33">
        <f>'Water Heater Stock'!G18/'Water Heater Stock'!G$14</f>
        <v>0</v>
      </c>
      <c r="H16" s="33">
        <f>'Water Heater Stock'!H18/'Water Heater Stock'!H$14</f>
        <v>0</v>
      </c>
      <c r="I16" s="33">
        <f>'Water Heater Stock'!I18/'Water Heater Stock'!I$14</f>
        <v>0</v>
      </c>
      <c r="J16" s="33">
        <f>'Water Heater Stock'!J18/'Water Heater Stock'!J$14</f>
        <v>0</v>
      </c>
      <c r="K16" s="33">
        <f>'Water Heater Stock'!K18/'Water Heater Stock'!K$14</f>
        <v>0</v>
      </c>
      <c r="L16" s="33">
        <f>'Water Heater Stock'!L18/'Water Heater Stock'!L$14</f>
        <v>0</v>
      </c>
      <c r="M16" s="33">
        <f>'Water Heater Stock'!M18/'Water Heater Stock'!M$14</f>
        <v>0</v>
      </c>
      <c r="N16" s="33">
        <f>'Water Heater Stock'!N18/'Water Heater Stock'!N$14</f>
        <v>0</v>
      </c>
      <c r="O16" s="33">
        <f>'Water Heater Stock'!O18/'Water Heater Stock'!O$14</f>
        <v>0</v>
      </c>
      <c r="P16" s="33">
        <f>'Water Heater Stock'!P18/'Water Heater Stock'!P$14</f>
        <v>0</v>
      </c>
      <c r="Q16" s="33">
        <f>'Water Heater Stock'!Q18/'Water Heater Stock'!Q$14</f>
        <v>0</v>
      </c>
      <c r="R16" s="33">
        <f>'Water Heater Stock'!R18/'Water Heater Stock'!R$14</f>
        <v>0</v>
      </c>
      <c r="S16" s="33">
        <f>'Water Heater Stock'!S18/'Water Heater Stock'!S$14</f>
        <v>0</v>
      </c>
      <c r="T16" s="33">
        <f>'Water Heater Stock'!T18/'Water Heater Stock'!T$14</f>
        <v>0</v>
      </c>
      <c r="U16" s="33">
        <f>'Water Heater Stock'!U18/'Water Heater Stock'!U$14</f>
        <v>0</v>
      </c>
      <c r="V16" s="33">
        <f>'Water Heater Stock'!V18/'Water Heater Stock'!V$14</f>
        <v>0</v>
      </c>
      <c r="W16" s="33">
        <f>'Water Heater Stock'!W18/'Water Heater Stock'!W$14</f>
        <v>0</v>
      </c>
    </row>
    <row r="17" spans="1:23">
      <c r="A17" s="9" t="str">
        <f>+'Device Energy Use'!A9</f>
        <v>Condensing Gas</v>
      </c>
      <c r="B17" s="33">
        <f>'Water Heater Stock'!B19/'Water Heater Stock'!B$14</f>
        <v>0</v>
      </c>
      <c r="C17" s="33">
        <f>'Water Heater Stock'!C19/'Water Heater Stock'!C$14</f>
        <v>0</v>
      </c>
      <c r="D17" s="33">
        <f>'Water Heater Stock'!D19/'Water Heater Stock'!D$14</f>
        <v>0</v>
      </c>
      <c r="E17" s="33">
        <f>'Water Heater Stock'!E19/'Water Heater Stock'!E$14</f>
        <v>0</v>
      </c>
      <c r="F17" s="33">
        <f>'Water Heater Stock'!F19/'Water Heater Stock'!F$14</f>
        <v>0</v>
      </c>
      <c r="G17" s="33">
        <f>'Water Heater Stock'!G19/'Water Heater Stock'!G$14</f>
        <v>0</v>
      </c>
      <c r="H17" s="33">
        <f>'Water Heater Stock'!H19/'Water Heater Stock'!H$14</f>
        <v>0</v>
      </c>
      <c r="I17" s="33">
        <f>'Water Heater Stock'!I19/'Water Heater Stock'!I$14</f>
        <v>0</v>
      </c>
      <c r="J17" s="33">
        <f>'Water Heater Stock'!J19/'Water Heater Stock'!J$14</f>
        <v>0</v>
      </c>
      <c r="K17" s="33">
        <f>'Water Heater Stock'!K19/'Water Heater Stock'!K$14</f>
        <v>0</v>
      </c>
      <c r="L17" s="33">
        <f>'Water Heater Stock'!L19/'Water Heater Stock'!L$14</f>
        <v>0</v>
      </c>
      <c r="M17" s="33">
        <f>'Water Heater Stock'!M19/'Water Heater Stock'!M$14</f>
        <v>0</v>
      </c>
      <c r="N17" s="33">
        <f>'Water Heater Stock'!N19/'Water Heater Stock'!N$14</f>
        <v>0</v>
      </c>
      <c r="O17" s="33">
        <f>'Water Heater Stock'!O19/'Water Heater Stock'!O$14</f>
        <v>0</v>
      </c>
      <c r="P17" s="33">
        <f>'Water Heater Stock'!P19/'Water Heater Stock'!P$14</f>
        <v>0</v>
      </c>
      <c r="Q17" s="33">
        <f>'Water Heater Stock'!Q19/'Water Heater Stock'!Q$14</f>
        <v>0</v>
      </c>
      <c r="R17" s="33">
        <f>'Water Heater Stock'!R19/'Water Heater Stock'!R$14</f>
        <v>0</v>
      </c>
      <c r="S17" s="33">
        <f>'Water Heater Stock'!S19/'Water Heater Stock'!S$14</f>
        <v>0</v>
      </c>
      <c r="T17" s="33">
        <f>'Water Heater Stock'!T19/'Water Heater Stock'!T$14</f>
        <v>0</v>
      </c>
      <c r="U17" s="33">
        <f>'Water Heater Stock'!U19/'Water Heater Stock'!U$14</f>
        <v>0</v>
      </c>
      <c r="V17" s="33">
        <f>'Water Heater Stock'!V19/'Water Heater Stock'!V$14</f>
        <v>0</v>
      </c>
      <c r="W17" s="33">
        <f>'Water Heater Stock'!W19/'Water Heater Stock'!W$14</f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W17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29" width="8.42578125" style="9" customWidth="1"/>
    <col min="30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23" ht="18" customHeight="1">
      <c r="A3" s="43" t="s">
        <v>95</v>
      </c>
    </row>
    <row r="4" spans="1:23" s="23" customFormat="1">
      <c r="A4" s="41" t="str">
        <f>+'Device Energy Use'!A4</f>
        <v>Water Heat Ending</v>
      </c>
      <c r="B4" s="40">
        <f>'Marginal Allocation Weight'!B4</f>
        <v>2014</v>
      </c>
      <c r="C4" s="40">
        <f>'Marginal Allocation Weight'!C4</f>
        <v>2015</v>
      </c>
      <c r="D4" s="40">
        <f>'Marginal Allocation Weight'!D4</f>
        <v>2016</v>
      </c>
      <c r="E4" s="40">
        <f>'Marginal Allocation Weight'!E4</f>
        <v>2017</v>
      </c>
      <c r="F4" s="40">
        <f>'Marginal Allocation Weight'!F4</f>
        <v>2018</v>
      </c>
      <c r="G4" s="40">
        <f>'Marginal Allocation Weight'!G4</f>
        <v>2019</v>
      </c>
      <c r="H4" s="40">
        <f>'Marginal Allocation Weight'!H4</f>
        <v>2020</v>
      </c>
      <c r="I4" s="40">
        <f>'Marginal Allocation Weight'!I4</f>
        <v>2021</v>
      </c>
      <c r="J4" s="40">
        <f>'Marginal Allocation Weight'!J4</f>
        <v>2022</v>
      </c>
      <c r="K4" s="40">
        <f>'Marginal Allocation Weight'!K4</f>
        <v>2023</v>
      </c>
      <c r="L4" s="40">
        <f>'Marginal Allocation Weight'!L4</f>
        <v>2024</v>
      </c>
      <c r="M4" s="40">
        <f>'Marginal Allocation Weight'!M4</f>
        <v>2025</v>
      </c>
      <c r="N4" s="40">
        <f>'Marginal Allocation Weight'!N4</f>
        <v>2026</v>
      </c>
      <c r="O4" s="40">
        <f>'Marginal Allocation Weight'!O4</f>
        <v>2027</v>
      </c>
      <c r="P4" s="40">
        <f>'Marginal Allocation Weight'!P4</f>
        <v>2028</v>
      </c>
      <c r="Q4" s="40">
        <f>'Marginal Allocation Weight'!Q4</f>
        <v>2029</v>
      </c>
      <c r="R4" s="40">
        <f>'Marginal Allocation Weight'!R4</f>
        <v>2030</v>
      </c>
      <c r="S4" s="40">
        <f>'Marginal Allocation Weight'!S4</f>
        <v>2031</v>
      </c>
      <c r="T4" s="40">
        <f>'Marginal Allocation Weight'!T4</f>
        <v>2032</v>
      </c>
      <c r="U4" s="40">
        <f>'Marginal Allocation Weight'!U4</f>
        <v>2033</v>
      </c>
      <c r="V4" s="40">
        <f>'Marginal Allocation Weight'!V4</f>
        <v>2034</v>
      </c>
      <c r="W4" s="40">
        <f>'Marginal Allocation Weight'!W4</f>
        <v>2035</v>
      </c>
    </row>
    <row r="5" spans="1:23">
      <c r="A5" s="9" t="str">
        <f>+'Device Energy Use'!A5</f>
        <v>Electric Resistance</v>
      </c>
      <c r="B5" s="33">
        <f>'Marginal Allocation Weight'!B5/'Total Allocation Weight'!B5</f>
        <v>0.9999832177739062</v>
      </c>
      <c r="C5" s="33">
        <f>'Marginal Allocation Weight'!C5/'Total Allocation Weight'!C5</f>
        <v>0.72939651051688881</v>
      </c>
      <c r="D5" s="33">
        <f>'Marginal Allocation Weight'!D5/'Total Allocation Weight'!D5</f>
        <v>0.72861489391596657</v>
      </c>
      <c r="E5" s="33">
        <f>'Marginal Allocation Weight'!E5/'Total Allocation Weight'!E5</f>
        <v>0.7277070538004099</v>
      </c>
      <c r="F5" s="33">
        <f>'Marginal Allocation Weight'!F5/'Total Allocation Weight'!F5</f>
        <v>0.72658834435671737</v>
      </c>
      <c r="G5" s="33">
        <f>'Marginal Allocation Weight'!G5/'Total Allocation Weight'!G5</f>
        <v>0.72513891378637307</v>
      </c>
      <c r="H5" s="33">
        <f>'Marginal Allocation Weight'!H5/'Total Allocation Weight'!H5</f>
        <v>0.72319773518129515</v>
      </c>
      <c r="I5" s="33">
        <f>'Marginal Allocation Weight'!I5/'Total Allocation Weight'!I5</f>
        <v>0.72055951860819623</v>
      </c>
      <c r="J5" s="33">
        <f>'Marginal Allocation Weight'!J5/'Total Allocation Weight'!J5</f>
        <v>0.71697632927337107</v>
      </c>
      <c r="K5" s="33">
        <f>'Marginal Allocation Weight'!K5/'Total Allocation Weight'!K5</f>
        <v>0.71216561600203132</v>
      </c>
      <c r="L5" s="33">
        <f>'Marginal Allocation Weight'!L5/'Total Allocation Weight'!L5</f>
        <v>0.70582579055028394</v>
      </c>
      <c r="M5" s="33">
        <f>'Marginal Allocation Weight'!M5/'Total Allocation Weight'!M5</f>
        <v>0.69765940468846344</v>
      </c>
      <c r="N5" s="33">
        <f>'Marginal Allocation Weight'!N5/'Total Allocation Weight'!N5</f>
        <v>0.68740239008437898</v>
      </c>
      <c r="O5" s="33">
        <f>'Marginal Allocation Weight'!O5/'Total Allocation Weight'!O5</f>
        <v>0.67485601123782413</v>
      </c>
      <c r="P5" s="33">
        <f>'Marginal Allocation Weight'!P5/'Total Allocation Weight'!P5</f>
        <v>0.6599166288321644</v>
      </c>
      <c r="Q5" s="33">
        <f>'Marginal Allocation Weight'!Q5/'Total Allocation Weight'!Q5</f>
        <v>0.64259770696459562</v>
      </c>
      <c r="R5" s="33">
        <f>'Marginal Allocation Weight'!R5/'Total Allocation Weight'!R5</f>
        <v>0.62303922671968004</v>
      </c>
      <c r="S5" s="33">
        <f>'Marginal Allocation Weight'!S5/'Total Allocation Weight'!S5</f>
        <v>0.60150186505624093</v>
      </c>
      <c r="T5" s="33">
        <f>'Marginal Allocation Weight'!T5/'Total Allocation Weight'!T5</f>
        <v>0.57834644315695727</v>
      </c>
      <c r="U5" s="33">
        <f>'Marginal Allocation Weight'!U5/'Total Allocation Weight'!U5</f>
        <v>0.55400226845200529</v>
      </c>
      <c r="V5" s="33">
        <f>'Marginal Allocation Weight'!V5/'Total Allocation Weight'!V5</f>
        <v>0.52893007786475466</v>
      </c>
      <c r="W5" s="33">
        <f>'Marginal Allocation Weight'!W5/'Total Allocation Weight'!W5</f>
        <v>0.50358575010723061</v>
      </c>
    </row>
    <row r="6" spans="1:23">
      <c r="A6" s="9" t="str">
        <f>+'Device Energy Use'!A6</f>
        <v>HPWH</v>
      </c>
      <c r="B6" s="33">
        <f>'Marginal Allocation Weight'!B6/'Total Allocation Weight'!B6</f>
        <v>2.8684626633871302E-9</v>
      </c>
      <c r="C6" s="33">
        <f>'Marginal Allocation Weight'!C6/'Total Allocation Weight'!C6</f>
        <v>9.7361534971836597E-5</v>
      </c>
      <c r="D6" s="33">
        <f>'Marginal Allocation Weight'!D6/'Total Allocation Weight'!D6</f>
        <v>1.9459792442485705E-4</v>
      </c>
      <c r="E6" s="33">
        <f>'Marginal Allocation Weight'!E6/'Total Allocation Weight'!E6</f>
        <v>3.6978174911277129E-4</v>
      </c>
      <c r="F6" s="33">
        <f>'Marginal Allocation Weight'!F6/'Total Allocation Weight'!F6</f>
        <v>6.7045326533517224E-4</v>
      </c>
      <c r="G6" s="33">
        <f>'Marginal Allocation Weight'!G6/'Total Allocation Weight'!G6</f>
        <v>1.1636608978298525E-3</v>
      </c>
      <c r="H6" s="33">
        <f>'Marginal Allocation Weight'!H6/'Total Allocation Weight'!H6</f>
        <v>1.9391121580548453E-3</v>
      </c>
      <c r="I6" s="33">
        <f>'Marginal Allocation Weight'!I6/'Total Allocation Weight'!I6</f>
        <v>3.1106531141554274E-3</v>
      </c>
      <c r="J6" s="33">
        <f>'Marginal Allocation Weight'!J6/'Total Allocation Weight'!J6</f>
        <v>4.8150742281500829E-3</v>
      </c>
      <c r="K6" s="33">
        <f>'Marginal Allocation Weight'!K6/'Total Allocation Weight'!K6</f>
        <v>7.2073268346820795E-3</v>
      </c>
      <c r="L6" s="33">
        <f>'Marginal Allocation Weight'!L6/'Total Allocation Weight'!L6</f>
        <v>1.0451568173129465E-2</v>
      </c>
      <c r="M6" s="33">
        <f>'Marginal Allocation Weight'!M6/'Total Allocation Weight'!M6</f>
        <v>1.4708076539729201E-2</v>
      </c>
      <c r="N6" s="33">
        <f>'Marginal Allocation Weight'!N6/'Total Allocation Weight'!N6</f>
        <v>2.0116961738635766E-2</v>
      </c>
      <c r="O6" s="33">
        <f>'Marginal Allocation Weight'!O6/'Total Allocation Weight'!O6</f>
        <v>2.6780590947028598E-2</v>
      </c>
      <c r="P6" s="33">
        <f>'Marginal Allocation Weight'!P6/'Total Allocation Weight'!P6</f>
        <v>3.4747478408420081E-2</v>
      </c>
      <c r="Q6" s="33">
        <f>'Marginal Allocation Weight'!Q6/'Total Allocation Weight'!Q6</f>
        <v>4.4000704765849656E-2</v>
      </c>
      <c r="R6" s="33">
        <f>'Marginal Allocation Weight'!R6/'Total Allocation Weight'!R6</f>
        <v>5.4453471137171264E-2</v>
      </c>
      <c r="S6" s="33">
        <f>'Marginal Allocation Weight'!S6/'Total Allocation Weight'!S6</f>
        <v>6.5953131086389366E-2</v>
      </c>
      <c r="T6" s="33">
        <f>'Marginal Allocation Weight'!T6/'Total Allocation Weight'!T6</f>
        <v>7.8293285052426623E-2</v>
      </c>
      <c r="U6" s="33">
        <f>'Marginal Allocation Weight'!U6/'Total Allocation Weight'!U6</f>
        <v>9.1231813618526267E-2</v>
      </c>
      <c r="V6" s="33">
        <f>'Marginal Allocation Weight'!V6/'Total Allocation Weight'!V6</f>
        <v>0.10451162215177294</v>
      </c>
      <c r="W6" s="33">
        <f>'Marginal Allocation Weight'!W6/'Total Allocation Weight'!W6</f>
        <v>0.11788067687038421</v>
      </c>
    </row>
    <row r="7" spans="1:23">
      <c r="A7" s="9" t="str">
        <f>+'Device Energy Use'!A7</f>
        <v>Gas Tank</v>
      </c>
      <c r="B7" s="33">
        <f>'Marginal Allocation Weight'!B7/'Total Allocation Weight'!B7</f>
        <v>1.6775355925808853E-5</v>
      </c>
      <c r="C7" s="33">
        <f>'Marginal Allocation Weight'!C7/'Total Allocation Weight'!C7</f>
        <v>0.27036962920159302</v>
      </c>
      <c r="D7" s="33">
        <f>'Marginal Allocation Weight'!D7/'Total Allocation Weight'!D7</f>
        <v>0.27091633478643357</v>
      </c>
      <c r="E7" s="33">
        <f>'Marginal Allocation Weight'!E7/'Total Allocation Weight'!E7</f>
        <v>0.27139958983321932</v>
      </c>
      <c r="F7" s="33">
        <f>'Marginal Allocation Weight'!F7/'Total Allocation Weight'!F7</f>
        <v>0.27178720401432654</v>
      </c>
      <c r="G7" s="33">
        <f>'Marginal Allocation Weight'!G7/'Total Allocation Weight'!G7</f>
        <v>0.27203343313019507</v>
      </c>
      <c r="H7" s="33">
        <f>'Marginal Allocation Weight'!H7/'Total Allocation Weight'!H7</f>
        <v>0.2720765634547706</v>
      </c>
      <c r="I7" s="33">
        <f>'Marginal Allocation Weight'!I7/'Total Allocation Weight'!I7</f>
        <v>0.27183755689854139</v>
      </c>
      <c r="J7" s="33">
        <f>'Marginal Allocation Weight'!J7/'Total Allocation Weight'!J7</f>
        <v>0.27122047081293948</v>
      </c>
      <c r="K7" s="33">
        <f>'Marginal Allocation Weight'!K7/'Total Allocation Weight'!K7</f>
        <v>0.27011533348271261</v>
      </c>
      <c r="L7" s="33">
        <f>'Marginal Allocation Weight'!L7/'Total Allocation Weight'!L7</f>
        <v>0.26840395256983673</v>
      </c>
      <c r="M7" s="33">
        <f>'Marginal Allocation Weight'!M7/'Total Allocation Weight'!M7</f>
        <v>0.2659687217291497</v>
      </c>
      <c r="N7" s="33">
        <f>'Marginal Allocation Weight'!N7/'Total Allocation Weight'!N7</f>
        <v>0.26270388173632853</v>
      </c>
      <c r="O7" s="33">
        <f>'Marginal Allocation Weight'!O7/'Total Allocation Weight'!O7</f>
        <v>0.25852798120414594</v>
      </c>
      <c r="P7" s="33">
        <f>'Marginal Allocation Weight'!P7/'Total Allocation Weight'!P7</f>
        <v>0.25339565778165601</v>
      </c>
      <c r="Q7" s="33">
        <f>'Marginal Allocation Weight'!Q7/'Total Allocation Weight'!Q7</f>
        <v>0.24730656909755763</v>
      </c>
      <c r="R7" s="33">
        <f>'Marginal Allocation Weight'!R7/'Total Allocation Weight'!R7</f>
        <v>0.24030954716425412</v>
      </c>
      <c r="S7" s="33">
        <f>'Marginal Allocation Weight'!S7/'Total Allocation Weight'!S7</f>
        <v>0.23250087161444541</v>
      </c>
      <c r="T7" s="33">
        <f>'Marginal Allocation Weight'!T7/'Total Allocation Weight'!T7</f>
        <v>0.22401676619448416</v>
      </c>
      <c r="U7" s="33">
        <f>'Marginal Allocation Weight'!U7/'Total Allocation Weight'!U7</f>
        <v>0.2150214466879026</v>
      </c>
      <c r="V7" s="33">
        <f>'Marginal Allocation Weight'!V7/'Total Allocation Weight'!V7</f>
        <v>0.20569289010627223</v>
      </c>
      <c r="W7" s="33">
        <f>'Marginal Allocation Weight'!W7/'Total Allocation Weight'!W7</f>
        <v>0.19620871524516639</v>
      </c>
    </row>
    <row r="8" spans="1:23">
      <c r="A8" s="9" t="str">
        <f>+'Device Energy Use'!A8</f>
        <v>Instant Gas</v>
      </c>
      <c r="B8" s="33">
        <f>'Marginal Allocation Weight'!B8/'Total Allocation Weight'!B8</f>
        <v>7.9102549787350737E-10</v>
      </c>
      <c r="C8" s="33">
        <f>'Marginal Allocation Weight'!C8/'Total Allocation Weight'!C8</f>
        <v>2.7023982193123588E-5</v>
      </c>
      <c r="D8" s="33">
        <f>'Marginal Allocation Weight'!D8/'Total Allocation Weight'!D8</f>
        <v>5.4365884150270418E-5</v>
      </c>
      <c r="E8" s="33">
        <f>'Marginal Allocation Weight'!E8/'Total Allocation Weight'!E8</f>
        <v>1.0398374172364454E-4</v>
      </c>
      <c r="F8" s="33">
        <f>'Marginal Allocation Weight'!F8/'Total Allocation Weight'!F8</f>
        <v>1.8976902464399993E-4</v>
      </c>
      <c r="G8" s="33">
        <f>'Marginal Allocation Weight'!G8/'Total Allocation Weight'!G8</f>
        <v>3.3153162281785895E-4</v>
      </c>
      <c r="H8" s="33">
        <f>'Marginal Allocation Weight'!H8/'Total Allocation Weight'!H8</f>
        <v>5.5609338749854705E-4</v>
      </c>
      <c r="I8" s="33">
        <f>'Marginal Allocation Weight'!I8/'Total Allocation Weight'!I8</f>
        <v>8.9793927583895167E-4</v>
      </c>
      <c r="J8" s="33">
        <f>'Marginal Allocation Weight'!J8/'Total Allocation Weight'!J8</f>
        <v>1.3991135771810159E-3</v>
      </c>
      <c r="K8" s="33">
        <f>'Marginal Allocation Weight'!K8/'Total Allocation Weight'!K8</f>
        <v>2.1080578808207913E-3</v>
      </c>
      <c r="L8" s="33">
        <f>'Marginal Allocation Weight'!L8/'Total Allocation Weight'!L8</f>
        <v>3.077170370922022E-3</v>
      </c>
      <c r="M8" s="33">
        <f>'Marginal Allocation Weight'!M8/'Total Allocation Weight'!M8</f>
        <v>4.35904028607612E-3</v>
      </c>
      <c r="N8" s="33">
        <f>'Marginal Allocation Weight'!N8/'Total Allocation Weight'!N8</f>
        <v>6.0015739201363088E-3</v>
      </c>
      <c r="O8" s="33">
        <f>'Marginal Allocation Weight'!O8/'Total Allocation Weight'!O8</f>
        <v>8.0425402987504366E-3</v>
      </c>
      <c r="P8" s="33">
        <f>'Marginal Allocation Weight'!P8/'Total Allocation Weight'!P8</f>
        <v>1.0504344421225244E-2</v>
      </c>
      <c r="Q8" s="33">
        <f>'Marginal Allocation Weight'!Q8/'Total Allocation Weight'!Q8</f>
        <v>1.3389976249104448E-2</v>
      </c>
      <c r="R8" s="33">
        <f>'Marginal Allocation Weight'!R8/'Total Allocation Weight'!R8</f>
        <v>1.6680992787472072E-2</v>
      </c>
      <c r="S8" s="33">
        <f>'Marginal Allocation Weight'!S8/'Total Allocation Weight'!S8</f>
        <v>2.0338045835615409E-2</v>
      </c>
      <c r="T8" s="33">
        <f>'Marginal Allocation Weight'!T8/'Total Allocation Weight'!T8</f>
        <v>2.4303947062436645E-2</v>
      </c>
      <c r="U8" s="33">
        <f>'Marginal Allocation Weight'!U8/'Total Allocation Weight'!U8</f>
        <v>2.8508724835213536E-2</v>
      </c>
      <c r="V8" s="33">
        <f>'Marginal Allocation Weight'!V8/'Total Allocation Weight'!V8</f>
        <v>3.2875747847132299E-2</v>
      </c>
      <c r="W8" s="33">
        <f>'Marginal Allocation Weight'!W8/'Total Allocation Weight'!W8</f>
        <v>3.7327877856148016E-2</v>
      </c>
    </row>
    <row r="9" spans="1:23">
      <c r="A9" s="9" t="str">
        <f>+'Device Energy Use'!A9</f>
        <v>Condensing Gas</v>
      </c>
      <c r="B9" s="33">
        <f>'Marginal Allocation Weight'!B9/'Total Allocation Weight'!B9</f>
        <v>3.2106797933762949E-9</v>
      </c>
      <c r="C9" s="33">
        <f>'Marginal Allocation Weight'!C9/'Total Allocation Weight'!C9</f>
        <v>1.0947476435313512E-4</v>
      </c>
      <c r="D9" s="33">
        <f>'Marginal Allocation Weight'!D9/'Total Allocation Weight'!D9</f>
        <v>2.1980748902475432E-4</v>
      </c>
      <c r="E9" s="33">
        <f>'Marginal Allocation Weight'!E9/'Total Allocation Weight'!E9</f>
        <v>4.1959087553436621E-4</v>
      </c>
      <c r="F9" s="33">
        <f>'Marginal Allocation Weight'!F9/'Total Allocation Weight'!F9</f>
        <v>7.6422933897682453E-4</v>
      </c>
      <c r="G9" s="33">
        <f>'Marginal Allocation Weight'!G9/'Total Allocation Weight'!G9</f>
        <v>1.332460562784169E-3</v>
      </c>
      <c r="H9" s="33">
        <f>'Marginal Allocation Weight'!H9/'Total Allocation Weight'!H9</f>
        <v>2.2304958183807979E-3</v>
      </c>
      <c r="I9" s="33">
        <f>'Marginal Allocation Weight'!I9/'Total Allocation Weight'!I9</f>
        <v>3.5943321032680261E-3</v>
      </c>
      <c r="J9" s="33">
        <f>'Marginal Allocation Weight'!J9/'Total Allocation Weight'!J9</f>
        <v>5.5890121083582408E-3</v>
      </c>
      <c r="K9" s="33">
        <f>'Marginal Allocation Weight'!K9/'Total Allocation Weight'!K9</f>
        <v>8.4036657997531485E-3</v>
      </c>
      <c r="L9" s="33">
        <f>'Marginal Allocation Weight'!L9/'Total Allocation Weight'!L9</f>
        <v>1.2241518335827779E-2</v>
      </c>
      <c r="M9" s="33">
        <f>'Marginal Allocation Weight'!M9/'Total Allocation Weight'!M9</f>
        <v>1.7304756756581486E-2</v>
      </c>
      <c r="N9" s="33">
        <f>'Marginal Allocation Weight'!N9/'Total Allocation Weight'!N9</f>
        <v>2.3775192520520242E-2</v>
      </c>
      <c r="O9" s="33">
        <f>'Marginal Allocation Weight'!O9/'Total Allocation Weight'!O9</f>
        <v>3.1792876312250896E-2</v>
      </c>
      <c r="P9" s="33">
        <f>'Marginal Allocation Weight'!P9/'Total Allocation Weight'!P9</f>
        <v>4.1435890556534183E-2</v>
      </c>
      <c r="Q9" s="33">
        <f>'Marginal Allocation Weight'!Q9/'Total Allocation Weight'!Q9</f>
        <v>5.2705042922892589E-2</v>
      </c>
      <c r="R9" s="33">
        <f>'Marginal Allocation Weight'!R9/'Total Allocation Weight'!R9</f>
        <v>6.5516762191422509E-2</v>
      </c>
      <c r="S9" s="33">
        <f>'Marginal Allocation Weight'!S9/'Total Allocation Weight'!S9</f>
        <v>7.9706086407308807E-2</v>
      </c>
      <c r="T9" s="33">
        <f>'Marginal Allocation Weight'!T9/'Total Allocation Weight'!T9</f>
        <v>9.503955853369514E-2</v>
      </c>
      <c r="U9" s="33">
        <f>'Marginal Allocation Weight'!U9/'Total Allocation Weight'!U9</f>
        <v>0.11123574640635235</v>
      </c>
      <c r="V9" s="33">
        <f>'Marginal Allocation Weight'!V9/'Total Allocation Weight'!V9</f>
        <v>0.1279896620300679</v>
      </c>
      <c r="W9" s="33">
        <f>'Marginal Allocation Weight'!W9/'Total Allocation Weight'!W9</f>
        <v>0.14499697992107077</v>
      </c>
    </row>
    <row r="11" spans="1:23">
      <c r="A11" s="43" t="s">
        <v>143</v>
      </c>
    </row>
    <row r="12" spans="1:23" s="23" customFormat="1">
      <c r="A12" s="41" t="str">
        <f>+'Device Energy Use'!A4</f>
        <v>Water Heat Ending</v>
      </c>
      <c r="B12" s="40">
        <f>'Levelized Costs'!B4</f>
        <v>2014</v>
      </c>
      <c r="C12" s="40">
        <f>'Levelized Costs'!C4</f>
        <v>2015</v>
      </c>
      <c r="D12" s="40">
        <f>'Levelized Costs'!D4</f>
        <v>2016</v>
      </c>
      <c r="E12" s="40">
        <f>'Levelized Costs'!E4</f>
        <v>2017</v>
      </c>
      <c r="F12" s="40">
        <f>'Levelized Costs'!F4</f>
        <v>2018</v>
      </c>
      <c r="G12" s="40">
        <f>'Levelized Costs'!G4</f>
        <v>2019</v>
      </c>
      <c r="H12" s="40">
        <f>'Levelized Costs'!H4</f>
        <v>2020</v>
      </c>
      <c r="I12" s="40">
        <f>'Levelized Costs'!I4</f>
        <v>2021</v>
      </c>
      <c r="J12" s="40">
        <f>'Levelized Costs'!J4</f>
        <v>2022</v>
      </c>
      <c r="K12" s="40">
        <f>'Levelized Costs'!K4</f>
        <v>2023</v>
      </c>
      <c r="L12" s="40">
        <f>'Levelized Costs'!L4</f>
        <v>2024</v>
      </c>
      <c r="M12" s="40">
        <f>'Levelized Costs'!M4</f>
        <v>2025</v>
      </c>
      <c r="N12" s="40">
        <f>'Levelized Costs'!N4</f>
        <v>2026</v>
      </c>
      <c r="O12" s="40">
        <f>'Levelized Costs'!O4</f>
        <v>2027</v>
      </c>
      <c r="P12" s="40">
        <f>'Levelized Costs'!P4</f>
        <v>2028</v>
      </c>
      <c r="Q12" s="40">
        <f>'Levelized Costs'!Q4</f>
        <v>2029</v>
      </c>
      <c r="R12" s="40">
        <f>'Levelized Costs'!R4</f>
        <v>2030</v>
      </c>
      <c r="S12" s="40">
        <f>'Levelized Costs'!S4</f>
        <v>2031</v>
      </c>
      <c r="T12" s="40">
        <f>'Levelized Costs'!T4</f>
        <v>2032</v>
      </c>
      <c r="U12" s="40">
        <f>'Levelized Costs'!U4</f>
        <v>2033</v>
      </c>
      <c r="V12" s="40">
        <f>'Levelized Costs'!V4</f>
        <v>2034</v>
      </c>
      <c r="W12" s="40">
        <f>'Levelized Costs'!W4</f>
        <v>2035</v>
      </c>
    </row>
    <row r="13" spans="1:23">
      <c r="A13" s="9" t="str">
        <f>+'Device Energy Use'!A5</f>
        <v>Electric Resistance</v>
      </c>
      <c r="B13" s="33">
        <v>0</v>
      </c>
      <c r="C13" s="33">
        <f>IF('Levelized Costs'!C5='Levelized Costs'!C$13,1,0)</f>
        <v>0</v>
      </c>
      <c r="D13" s="33">
        <f>IF('Levelized Costs'!D5='Levelized Costs'!D$13,1,0)</f>
        <v>0</v>
      </c>
      <c r="E13" s="33">
        <f>IF('Levelized Costs'!E5='Levelized Costs'!E$13,1,0)</f>
        <v>0</v>
      </c>
      <c r="F13" s="33">
        <f>IF('Levelized Costs'!F5='Levelized Costs'!F$13,1,0)</f>
        <v>0</v>
      </c>
      <c r="G13" s="33">
        <f>IF('Levelized Costs'!G5='Levelized Costs'!G$13,1,0)</f>
        <v>0</v>
      </c>
      <c r="H13" s="33">
        <f>IF('Levelized Costs'!H5='Levelized Costs'!H$13,1,0)</f>
        <v>0</v>
      </c>
      <c r="I13" s="33">
        <f>IF('Levelized Costs'!I5='Levelized Costs'!I$13,1,0)</f>
        <v>0</v>
      </c>
      <c r="J13" s="33">
        <f>IF('Levelized Costs'!J5='Levelized Costs'!J$13,1,0)</f>
        <v>0</v>
      </c>
      <c r="K13" s="33">
        <f>IF('Levelized Costs'!K5='Levelized Costs'!K$13,1,0)</f>
        <v>0</v>
      </c>
      <c r="L13" s="33">
        <f>IF('Levelized Costs'!L5='Levelized Costs'!L$13,1,0)</f>
        <v>0</v>
      </c>
      <c r="M13" s="33">
        <f>IF('Levelized Costs'!M5='Levelized Costs'!M$13,1,0)</f>
        <v>0</v>
      </c>
      <c r="N13" s="33">
        <f>IF('Levelized Costs'!N5='Levelized Costs'!N$13,1,0)</f>
        <v>0</v>
      </c>
      <c r="O13" s="33">
        <f>IF('Levelized Costs'!O5='Levelized Costs'!O$13,1,0)</f>
        <v>0</v>
      </c>
      <c r="P13" s="33">
        <f>IF('Levelized Costs'!P5='Levelized Costs'!P$13,1,0)</f>
        <v>0</v>
      </c>
      <c r="Q13" s="33">
        <f>IF('Levelized Costs'!Q5='Levelized Costs'!Q$13,1,0)</f>
        <v>0</v>
      </c>
      <c r="R13" s="33">
        <f>IF('Levelized Costs'!R5='Levelized Costs'!R$13,1,0)</f>
        <v>0</v>
      </c>
      <c r="S13" s="33">
        <f>IF('Levelized Costs'!S5='Levelized Costs'!S$13,1,0)</f>
        <v>0</v>
      </c>
      <c r="T13" s="33">
        <f>IF('Levelized Costs'!T5='Levelized Costs'!T$13,1,0)</f>
        <v>0</v>
      </c>
      <c r="U13" s="33">
        <f>IF('Levelized Costs'!U5='Levelized Costs'!U$13,1,0)</f>
        <v>0</v>
      </c>
      <c r="V13" s="33">
        <f>IF('Levelized Costs'!V5='Levelized Costs'!V$13,1,0)</f>
        <v>0</v>
      </c>
      <c r="W13" s="33">
        <f>IF('Levelized Costs'!W5='Levelized Costs'!W$13,1,0)</f>
        <v>0</v>
      </c>
    </row>
    <row r="14" spans="1:23">
      <c r="A14" s="9" t="str">
        <f>+'Device Energy Use'!A6</f>
        <v>HPWH</v>
      </c>
      <c r="B14" s="33">
        <v>0</v>
      </c>
      <c r="C14" s="33">
        <f>IF('Levelized Costs'!C6='Levelized Costs'!C$13,1,0)</f>
        <v>0</v>
      </c>
      <c r="D14" s="33">
        <f>IF('Levelized Costs'!D6='Levelized Costs'!D$13,1,0)</f>
        <v>0</v>
      </c>
      <c r="E14" s="33">
        <f>IF('Levelized Costs'!E6='Levelized Costs'!E$13,1,0)</f>
        <v>0</v>
      </c>
      <c r="F14" s="33">
        <f>IF('Levelized Costs'!F6='Levelized Costs'!F$13,1,0)</f>
        <v>0</v>
      </c>
      <c r="G14" s="33">
        <f>IF('Levelized Costs'!G6='Levelized Costs'!G$13,1,0)</f>
        <v>0</v>
      </c>
      <c r="H14" s="33">
        <f>IF('Levelized Costs'!H6='Levelized Costs'!H$13,1,0)</f>
        <v>0</v>
      </c>
      <c r="I14" s="33">
        <f>IF('Levelized Costs'!I6='Levelized Costs'!I$13,1,0)</f>
        <v>0</v>
      </c>
      <c r="J14" s="33">
        <f>IF('Levelized Costs'!J6='Levelized Costs'!J$13,1,0)</f>
        <v>0</v>
      </c>
      <c r="K14" s="33">
        <f>IF('Levelized Costs'!K6='Levelized Costs'!K$13,1,0)</f>
        <v>0</v>
      </c>
      <c r="L14" s="33">
        <f>IF('Levelized Costs'!L6='Levelized Costs'!L$13,1,0)</f>
        <v>0</v>
      </c>
      <c r="M14" s="33">
        <f>IF('Levelized Costs'!M6='Levelized Costs'!M$13,1,0)</f>
        <v>0</v>
      </c>
      <c r="N14" s="33">
        <f>IF('Levelized Costs'!N6='Levelized Costs'!N$13,1,0)</f>
        <v>0</v>
      </c>
      <c r="O14" s="33">
        <f>IF('Levelized Costs'!O6='Levelized Costs'!O$13,1,0)</f>
        <v>0</v>
      </c>
      <c r="P14" s="33">
        <f>IF('Levelized Costs'!P6='Levelized Costs'!P$13,1,0)</f>
        <v>0</v>
      </c>
      <c r="Q14" s="33">
        <f>IF('Levelized Costs'!Q6='Levelized Costs'!Q$13,1,0)</f>
        <v>0</v>
      </c>
      <c r="R14" s="33">
        <f>IF('Levelized Costs'!R6='Levelized Costs'!R$13,1,0)</f>
        <v>0</v>
      </c>
      <c r="S14" s="33">
        <f>IF('Levelized Costs'!S6='Levelized Costs'!S$13,1,0)</f>
        <v>0</v>
      </c>
      <c r="T14" s="33">
        <f>IF('Levelized Costs'!T6='Levelized Costs'!T$13,1,0)</f>
        <v>0</v>
      </c>
      <c r="U14" s="33">
        <f>IF('Levelized Costs'!U6='Levelized Costs'!U$13,1,0)</f>
        <v>0</v>
      </c>
      <c r="V14" s="33">
        <f>IF('Levelized Costs'!V6='Levelized Costs'!V$13,1,0)</f>
        <v>0</v>
      </c>
      <c r="W14" s="33">
        <f>IF('Levelized Costs'!W6='Levelized Costs'!W$13,1,0)</f>
        <v>0</v>
      </c>
    </row>
    <row r="15" spans="1:23">
      <c r="A15" s="9" t="str">
        <f>+'Device Energy Use'!A7</f>
        <v>Gas Tank</v>
      </c>
      <c r="B15" s="33">
        <v>0</v>
      </c>
      <c r="C15" s="33">
        <f>IF('Levelized Costs'!C7='Levelized Costs'!C$13,1,0)</f>
        <v>1</v>
      </c>
      <c r="D15" s="33">
        <f>IF('Levelized Costs'!D7='Levelized Costs'!D$13,1,0)</f>
        <v>1</v>
      </c>
      <c r="E15" s="33">
        <f>IF('Levelized Costs'!E7='Levelized Costs'!E$13,1,0)</f>
        <v>1</v>
      </c>
      <c r="F15" s="33">
        <f>IF('Levelized Costs'!F7='Levelized Costs'!F$13,1,0)</f>
        <v>1</v>
      </c>
      <c r="G15" s="33">
        <f>IF('Levelized Costs'!G7='Levelized Costs'!G$13,1,0)</f>
        <v>1</v>
      </c>
      <c r="H15" s="33">
        <f>IF('Levelized Costs'!H7='Levelized Costs'!H$13,1,0)</f>
        <v>1</v>
      </c>
      <c r="I15" s="33">
        <f>IF('Levelized Costs'!I7='Levelized Costs'!I$13,1,0)</f>
        <v>1</v>
      </c>
      <c r="J15" s="33">
        <f>IF('Levelized Costs'!J7='Levelized Costs'!J$13,1,0)</f>
        <v>1</v>
      </c>
      <c r="K15" s="33">
        <f>IF('Levelized Costs'!K7='Levelized Costs'!K$13,1,0)</f>
        <v>1</v>
      </c>
      <c r="L15" s="33">
        <f>IF('Levelized Costs'!L7='Levelized Costs'!L$13,1,0)</f>
        <v>1</v>
      </c>
      <c r="M15" s="33">
        <f>IF('Levelized Costs'!M7='Levelized Costs'!M$13,1,0)</f>
        <v>1</v>
      </c>
      <c r="N15" s="33">
        <f>IF('Levelized Costs'!N7='Levelized Costs'!N$13,1,0)</f>
        <v>1</v>
      </c>
      <c r="O15" s="33">
        <f>IF('Levelized Costs'!O7='Levelized Costs'!O$13,1,0)</f>
        <v>1</v>
      </c>
      <c r="P15" s="33">
        <f>IF('Levelized Costs'!P7='Levelized Costs'!P$13,1,0)</f>
        <v>1</v>
      </c>
      <c r="Q15" s="33">
        <f>IF('Levelized Costs'!Q7='Levelized Costs'!Q$13,1,0)</f>
        <v>1</v>
      </c>
      <c r="R15" s="33">
        <f>IF('Levelized Costs'!R7='Levelized Costs'!R$13,1,0)</f>
        <v>1</v>
      </c>
      <c r="S15" s="33">
        <f>IF('Levelized Costs'!S7='Levelized Costs'!S$13,1,0)</f>
        <v>1</v>
      </c>
      <c r="T15" s="33">
        <f>IF('Levelized Costs'!T7='Levelized Costs'!T$13,1,0)</f>
        <v>1</v>
      </c>
      <c r="U15" s="33">
        <f>IF('Levelized Costs'!U7='Levelized Costs'!U$13,1,0)</f>
        <v>1</v>
      </c>
      <c r="V15" s="33">
        <f>IF('Levelized Costs'!V7='Levelized Costs'!V$13,1,0)</f>
        <v>1</v>
      </c>
      <c r="W15" s="33">
        <f>IF('Levelized Costs'!W7='Levelized Costs'!W$13,1,0)</f>
        <v>1</v>
      </c>
    </row>
    <row r="16" spans="1:23">
      <c r="A16" s="9" t="str">
        <f>+'Device Energy Use'!A8</f>
        <v>Instant Gas</v>
      </c>
      <c r="B16" s="33">
        <v>0</v>
      </c>
      <c r="C16" s="33">
        <f>IF('Levelized Costs'!C8='Levelized Costs'!C$13,1,0)</f>
        <v>0</v>
      </c>
      <c r="D16" s="33">
        <f>IF('Levelized Costs'!D8='Levelized Costs'!D$13,1,0)</f>
        <v>0</v>
      </c>
      <c r="E16" s="33">
        <f>IF('Levelized Costs'!E8='Levelized Costs'!E$13,1,0)</f>
        <v>0</v>
      </c>
      <c r="F16" s="33">
        <f>IF('Levelized Costs'!F8='Levelized Costs'!F$13,1,0)</f>
        <v>0</v>
      </c>
      <c r="G16" s="33">
        <f>IF('Levelized Costs'!G8='Levelized Costs'!G$13,1,0)</f>
        <v>0</v>
      </c>
      <c r="H16" s="33">
        <f>IF('Levelized Costs'!H8='Levelized Costs'!H$13,1,0)</f>
        <v>0</v>
      </c>
      <c r="I16" s="33">
        <f>IF('Levelized Costs'!I8='Levelized Costs'!I$13,1,0)</f>
        <v>0</v>
      </c>
      <c r="J16" s="33">
        <f>IF('Levelized Costs'!J8='Levelized Costs'!J$13,1,0)</f>
        <v>0</v>
      </c>
      <c r="K16" s="33">
        <f>IF('Levelized Costs'!K8='Levelized Costs'!K$13,1,0)</f>
        <v>0</v>
      </c>
      <c r="L16" s="33">
        <f>IF('Levelized Costs'!L8='Levelized Costs'!L$13,1,0)</f>
        <v>0</v>
      </c>
      <c r="M16" s="33">
        <f>IF('Levelized Costs'!M8='Levelized Costs'!M$13,1,0)</f>
        <v>0</v>
      </c>
      <c r="N16" s="33">
        <f>IF('Levelized Costs'!N8='Levelized Costs'!N$13,1,0)</f>
        <v>0</v>
      </c>
      <c r="O16" s="33">
        <f>IF('Levelized Costs'!O8='Levelized Costs'!O$13,1,0)</f>
        <v>0</v>
      </c>
      <c r="P16" s="33">
        <f>IF('Levelized Costs'!P8='Levelized Costs'!P$13,1,0)</f>
        <v>0</v>
      </c>
      <c r="Q16" s="33">
        <f>IF('Levelized Costs'!Q8='Levelized Costs'!Q$13,1,0)</f>
        <v>0</v>
      </c>
      <c r="R16" s="33">
        <f>IF('Levelized Costs'!R8='Levelized Costs'!R$13,1,0)</f>
        <v>0</v>
      </c>
      <c r="S16" s="33">
        <f>IF('Levelized Costs'!S8='Levelized Costs'!S$13,1,0)</f>
        <v>0</v>
      </c>
      <c r="T16" s="33">
        <f>IF('Levelized Costs'!T8='Levelized Costs'!T$13,1,0)</f>
        <v>0</v>
      </c>
      <c r="U16" s="33">
        <f>IF('Levelized Costs'!U8='Levelized Costs'!U$13,1,0)</f>
        <v>0</v>
      </c>
      <c r="V16" s="33">
        <f>IF('Levelized Costs'!V8='Levelized Costs'!V$13,1,0)</f>
        <v>0</v>
      </c>
      <c r="W16" s="33">
        <f>IF('Levelized Costs'!W8='Levelized Costs'!W$13,1,0)</f>
        <v>0</v>
      </c>
    </row>
    <row r="17" spans="1:23">
      <c r="A17" s="9" t="str">
        <f>+'Device Energy Use'!A9</f>
        <v>Condensing Gas</v>
      </c>
      <c r="B17" s="33">
        <v>0</v>
      </c>
      <c r="C17" s="33">
        <f>IF('Levelized Costs'!C9='Levelized Costs'!C$13,1,0)</f>
        <v>0</v>
      </c>
      <c r="D17" s="33">
        <f>IF('Levelized Costs'!D9='Levelized Costs'!D$13,1,0)</f>
        <v>0</v>
      </c>
      <c r="E17" s="33">
        <f>IF('Levelized Costs'!E9='Levelized Costs'!E$13,1,0)</f>
        <v>0</v>
      </c>
      <c r="F17" s="33">
        <f>IF('Levelized Costs'!F9='Levelized Costs'!F$13,1,0)</f>
        <v>0</v>
      </c>
      <c r="G17" s="33">
        <f>IF('Levelized Costs'!G9='Levelized Costs'!G$13,1,0)</f>
        <v>0</v>
      </c>
      <c r="H17" s="33">
        <f>IF('Levelized Costs'!H9='Levelized Costs'!H$13,1,0)</f>
        <v>0</v>
      </c>
      <c r="I17" s="33">
        <f>IF('Levelized Costs'!I9='Levelized Costs'!I$13,1,0)</f>
        <v>0</v>
      </c>
      <c r="J17" s="33">
        <f>IF('Levelized Costs'!J9='Levelized Costs'!J$13,1,0)</f>
        <v>0</v>
      </c>
      <c r="K17" s="33">
        <f>IF('Levelized Costs'!K9='Levelized Costs'!K$13,1,0)</f>
        <v>0</v>
      </c>
      <c r="L17" s="33">
        <f>IF('Levelized Costs'!L9='Levelized Costs'!L$13,1,0)</f>
        <v>0</v>
      </c>
      <c r="M17" s="33">
        <f>IF('Levelized Costs'!M9='Levelized Costs'!M$13,1,0)</f>
        <v>0</v>
      </c>
      <c r="N17" s="33">
        <f>IF('Levelized Costs'!N9='Levelized Costs'!N$13,1,0)</f>
        <v>0</v>
      </c>
      <c r="O17" s="33">
        <f>IF('Levelized Costs'!O9='Levelized Costs'!O$13,1,0)</f>
        <v>0</v>
      </c>
      <c r="P17" s="33">
        <f>IF('Levelized Costs'!P9='Levelized Costs'!P$13,1,0)</f>
        <v>0</v>
      </c>
      <c r="Q17" s="33">
        <f>IF('Levelized Costs'!Q9='Levelized Costs'!Q$13,1,0)</f>
        <v>0</v>
      </c>
      <c r="R17" s="33">
        <f>IF('Levelized Costs'!R9='Levelized Costs'!R$13,1,0)</f>
        <v>0</v>
      </c>
      <c r="S17" s="33">
        <f>IF('Levelized Costs'!S9='Levelized Costs'!S$13,1,0)</f>
        <v>0</v>
      </c>
      <c r="T17" s="33">
        <f>IF('Levelized Costs'!T9='Levelized Costs'!T$13,1,0)</f>
        <v>0</v>
      </c>
      <c r="U17" s="33">
        <f>IF('Levelized Costs'!U9='Levelized Costs'!U$13,1,0)</f>
        <v>0</v>
      </c>
      <c r="V17" s="33">
        <f>IF('Levelized Costs'!V9='Levelized Costs'!V$13,1,0)</f>
        <v>0</v>
      </c>
      <c r="W17" s="33">
        <f>IF('Levelized Costs'!W9='Levelized Costs'!W$13,1,0)</f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W10"/>
  <sheetViews>
    <sheetView workbookViewId="0"/>
  </sheetViews>
  <sheetFormatPr defaultRowHeight="15"/>
  <cols>
    <col min="1" max="1" width="20.7109375" customWidth="1"/>
    <col min="2" max="8" width="9.7109375" customWidth="1"/>
    <col min="9" max="24" width="10.28515625" customWidth="1"/>
  </cols>
  <sheetData>
    <row r="1" spans="1:23" ht="15.75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23" s="9" customFormat="1" ht="15.75">
      <c r="A3" s="12" t="s">
        <v>46</v>
      </c>
    </row>
    <row r="4" spans="1:23" s="9" customFormat="1" ht="15.75">
      <c r="A4" s="41" t="str">
        <f>'Device Energy Use'!A4</f>
        <v>Water Heat Ending</v>
      </c>
      <c r="B4" s="40">
        <f>+'Marginal Market Share'!B4</f>
        <v>2014</v>
      </c>
      <c r="C4" s="40">
        <f>+'Marginal Market Share'!C4</f>
        <v>2015</v>
      </c>
      <c r="D4" s="40">
        <f>+'Marginal Market Share'!D4</f>
        <v>2016</v>
      </c>
      <c r="E4" s="40">
        <f>+'Marginal Market Share'!E4</f>
        <v>2017</v>
      </c>
      <c r="F4" s="40">
        <f>+'Marginal Market Share'!F4</f>
        <v>2018</v>
      </c>
      <c r="G4" s="40">
        <f>+'Marginal Market Share'!G4</f>
        <v>2019</v>
      </c>
      <c r="H4" s="40">
        <f>+'Marginal Market Share'!H4</f>
        <v>2020</v>
      </c>
      <c r="I4" s="40">
        <f>+'Marginal Market Share'!I4</f>
        <v>2021</v>
      </c>
      <c r="J4" s="40">
        <f>+'Marginal Market Share'!J4</f>
        <v>2022</v>
      </c>
      <c r="K4" s="40">
        <f>+'Marginal Market Share'!K4</f>
        <v>2023</v>
      </c>
      <c r="L4" s="40">
        <f>+'Marginal Market Share'!L4</f>
        <v>2024</v>
      </c>
      <c r="M4" s="40">
        <f>+'Marginal Market Share'!M4</f>
        <v>2025</v>
      </c>
      <c r="N4" s="40">
        <f>+'Marginal Market Share'!N4</f>
        <v>2026</v>
      </c>
      <c r="O4" s="40">
        <f>+'Marginal Market Share'!O4</f>
        <v>2027</v>
      </c>
      <c r="P4" s="40">
        <f>+'Marginal Market Share'!P4</f>
        <v>2028</v>
      </c>
      <c r="Q4" s="40">
        <f>+'Marginal Market Share'!Q4</f>
        <v>2029</v>
      </c>
      <c r="R4" s="40">
        <f>+'Marginal Market Share'!R4</f>
        <v>2030</v>
      </c>
      <c r="S4" s="40">
        <f>+'Marginal Market Share'!S4</f>
        <v>2031</v>
      </c>
      <c r="T4" s="40">
        <f>+'Marginal Market Share'!T4</f>
        <v>2032</v>
      </c>
      <c r="U4" s="40">
        <f>+'Marginal Market Share'!U4</f>
        <v>2033</v>
      </c>
      <c r="V4" s="40">
        <f>+'Marginal Market Share'!V4</f>
        <v>2034</v>
      </c>
      <c r="W4" s="40">
        <f>+'Marginal Market Share'!W4</f>
        <v>2035</v>
      </c>
    </row>
    <row r="5" spans="1:23" s="9" customFormat="1" ht="15.75">
      <c r="A5" s="9" t="str">
        <f>+'Marginal Market Share'!A5</f>
        <v>Electric Resistance</v>
      </c>
      <c r="B5" s="9">
        <f>SUM('Marginal Allocation Weight'!B$5:B$9)</f>
        <v>22026.83545413944</v>
      </c>
      <c r="C5" s="9">
        <f>SUM('Marginal Allocation Weight'!C$5:C$9)</f>
        <v>1.3709964135849064</v>
      </c>
      <c r="D5" s="9">
        <f>SUM('Marginal Allocation Weight'!D$5:D$9)</f>
        <v>1.3724671405294291</v>
      </c>
      <c r="E5" s="9">
        <f>SUM('Marginal Allocation Weight'!E$5:E$9)</f>
        <v>1.3741793415050125</v>
      </c>
      <c r="F5" s="9">
        <f>SUM('Marginal Allocation Weight'!F$5:F$9)</f>
        <v>1.3762951302024349</v>
      </c>
      <c r="G5" s="9">
        <f>SUM('Marginal Allocation Weight'!G$5:G$9)</f>
        <v>1.3790461123902686</v>
      </c>
      <c r="H5" s="9">
        <f>SUM('Marginal Allocation Weight'!H$5:H$9)</f>
        <v>1.3827476931316918</v>
      </c>
      <c r="I5" s="9">
        <f>SUM('Marginal Allocation Weight'!I$5:I$9)</f>
        <v>1.3878104086829077</v>
      </c>
      <c r="J5" s="9">
        <f>SUM('Marginal Allocation Weight'!J$5:J$9)</f>
        <v>1.3947461850148706</v>
      </c>
      <c r="K5" s="9">
        <f>SUM('Marginal Allocation Weight'!K$5:K$9)</f>
        <v>1.4041677631304621</v>
      </c>
      <c r="L5" s="9">
        <f>SUM('Marginal Allocation Weight'!L$5:L$9)</f>
        <v>1.4167801933397313</v>
      </c>
      <c r="M5" s="9">
        <f>SUM('Marginal Allocation Weight'!M$5:M$9)</f>
        <v>1.4333641792538372</v>
      </c>
      <c r="N5" s="9">
        <f>SUM('Marginal Allocation Weight'!N$5:N$9)</f>
        <v>1.454751997410497</v>
      </c>
      <c r="O5" s="9">
        <f>SUM('Marginal Allocation Weight'!O$5:O$9)</f>
        <v>1.4817975736272915</v>
      </c>
      <c r="P5" s="9">
        <f>SUM('Marginal Allocation Weight'!P$5:P$9)</f>
        <v>1.5153429331969879</v>
      </c>
      <c r="Q5" s="9">
        <f>SUM('Marginal Allocation Weight'!Q$5:Q$9)</f>
        <v>1.5561835798071029</v>
      </c>
      <c r="R5" s="9">
        <f>SUM('Marginal Allocation Weight'!R$5:R$9)</f>
        <v>1.6050353767691796</v>
      </c>
      <c r="S5" s="9">
        <f>SUM('Marginal Allocation Weight'!S$5:S$9)</f>
        <v>1.6625052358008885</v>
      </c>
      <c r="T5" s="9">
        <f>SUM('Marginal Allocation Weight'!T$5:T$9)</f>
        <v>1.7290674332523046</v>
      </c>
      <c r="U5" s="9">
        <f>SUM('Marginal Allocation Weight'!U$5:U$9)</f>
        <v>1.8050467605380078</v>
      </c>
      <c r="V5" s="9">
        <f>SUM('Marginal Allocation Weight'!V$5:V$9)</f>
        <v>1.8906090650713496</v>
      </c>
      <c r="W5" s="9">
        <f>SUM('Marginal Allocation Weight'!W$5:W$9)</f>
        <v>1.9857591279877673</v>
      </c>
    </row>
    <row r="6" spans="1:23" s="9" customFormat="1" ht="15.75">
      <c r="A6" s="9" t="str">
        <f>+'Marginal Market Share'!A6</f>
        <v>HPWH</v>
      </c>
      <c r="B6" s="9">
        <f>SUM('Marginal Allocation Weight'!B$5:B$9)</f>
        <v>22026.83545413944</v>
      </c>
      <c r="C6" s="9">
        <f>SUM('Marginal Allocation Weight'!C$5:C$9)</f>
        <v>1.3709964135849064</v>
      </c>
      <c r="D6" s="9">
        <f>SUM('Marginal Allocation Weight'!D$5:D$9)</f>
        <v>1.3724671405294291</v>
      </c>
      <c r="E6" s="9">
        <f>SUM('Marginal Allocation Weight'!E$5:E$9)</f>
        <v>1.3741793415050125</v>
      </c>
      <c r="F6" s="9">
        <f>SUM('Marginal Allocation Weight'!F$5:F$9)</f>
        <v>1.3762951302024349</v>
      </c>
      <c r="G6" s="9">
        <f>SUM('Marginal Allocation Weight'!G$5:G$9)</f>
        <v>1.3790461123902686</v>
      </c>
      <c r="H6" s="9">
        <f>SUM('Marginal Allocation Weight'!H$5:H$9)</f>
        <v>1.3827476931316918</v>
      </c>
      <c r="I6" s="9">
        <f>SUM('Marginal Allocation Weight'!I$5:I$9)</f>
        <v>1.3878104086829077</v>
      </c>
      <c r="J6" s="9">
        <f>SUM('Marginal Allocation Weight'!J$5:J$9)</f>
        <v>1.3947461850148706</v>
      </c>
      <c r="K6" s="9">
        <f>SUM('Marginal Allocation Weight'!K$5:K$9)</f>
        <v>1.4041677631304621</v>
      </c>
      <c r="L6" s="9">
        <f>SUM('Marginal Allocation Weight'!L$5:L$9)</f>
        <v>1.4167801933397313</v>
      </c>
      <c r="M6" s="9">
        <f>SUM('Marginal Allocation Weight'!M$5:M$9)</f>
        <v>1.4333641792538372</v>
      </c>
      <c r="N6" s="9">
        <f>SUM('Marginal Allocation Weight'!N$5:N$9)</f>
        <v>1.454751997410497</v>
      </c>
      <c r="O6" s="9">
        <f>SUM('Marginal Allocation Weight'!O$5:O$9)</f>
        <v>1.4817975736272915</v>
      </c>
      <c r="P6" s="9">
        <f>SUM('Marginal Allocation Weight'!P$5:P$9)</f>
        <v>1.5153429331969879</v>
      </c>
      <c r="Q6" s="9">
        <f>SUM('Marginal Allocation Weight'!Q$5:Q$9)</f>
        <v>1.5561835798071029</v>
      </c>
      <c r="R6" s="9">
        <f>SUM('Marginal Allocation Weight'!R$5:R$9)</f>
        <v>1.6050353767691796</v>
      </c>
      <c r="S6" s="9">
        <f>SUM('Marginal Allocation Weight'!S$5:S$9)</f>
        <v>1.6625052358008885</v>
      </c>
      <c r="T6" s="9">
        <f>SUM('Marginal Allocation Weight'!T$5:T$9)</f>
        <v>1.7290674332523046</v>
      </c>
      <c r="U6" s="9">
        <f>SUM('Marginal Allocation Weight'!U$5:U$9)</f>
        <v>1.8050467605380078</v>
      </c>
      <c r="V6" s="9">
        <f>SUM('Marginal Allocation Weight'!V$5:V$9)</f>
        <v>1.8906090650713496</v>
      </c>
      <c r="W6" s="9">
        <f>SUM('Marginal Allocation Weight'!W$5:W$9)</f>
        <v>1.9857591279877673</v>
      </c>
    </row>
    <row r="7" spans="1:23" s="9" customFormat="1" ht="15.75">
      <c r="A7" s="9" t="str">
        <f>+'Marginal Market Share'!A7</f>
        <v>Gas Tank</v>
      </c>
      <c r="B7" s="9">
        <f>SUM('Marginal Allocation Weight'!B$5:B$9)</f>
        <v>22026.83545413944</v>
      </c>
      <c r="C7" s="9">
        <f>SUM('Marginal Allocation Weight'!C$5:C$9)</f>
        <v>1.3709964135849064</v>
      </c>
      <c r="D7" s="9">
        <f>SUM('Marginal Allocation Weight'!D$5:D$9)</f>
        <v>1.3724671405294291</v>
      </c>
      <c r="E7" s="9">
        <f>SUM('Marginal Allocation Weight'!E$5:E$9)</f>
        <v>1.3741793415050125</v>
      </c>
      <c r="F7" s="9">
        <f>SUM('Marginal Allocation Weight'!F$5:F$9)</f>
        <v>1.3762951302024349</v>
      </c>
      <c r="G7" s="9">
        <f>SUM('Marginal Allocation Weight'!G$5:G$9)</f>
        <v>1.3790461123902686</v>
      </c>
      <c r="H7" s="9">
        <f>SUM('Marginal Allocation Weight'!H$5:H$9)</f>
        <v>1.3827476931316918</v>
      </c>
      <c r="I7" s="9">
        <f>SUM('Marginal Allocation Weight'!I$5:I$9)</f>
        <v>1.3878104086829077</v>
      </c>
      <c r="J7" s="9">
        <f>SUM('Marginal Allocation Weight'!J$5:J$9)</f>
        <v>1.3947461850148706</v>
      </c>
      <c r="K7" s="9">
        <f>SUM('Marginal Allocation Weight'!K$5:K$9)</f>
        <v>1.4041677631304621</v>
      </c>
      <c r="L7" s="9">
        <f>SUM('Marginal Allocation Weight'!L$5:L$9)</f>
        <v>1.4167801933397313</v>
      </c>
      <c r="M7" s="9">
        <f>SUM('Marginal Allocation Weight'!M$5:M$9)</f>
        <v>1.4333641792538372</v>
      </c>
      <c r="N7" s="9">
        <f>SUM('Marginal Allocation Weight'!N$5:N$9)</f>
        <v>1.454751997410497</v>
      </c>
      <c r="O7" s="9">
        <f>SUM('Marginal Allocation Weight'!O$5:O$9)</f>
        <v>1.4817975736272915</v>
      </c>
      <c r="P7" s="9">
        <f>SUM('Marginal Allocation Weight'!P$5:P$9)</f>
        <v>1.5153429331969879</v>
      </c>
      <c r="Q7" s="9">
        <f>SUM('Marginal Allocation Weight'!Q$5:Q$9)</f>
        <v>1.5561835798071029</v>
      </c>
      <c r="R7" s="9">
        <f>SUM('Marginal Allocation Weight'!R$5:R$9)</f>
        <v>1.6050353767691796</v>
      </c>
      <c r="S7" s="9">
        <f>SUM('Marginal Allocation Weight'!S$5:S$9)</f>
        <v>1.6625052358008885</v>
      </c>
      <c r="T7" s="9">
        <f>SUM('Marginal Allocation Weight'!T$5:T$9)</f>
        <v>1.7290674332523046</v>
      </c>
      <c r="U7" s="9">
        <f>SUM('Marginal Allocation Weight'!U$5:U$9)</f>
        <v>1.8050467605380078</v>
      </c>
      <c r="V7" s="9">
        <f>SUM('Marginal Allocation Weight'!V$5:V$9)</f>
        <v>1.8906090650713496</v>
      </c>
      <c r="W7" s="9">
        <f>SUM('Marginal Allocation Weight'!W$5:W$9)</f>
        <v>1.9857591279877673</v>
      </c>
    </row>
    <row r="8" spans="1:23" s="9" customFormat="1" ht="15.75">
      <c r="A8" s="9" t="str">
        <f>+'Marginal Market Share'!A8</f>
        <v>Instant Gas</v>
      </c>
      <c r="B8" s="9">
        <f>SUM('Marginal Allocation Weight'!B$5:B$9)</f>
        <v>22026.83545413944</v>
      </c>
      <c r="C8" s="9">
        <f>SUM('Marginal Allocation Weight'!C$5:C$9)</f>
        <v>1.3709964135849064</v>
      </c>
      <c r="D8" s="9">
        <f>SUM('Marginal Allocation Weight'!D$5:D$9)</f>
        <v>1.3724671405294291</v>
      </c>
      <c r="E8" s="9">
        <f>SUM('Marginal Allocation Weight'!E$5:E$9)</f>
        <v>1.3741793415050125</v>
      </c>
      <c r="F8" s="9">
        <f>SUM('Marginal Allocation Weight'!F$5:F$9)</f>
        <v>1.3762951302024349</v>
      </c>
      <c r="G8" s="9">
        <f>SUM('Marginal Allocation Weight'!G$5:G$9)</f>
        <v>1.3790461123902686</v>
      </c>
      <c r="H8" s="9">
        <f>SUM('Marginal Allocation Weight'!H$5:H$9)</f>
        <v>1.3827476931316918</v>
      </c>
      <c r="I8" s="9">
        <f>SUM('Marginal Allocation Weight'!I$5:I$9)</f>
        <v>1.3878104086829077</v>
      </c>
      <c r="J8" s="9">
        <f>SUM('Marginal Allocation Weight'!J$5:J$9)</f>
        <v>1.3947461850148706</v>
      </c>
      <c r="K8" s="9">
        <f>SUM('Marginal Allocation Weight'!K$5:K$9)</f>
        <v>1.4041677631304621</v>
      </c>
      <c r="L8" s="9">
        <f>SUM('Marginal Allocation Weight'!L$5:L$9)</f>
        <v>1.4167801933397313</v>
      </c>
      <c r="M8" s="9">
        <f>SUM('Marginal Allocation Weight'!M$5:M$9)</f>
        <v>1.4333641792538372</v>
      </c>
      <c r="N8" s="9">
        <f>SUM('Marginal Allocation Weight'!N$5:N$9)</f>
        <v>1.454751997410497</v>
      </c>
      <c r="O8" s="9">
        <f>SUM('Marginal Allocation Weight'!O$5:O$9)</f>
        <v>1.4817975736272915</v>
      </c>
      <c r="P8" s="9">
        <f>SUM('Marginal Allocation Weight'!P$5:P$9)</f>
        <v>1.5153429331969879</v>
      </c>
      <c r="Q8" s="9">
        <f>SUM('Marginal Allocation Weight'!Q$5:Q$9)</f>
        <v>1.5561835798071029</v>
      </c>
      <c r="R8" s="9">
        <f>SUM('Marginal Allocation Weight'!R$5:R$9)</f>
        <v>1.6050353767691796</v>
      </c>
      <c r="S8" s="9">
        <f>SUM('Marginal Allocation Weight'!S$5:S$9)</f>
        <v>1.6625052358008885</v>
      </c>
      <c r="T8" s="9">
        <f>SUM('Marginal Allocation Weight'!T$5:T$9)</f>
        <v>1.7290674332523046</v>
      </c>
      <c r="U8" s="9">
        <f>SUM('Marginal Allocation Weight'!U$5:U$9)</f>
        <v>1.8050467605380078</v>
      </c>
      <c r="V8" s="9">
        <f>SUM('Marginal Allocation Weight'!V$5:V$9)</f>
        <v>1.8906090650713496</v>
      </c>
      <c r="W8" s="9">
        <f>SUM('Marginal Allocation Weight'!W$5:W$9)</f>
        <v>1.9857591279877673</v>
      </c>
    </row>
    <row r="9" spans="1:23" s="9" customFormat="1" ht="15.75">
      <c r="A9" s="9" t="str">
        <f>+'Marginal Market Share'!A9</f>
        <v>Condensing Gas</v>
      </c>
      <c r="B9" s="9">
        <f>SUM('Marginal Allocation Weight'!B$5:B$9)</f>
        <v>22026.83545413944</v>
      </c>
      <c r="C9" s="9">
        <f>SUM('Marginal Allocation Weight'!C$5:C$9)</f>
        <v>1.3709964135849064</v>
      </c>
      <c r="D9" s="9">
        <f>SUM('Marginal Allocation Weight'!D$5:D$9)</f>
        <v>1.3724671405294291</v>
      </c>
      <c r="E9" s="9">
        <f>SUM('Marginal Allocation Weight'!E$5:E$9)</f>
        <v>1.3741793415050125</v>
      </c>
      <c r="F9" s="9">
        <f>SUM('Marginal Allocation Weight'!F$5:F$9)</f>
        <v>1.3762951302024349</v>
      </c>
      <c r="G9" s="9">
        <f>SUM('Marginal Allocation Weight'!G$5:G$9)</f>
        <v>1.3790461123902686</v>
      </c>
      <c r="H9" s="9">
        <f>SUM('Marginal Allocation Weight'!H$5:H$9)</f>
        <v>1.3827476931316918</v>
      </c>
      <c r="I9" s="9">
        <f>SUM('Marginal Allocation Weight'!I$5:I$9)</f>
        <v>1.3878104086829077</v>
      </c>
      <c r="J9" s="9">
        <f>SUM('Marginal Allocation Weight'!J$5:J$9)</f>
        <v>1.3947461850148706</v>
      </c>
      <c r="K9" s="9">
        <f>SUM('Marginal Allocation Weight'!K$5:K$9)</f>
        <v>1.4041677631304621</v>
      </c>
      <c r="L9" s="9">
        <f>SUM('Marginal Allocation Weight'!L$5:L$9)</f>
        <v>1.4167801933397313</v>
      </c>
      <c r="M9" s="9">
        <f>SUM('Marginal Allocation Weight'!M$5:M$9)</f>
        <v>1.4333641792538372</v>
      </c>
      <c r="N9" s="9">
        <f>SUM('Marginal Allocation Weight'!N$5:N$9)</f>
        <v>1.454751997410497</v>
      </c>
      <c r="O9" s="9">
        <f>SUM('Marginal Allocation Weight'!O$5:O$9)</f>
        <v>1.4817975736272915</v>
      </c>
      <c r="P9" s="9">
        <f>SUM('Marginal Allocation Weight'!P$5:P$9)</f>
        <v>1.5153429331969879</v>
      </c>
      <c r="Q9" s="9">
        <f>SUM('Marginal Allocation Weight'!Q$5:Q$9)</f>
        <v>1.5561835798071029</v>
      </c>
      <c r="R9" s="9">
        <f>SUM('Marginal Allocation Weight'!R$5:R$9)</f>
        <v>1.6050353767691796</v>
      </c>
      <c r="S9" s="9">
        <f>SUM('Marginal Allocation Weight'!S$5:S$9)</f>
        <v>1.6625052358008885</v>
      </c>
      <c r="T9" s="9">
        <f>SUM('Marginal Allocation Weight'!T$5:T$9)</f>
        <v>1.7290674332523046</v>
      </c>
      <c r="U9" s="9">
        <f>SUM('Marginal Allocation Weight'!U$5:U$9)</f>
        <v>1.8050467605380078</v>
      </c>
      <c r="V9" s="9">
        <f>SUM('Marginal Allocation Weight'!V$5:V$9)</f>
        <v>1.8906090650713496</v>
      </c>
      <c r="W9" s="9">
        <f>SUM('Marginal Allocation Weight'!W$5:W$9)</f>
        <v>1.9857591279877673</v>
      </c>
    </row>
    <row r="10" spans="1:23" s="9" customFormat="1" ht="15.75">
      <c r="A10"/>
      <c r="B10"/>
      <c r="C10"/>
      <c r="D1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AC10"/>
  <sheetViews>
    <sheetView workbookViewId="0">
      <selection activeCell="F13" sqref="F13"/>
    </sheetView>
  </sheetViews>
  <sheetFormatPr defaultColWidth="9.140625" defaultRowHeight="15.75"/>
  <cols>
    <col min="1" max="1" width="20.7109375" style="9" customWidth="1"/>
    <col min="2" max="9" width="11.7109375" style="9" customWidth="1"/>
    <col min="10" max="10" width="12.42578125" style="9" bestFit="1" customWidth="1"/>
    <col min="11" max="14" width="13.7109375" style="9" bestFit="1" customWidth="1"/>
    <col min="15" max="15" width="12.42578125" style="9" bestFit="1" customWidth="1"/>
    <col min="16" max="28" width="13.7109375" style="9" bestFit="1" customWidth="1"/>
    <col min="29" max="29" width="12.42578125" style="9" bestFit="1" customWidth="1"/>
    <col min="30" max="16384" width="9.140625" style="9"/>
  </cols>
  <sheetData>
    <row r="1" spans="1:29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29">
      <c r="A3" s="12" t="s">
        <v>45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>
      <c r="A4" s="39" t="str">
        <f>'Device Energy Use'!A4</f>
        <v>Water Heat Ending</v>
      </c>
      <c r="B4" s="40">
        <f>'Levelized Costs'!B4</f>
        <v>2014</v>
      </c>
      <c r="C4" s="40">
        <f>'Levelized Costs'!C4</f>
        <v>2015</v>
      </c>
      <c r="D4" s="40">
        <f>'Levelized Costs'!D4</f>
        <v>2016</v>
      </c>
      <c r="E4" s="40">
        <f>'Levelized Costs'!E4</f>
        <v>2017</v>
      </c>
      <c r="F4" s="40">
        <f>'Levelized Costs'!F4</f>
        <v>2018</v>
      </c>
      <c r="G4" s="40">
        <f>'Levelized Costs'!G4</f>
        <v>2019</v>
      </c>
      <c r="H4" s="40">
        <f>'Levelized Costs'!H4</f>
        <v>2020</v>
      </c>
      <c r="I4" s="40">
        <f>'Levelized Costs'!I4</f>
        <v>2021</v>
      </c>
      <c r="J4" s="40">
        <f>'Levelized Costs'!J4</f>
        <v>2022</v>
      </c>
      <c r="K4" s="40">
        <f>'Levelized Costs'!K4</f>
        <v>2023</v>
      </c>
      <c r="L4" s="40">
        <f>'Levelized Costs'!L4</f>
        <v>2024</v>
      </c>
      <c r="M4" s="40">
        <f>'Levelized Costs'!M4</f>
        <v>2025</v>
      </c>
      <c r="N4" s="40">
        <f>'Levelized Costs'!N4</f>
        <v>2026</v>
      </c>
      <c r="O4" s="40">
        <f>'Levelized Costs'!O4</f>
        <v>2027</v>
      </c>
      <c r="P4" s="40">
        <f>'Levelized Costs'!P4</f>
        <v>2028</v>
      </c>
      <c r="Q4" s="40">
        <f>'Levelized Costs'!Q4</f>
        <v>2029</v>
      </c>
      <c r="R4" s="40">
        <f>'Levelized Costs'!R4</f>
        <v>2030</v>
      </c>
      <c r="S4" s="40">
        <f>'Levelized Costs'!S4</f>
        <v>2031</v>
      </c>
      <c r="T4" s="40">
        <f>'Levelized Costs'!T4</f>
        <v>2032</v>
      </c>
      <c r="U4" s="40">
        <f>'Levelized Costs'!U4</f>
        <v>2033</v>
      </c>
      <c r="V4" s="40">
        <f>'Levelized Costs'!V4</f>
        <v>2034</v>
      </c>
      <c r="W4" s="40">
        <f>'Levelized Costs'!W4</f>
        <v>2035</v>
      </c>
    </row>
    <row r="5" spans="1:29">
      <c r="A5" s="9" t="str">
        <f>+'Total Allocation Weight'!A5</f>
        <v>Electric Resistance</v>
      </c>
      <c r="B5" s="159">
        <f>EXP('Non-Price Factors'!B10+VarianceFactor*LN('Levelized Costs'!B5/'Levelized Costs'!B$5))</f>
        <v>22026.465794806718</v>
      </c>
      <c r="C5" s="159">
        <f>EXP('Non-Price Factors'!C10+VarianceFactor*LN('Levelized Costs'!C5/'Levelized Costs'!C$5))</f>
        <v>1</v>
      </c>
      <c r="D5" s="159">
        <f>EXP('Non-Price Factors'!D10+VarianceFactor*LN('Levelized Costs'!D5/'Levelized Costs'!D$5))</f>
        <v>1</v>
      </c>
      <c r="E5" s="159">
        <f>EXP('Non-Price Factors'!E10+VarianceFactor*LN('Levelized Costs'!E5/'Levelized Costs'!E$5))</f>
        <v>1</v>
      </c>
      <c r="F5" s="159">
        <f>EXP('Non-Price Factors'!F10+VarianceFactor*LN('Levelized Costs'!F5/'Levelized Costs'!F$5))</f>
        <v>1</v>
      </c>
      <c r="G5" s="159">
        <f>EXP('Non-Price Factors'!G10+VarianceFactor*LN('Levelized Costs'!G5/'Levelized Costs'!G$5))</f>
        <v>1</v>
      </c>
      <c r="H5" s="159">
        <f>EXP('Non-Price Factors'!H10+VarianceFactor*LN('Levelized Costs'!H5/'Levelized Costs'!H$5))</f>
        <v>1</v>
      </c>
      <c r="I5" s="159">
        <f>EXP('Non-Price Factors'!I10+VarianceFactor*LN('Levelized Costs'!I5/'Levelized Costs'!I$5))</f>
        <v>1</v>
      </c>
      <c r="J5" s="159">
        <f>EXP('Non-Price Factors'!J10+VarianceFactor*LN('Levelized Costs'!J5/'Levelized Costs'!J$5))</f>
        <v>1</v>
      </c>
      <c r="K5" s="159">
        <f>EXP('Non-Price Factors'!K10+VarianceFactor*LN('Levelized Costs'!K5/'Levelized Costs'!K$5))</f>
        <v>1</v>
      </c>
      <c r="L5" s="159">
        <f>EXP('Non-Price Factors'!L10+VarianceFactor*LN('Levelized Costs'!L5/'Levelized Costs'!L$5))</f>
        <v>1</v>
      </c>
      <c r="M5" s="159">
        <f>EXP('Non-Price Factors'!M10+VarianceFactor*LN('Levelized Costs'!M5/'Levelized Costs'!M$5))</f>
        <v>1</v>
      </c>
      <c r="N5" s="159">
        <f>EXP('Non-Price Factors'!N10+VarianceFactor*LN('Levelized Costs'!N5/'Levelized Costs'!N$5))</f>
        <v>1</v>
      </c>
      <c r="O5" s="159">
        <f>EXP('Non-Price Factors'!O10+VarianceFactor*LN('Levelized Costs'!O5/'Levelized Costs'!O$5))</f>
        <v>1</v>
      </c>
      <c r="P5" s="159">
        <f>EXP('Non-Price Factors'!P10+VarianceFactor*LN('Levelized Costs'!P5/'Levelized Costs'!P$5))</f>
        <v>1</v>
      </c>
      <c r="Q5" s="159">
        <f>EXP('Non-Price Factors'!Q10+VarianceFactor*LN('Levelized Costs'!Q5/'Levelized Costs'!Q$5))</f>
        <v>1</v>
      </c>
      <c r="R5" s="159">
        <f>EXP('Non-Price Factors'!R10+VarianceFactor*LN('Levelized Costs'!R5/'Levelized Costs'!R$5))</f>
        <v>1</v>
      </c>
      <c r="S5" s="159">
        <f>EXP('Non-Price Factors'!S10+VarianceFactor*LN('Levelized Costs'!S5/'Levelized Costs'!S$5))</f>
        <v>1</v>
      </c>
      <c r="T5" s="159">
        <f>EXP('Non-Price Factors'!T10+VarianceFactor*LN('Levelized Costs'!T5/'Levelized Costs'!T$5))</f>
        <v>1</v>
      </c>
      <c r="U5" s="159">
        <f>EXP('Non-Price Factors'!U10+VarianceFactor*LN('Levelized Costs'!U5/'Levelized Costs'!U$5))</f>
        <v>1</v>
      </c>
      <c r="V5" s="159">
        <f>EXP('Non-Price Factors'!V10+VarianceFactor*LN('Levelized Costs'!V5/'Levelized Costs'!V$5))</f>
        <v>1</v>
      </c>
      <c r="W5" s="159">
        <f>EXP('Non-Price Factors'!W10+VarianceFactor*LN('Levelized Costs'!W5/'Levelized Costs'!W$5))</f>
        <v>1</v>
      </c>
    </row>
    <row r="6" spans="1:29">
      <c r="A6" s="9" t="str">
        <f>+'Total Allocation Weight'!A6</f>
        <v>HPWH</v>
      </c>
      <c r="B6" s="159">
        <f>EXP('Non-Price Factors'!B11+VarianceFactor*LN('Levelized Costs'!B6/'Levelized Costs'!B$5))</f>
        <v>6.3183155092770882E-5</v>
      </c>
      <c r="C6" s="159">
        <f>EXP('Non-Price Factors'!C11+VarianceFactor*LN('Levelized Costs'!C6/'Levelized Costs'!C$5))</f>
        <v>1.3348231526750943E-4</v>
      </c>
      <c r="D6" s="159">
        <f>EXP('Non-Price Factors'!D11+VarianceFactor*LN('Levelized Costs'!D6/'Levelized Costs'!D$5))</f>
        <v>2.6707925688834548E-4</v>
      </c>
      <c r="E6" s="159">
        <f>EXP('Non-Price Factors'!E11+VarianceFactor*LN('Levelized Costs'!E6/'Levelized Costs'!E$5))</f>
        <v>5.0814644049635978E-4</v>
      </c>
      <c r="F6" s="159">
        <f>EXP('Non-Price Factors'!F11+VarianceFactor*LN('Levelized Costs'!F6/'Levelized Costs'!F$5))</f>
        <v>9.227415641091185E-4</v>
      </c>
      <c r="G6" s="159">
        <f>EXP('Non-Price Factors'!G11+VarianceFactor*LN('Levelized Costs'!G6/'Levelized Costs'!G$5))</f>
        <v>1.6047420372928278E-3</v>
      </c>
      <c r="H6" s="159">
        <f>EXP('Non-Price Factors'!H11+VarianceFactor*LN('Levelized Costs'!H6/'Levelized Costs'!H$5))</f>
        <v>2.6813028632739536E-3</v>
      </c>
      <c r="I6" s="159">
        <f>EXP('Non-Price Factors'!I11+VarianceFactor*LN('Levelized Costs'!I6/'Levelized Costs'!I$5))</f>
        <v>4.3169967696268033E-3</v>
      </c>
      <c r="J6" s="159">
        <f>EXP('Non-Price Factors'!J11+VarianceFactor*LN('Levelized Costs'!J6/'Levelized Costs'!J$5))</f>
        <v>6.7158064102757513E-3</v>
      </c>
      <c r="K6" s="159">
        <f>EXP('Non-Price Factors'!K11+VarianceFactor*LN('Levelized Costs'!K6/'Levelized Costs'!K$5))</f>
        <v>1.012029599960569E-2</v>
      </c>
      <c r="L6" s="159">
        <f>EXP('Non-Price Factors'!L11+VarianceFactor*LN('Levelized Costs'!L6/'Levelized Costs'!L$5))</f>
        <v>1.4807574777029747E-2</v>
      </c>
      <c r="M6" s="159">
        <f>EXP('Non-Price Factors'!M11+VarianceFactor*LN('Levelized Costs'!M6/'Levelized Costs'!M$5))</f>
        <v>2.1082030057771563E-2</v>
      </c>
      <c r="N6" s="159">
        <f>EXP('Non-Price Factors'!N11+VarianceFactor*LN('Levelized Costs'!N6/'Levelized Costs'!N$5))</f>
        <v>2.9265190271110925E-2</v>
      </c>
      <c r="O6" s="159">
        <f>EXP('Non-Price Factors'!O11+VarianceFactor*LN('Levelized Costs'!O6/'Levelized Costs'!O$5))</f>
        <v>3.9683414685611984E-2</v>
      </c>
      <c r="P6" s="159">
        <f>EXP('Non-Price Factors'!P11+VarianceFactor*LN('Levelized Costs'!P6/'Levelized Costs'!P$5))</f>
        <v>5.265434585261429E-2</v>
      </c>
      <c r="Q6" s="159">
        <f>EXP('Non-Price Factors'!Q11+VarianceFactor*LN('Levelized Costs'!Q6/'Levelized Costs'!Q$5))</f>
        <v>6.8473174256555372E-2</v>
      </c>
      <c r="R6" s="159">
        <f>EXP('Non-Price Factors'!R11+VarianceFactor*LN('Levelized Costs'!R6/'Levelized Costs'!R$5))</f>
        <v>8.7399747563039323E-2</v>
      </c>
      <c r="S6" s="159">
        <f>EXP('Non-Price Factors'!S11+VarianceFactor*LN('Levelized Costs'!S6/'Levelized Costs'!S$5))</f>
        <v>0.10964742574858467</v>
      </c>
      <c r="T6" s="159">
        <f>EXP('Non-Price Factors'!T11+VarianceFactor*LN('Levelized Costs'!T6/'Levelized Costs'!T$5))</f>
        <v>0.13537436942649034</v>
      </c>
      <c r="U6" s="159">
        <f>EXP('Non-Price Factors'!U11+VarianceFactor*LN('Levelized Costs'!U6/'Levelized Costs'!U$5))</f>
        <v>0.16467768963012813</v>
      </c>
      <c r="V6" s="159">
        <f>EXP('Non-Price Factors'!V11+VarianceFactor*LN('Levelized Costs'!V6/'Levelized Costs'!V$5))</f>
        <v>0.1975906202454536</v>
      </c>
      <c r="W6" s="159">
        <f>EXP('Non-Price Factors'!W11+VarianceFactor*LN('Levelized Costs'!W6/'Levelized Costs'!W$5))</f>
        <v>0.23408263010874192</v>
      </c>
    </row>
    <row r="7" spans="1:29">
      <c r="A7" s="9" t="str">
        <f>+'Total Allocation Weight'!A7</f>
        <v>Gas Tank</v>
      </c>
      <c r="B7" s="159">
        <f>EXP('Non-Price Factors'!B12+VarianceFactor*LN('Levelized Costs'!B7/'Levelized Costs'!B$5))</f>
        <v>0.36950800466241457</v>
      </c>
      <c r="C7" s="159">
        <f>EXP('Non-Price Factors'!C12+VarianceFactor*LN('Levelized Costs'!C7/'Levelized Costs'!C$5))</f>
        <v>0.37067579197766504</v>
      </c>
      <c r="D7" s="159">
        <f>EXP('Non-Price Factors'!D12+VarianceFactor*LN('Levelized Costs'!D7/'Levelized Costs'!D$5))</f>
        <v>0.37182376732704997</v>
      </c>
      <c r="E7" s="159">
        <f>EXP('Non-Price Factors'!E12+VarianceFactor*LN('Levelized Costs'!E7/'Levelized Costs'!E$5))</f>
        <v>0.37295170964174384</v>
      </c>
      <c r="F7" s="159">
        <f>EXP('Non-Price Factors'!F12+VarianceFactor*LN('Levelized Costs'!F7/'Levelized Costs'!F$5))</f>
        <v>0.37405940533625331</v>
      </c>
      <c r="G7" s="159">
        <f>EXP('Non-Price Factors'!G12+VarianceFactor*LN('Levelized Costs'!G7/'Levelized Costs'!G$5))</f>
        <v>0.37514664839837358</v>
      </c>
      <c r="H7" s="159">
        <f>EXP('Non-Price Factors'!H12+VarianceFactor*LN('Levelized Costs'!H7/'Levelized Costs'!H$5))</f>
        <v>0.37621324047228238</v>
      </c>
      <c r="I7" s="159">
        <f>EXP('Non-Price Factors'!I12+VarianceFactor*LN('Levelized Costs'!I7/'Levelized Costs'!I$5))</f>
        <v>0.37725899093472792</v>
      </c>
      <c r="J7" s="159">
        <f>EXP('Non-Price Factors'!J12+VarianceFactor*LN('Levelized Costs'!J7/'Levelized Costs'!J$5))</f>
        <v>0.37828371696428442</v>
      </c>
      <c r="K7" s="159">
        <f>EXP('Non-Price Factors'!K12+VarianceFactor*LN('Levelized Costs'!K7/'Levelized Costs'!K$5))</f>
        <v>0.37928724360365934</v>
      </c>
      <c r="L7" s="159">
        <f>EXP('Non-Price Factors'!L12+VarianceFactor*LN('Levelized Costs'!L7/'Levelized Costs'!L$5))</f>
        <v>0.38026940381504132</v>
      </c>
      <c r="M7" s="159">
        <f>EXP('Non-Price Factors'!M12+VarianceFactor*LN('Levelized Costs'!M7/'Levelized Costs'!M$5))</f>
        <v>0.38123003852849491</v>
      </c>
      <c r="N7" s="159">
        <f>EXP('Non-Price Factors'!N12+VarianceFactor*LN('Levelized Costs'!N7/'Levelized Costs'!N$5))</f>
        <v>0.38216899668341486</v>
      </c>
      <c r="O7" s="159">
        <f>EXP('Non-Price Factors'!O12+VarianceFactor*LN('Levelized Costs'!O7/'Levelized Costs'!O$5))</f>
        <v>0.38308613526306545</v>
      </c>
      <c r="P7" s="159">
        <f>EXP('Non-Price Factors'!P12+VarianceFactor*LN('Levelized Costs'!P7/'Levelized Costs'!P$5))</f>
        <v>0.38398131932223478</v>
      </c>
      <c r="Q7" s="159">
        <f>EXP('Non-Price Factors'!Q12+VarianceFactor*LN('Levelized Costs'!Q7/'Levelized Costs'!Q$5))</f>
        <v>0.38485442200804987</v>
      </c>
      <c r="R7" s="159">
        <f>EXP('Non-Price Factors'!R12+VarianceFactor*LN('Levelized Costs'!R7/'Levelized Costs'!R$5))</f>
        <v>0.38570532457400958</v>
      </c>
      <c r="S7" s="159">
        <f>EXP('Non-Price Factors'!S12+VarianceFactor*LN('Levelized Costs'!S7/'Levelized Costs'!S$5))</f>
        <v>0.38653391638728568</v>
      </c>
      <c r="T7" s="159">
        <f>EXP('Non-Price Factors'!T12+VarianceFactor*LN('Levelized Costs'!T7/'Levelized Costs'!T$5))</f>
        <v>0.38734009492937838</v>
      </c>
      <c r="U7" s="159">
        <f>EXP('Non-Price Factors'!U12+VarianceFactor*LN('Levelized Costs'!U7/'Levelized Costs'!U$5))</f>
        <v>0.38812376579019453</v>
      </c>
      <c r="V7" s="159">
        <f>EXP('Non-Price Factors'!V12+VarianceFactor*LN('Levelized Costs'!V7/'Levelized Costs'!V$5))</f>
        <v>0.38888484265564321</v>
      </c>
      <c r="W7" s="159">
        <f>EXP('Non-Price Factors'!W12+VarianceFactor*LN('Levelized Costs'!W7/'Levelized Costs'!W$5))</f>
        <v>0.38962324728884179</v>
      </c>
    </row>
    <row r="8" spans="1:29">
      <c r="A8" s="9" t="str">
        <f>+'Total Allocation Weight'!A8</f>
        <v>Instant Gas</v>
      </c>
      <c r="B8" s="159">
        <f>EXP('Non-Price Factors'!B13+VarianceFactor*LN('Levelized Costs'!B8/'Levelized Costs'!B$5))</f>
        <v>1.7423788481688475E-5</v>
      </c>
      <c r="C8" s="159">
        <f>EXP('Non-Price Factors'!C13+VarianceFactor*LN('Levelized Costs'!C8/'Levelized Costs'!C$5))</f>
        <v>3.7049782667554814E-5</v>
      </c>
      <c r="D8" s="159">
        <f>EXP('Non-Price Factors'!D13+VarianceFactor*LN('Levelized Costs'!D8/'Levelized Costs'!D$5))</f>
        <v>7.4615389562075852E-5</v>
      </c>
      <c r="E8" s="159">
        <f>EXP('Non-Price Factors'!E13+VarianceFactor*LN('Levelized Costs'!E8/'Levelized Costs'!E$5))</f>
        <v>1.4289230972902516E-4</v>
      </c>
      <c r="F8" s="159">
        <f>EXP('Non-Price Factors'!F13+VarianceFactor*LN('Levelized Costs'!F8/'Levelized Costs'!F$5))</f>
        <v>2.6117818448080296E-4</v>
      </c>
      <c r="G8" s="159">
        <f>EXP('Non-Price Factors'!G13+VarianceFactor*LN('Levelized Costs'!G8/'Levelized Costs'!G$5))</f>
        <v>4.5719739558140526E-4</v>
      </c>
      <c r="H8" s="159">
        <f>EXP('Non-Price Factors'!H13+VarianceFactor*LN('Levelized Costs'!H8/'Levelized Costs'!H$5))</f>
        <v>7.6893684872940393E-4</v>
      </c>
      <c r="I8" s="159">
        <f>EXP('Non-Price Factors'!I13+VarianceFactor*LN('Levelized Costs'!I8/'Levelized Costs'!I$5))</f>
        <v>1.2461694733744897E-3</v>
      </c>
      <c r="J8" s="159">
        <f>EXP('Non-Price Factors'!J13+VarianceFactor*LN('Levelized Costs'!J8/'Levelized Costs'!J$5))</f>
        <v>1.9514083241757305E-3</v>
      </c>
      <c r="K8" s="159">
        <f>EXP('Non-Price Factors'!K13+VarianceFactor*LN('Levelized Costs'!K8/'Levelized Costs'!K$5))</f>
        <v>2.9600669190616726E-3</v>
      </c>
      <c r="L8" s="159">
        <f>EXP('Non-Price Factors'!L13+VarianceFactor*LN('Levelized Costs'!L8/'Levelized Costs'!L$5))</f>
        <v>4.3596740330541948E-3</v>
      </c>
      <c r="M8" s="159">
        <f>EXP('Non-Price Factors'!M13+VarianceFactor*LN('Levelized Costs'!M8/'Levelized Costs'!M$5))</f>
        <v>6.24809220198591E-3</v>
      </c>
      <c r="N8" s="159">
        <f>EXP('Non-Price Factors'!N13+VarianceFactor*LN('Levelized Costs'!N8/'Levelized Costs'!N$5))</f>
        <v>8.7308016479250416E-3</v>
      </c>
      <c r="O8" s="159">
        <f>EXP('Non-Price Factors'!O13+VarianceFactor*LN('Levelized Costs'!O8/'Levelized Costs'!O$5))</f>
        <v>1.1917416700488109E-2</v>
      </c>
      <c r="P8" s="159">
        <f>EXP('Non-Price Factors'!P13+VarianceFactor*LN('Levelized Costs'!P8/'Levelized Costs'!P$5))</f>
        <v>1.5917684086570877E-2</v>
      </c>
      <c r="Q8" s="159">
        <f>EXP('Non-Price Factors'!Q13+VarianceFactor*LN('Levelized Costs'!Q8/'Levelized Costs'!Q$5))</f>
        <v>2.0837261172863445E-2</v>
      </c>
      <c r="R8" s="159">
        <f>EXP('Non-Price Factors'!R13+VarianceFactor*LN('Levelized Costs'!R8/'Levelized Costs'!R$5))</f>
        <v>2.6773583543524205E-2</v>
      </c>
      <c r="S8" s="159">
        <f>EXP('Non-Price Factors'!S13+VarianceFactor*LN('Levelized Costs'!S8/'Levelized Costs'!S$5))</f>
        <v>3.3812107687669075E-2</v>
      </c>
      <c r="T8" s="159">
        <f>EXP('Non-Price Factors'!T13+VarianceFactor*LN('Levelized Costs'!T8/'Levelized Costs'!T$5))</f>
        <v>4.202316336514722E-2</v>
      </c>
      <c r="U8" s="159">
        <f>EXP('Non-Price Factors'!U13+VarianceFactor*LN('Levelized Costs'!U8/'Levelized Costs'!U$5))</f>
        <v>5.1459581410871647E-2</v>
      </c>
      <c r="V8" s="159">
        <f>EXP('Non-Price Factors'!V13+VarianceFactor*LN('Levelized Costs'!V8/'Levelized Costs'!V$5))</f>
        <v>6.2155186900788237E-2</v>
      </c>
      <c r="W8" s="159">
        <f>EXP('Non-Price Factors'!W13+VarianceFactor*LN('Levelized Costs'!W8/'Levelized Costs'!W$5))</f>
        <v>7.412417418125837E-2</v>
      </c>
    </row>
    <row r="9" spans="1:29">
      <c r="A9" s="9" t="str">
        <f>+'Total Allocation Weight'!A9</f>
        <v>Condensing Gas</v>
      </c>
      <c r="B9" s="159">
        <f>EXP('Non-Price Factors'!B14+VarianceFactor*LN('Levelized Costs'!B9/'Levelized Costs'!B$5))</f>
        <v>7.072111550463006E-5</v>
      </c>
      <c r="C9" s="159">
        <f>EXP('Non-Price Factors'!C14+VarianceFactor*LN('Levelized Costs'!C9/'Levelized Costs'!C$5))</f>
        <v>1.5008950930620101E-4</v>
      </c>
      <c r="D9" s="159">
        <f>EXP('Non-Price Factors'!D14+VarianceFactor*LN('Levelized Costs'!D9/'Levelized Costs'!D$5))</f>
        <v>3.0167855592875843E-4</v>
      </c>
      <c r="E9" s="159">
        <f>EXP('Non-Price Factors'!E14+VarianceFactor*LN('Levelized Costs'!E9/'Levelized Costs'!E$5))</f>
        <v>5.7659311304332701E-4</v>
      </c>
      <c r="F9" s="159">
        <f>EXP('Non-Price Factors'!F14+VarianceFactor*LN('Levelized Costs'!F9/'Levelized Costs'!F$5))</f>
        <v>1.0518051175916294E-3</v>
      </c>
      <c r="G9" s="159">
        <f>EXP('Non-Price Factors'!G14+VarianceFactor*LN('Levelized Costs'!G9/'Levelized Costs'!G$5))</f>
        <v>1.8375245590208579E-3</v>
      </c>
      <c r="H9" s="159">
        <f>EXP('Non-Price Factors'!H14+VarianceFactor*LN('Levelized Costs'!H9/'Levelized Costs'!H$5))</f>
        <v>3.0842129474059335E-3</v>
      </c>
      <c r="I9" s="159">
        <f>EXP('Non-Price Factors'!I14+VarianceFactor*LN('Levelized Costs'!I9/'Levelized Costs'!I$5))</f>
        <v>4.9882515051784945E-3</v>
      </c>
      <c r="J9" s="159">
        <f>EXP('Non-Price Factors'!J14+VarianceFactor*LN('Levelized Costs'!J9/'Levelized Costs'!J$5))</f>
        <v>7.7952533161345745E-3</v>
      </c>
      <c r="K9" s="159">
        <f>EXP('Non-Price Factors'!K14+VarianceFactor*LN('Levelized Costs'!K9/'Levelized Costs'!K$5))</f>
        <v>1.1800156608135343E-2</v>
      </c>
      <c r="L9" s="159">
        <f>EXP('Non-Price Factors'!L14+VarianceFactor*LN('Levelized Costs'!L9/'Levelized Costs'!L$5))</f>
        <v>1.7343540714605945E-2</v>
      </c>
      <c r="M9" s="159">
        <f>EXP('Non-Price Factors'!M14+VarianceFactor*LN('Levelized Costs'!M9/'Levelized Costs'!M$5))</f>
        <v>2.4804018465584714E-2</v>
      </c>
      <c r="N9" s="159">
        <f>EXP('Non-Price Factors'!N14+VarianceFactor*LN('Levelized Costs'!N9/'Levelized Costs'!N$5))</f>
        <v>3.4587008808045931E-2</v>
      </c>
      <c r="O9" s="159">
        <f>EXP('Non-Price Factors'!O14+VarianceFactor*LN('Levelized Costs'!O9/'Levelized Costs'!O$5))</f>
        <v>4.7110606978125968E-2</v>
      </c>
      <c r="P9" s="159">
        <f>EXP('Non-Price Factors'!P14+VarianceFactor*LN('Levelized Costs'!P9/'Levelized Costs'!P$5))</f>
        <v>6.2789583935567883E-2</v>
      </c>
      <c r="Q9" s="159">
        <f>EXP('Non-Price Factors'!Q14+VarianceFactor*LN('Levelized Costs'!Q9/'Levelized Costs'!Q$5))</f>
        <v>8.2018722369634006E-2</v>
      </c>
      <c r="R9" s="159">
        <f>EXP('Non-Price Factors'!R14+VarianceFactor*LN('Levelized Costs'!R9/'Levelized Costs'!R$5))</f>
        <v>0.10515672108860656</v>
      </c>
      <c r="S9" s="159">
        <f>EXP('Non-Price Factors'!S14+VarianceFactor*LN('Levelized Costs'!S9/'Levelized Costs'!S$5))</f>
        <v>0.13251178597734892</v>
      </c>
      <c r="T9" s="159">
        <f>EXP('Non-Price Factors'!T14+VarianceFactor*LN('Levelized Costs'!T9/'Levelized Costs'!T$5))</f>
        <v>0.16432980553128843</v>
      </c>
      <c r="U9" s="159">
        <f>EXP('Non-Price Factors'!U14+VarianceFactor*LN('Levelized Costs'!U9/'Levelized Costs'!U$5))</f>
        <v>0.20078572370681366</v>
      </c>
      <c r="V9" s="159">
        <f>EXP('Non-Price Factors'!V14+VarianceFactor*LN('Levelized Costs'!V9/'Levelized Costs'!V$5))</f>
        <v>0.2419784152694647</v>
      </c>
      <c r="W9" s="159">
        <f>EXP('Non-Price Factors'!W14+VarianceFactor*LN('Levelized Costs'!W9/'Levelized Costs'!W$5))</f>
        <v>0.28792907640892529</v>
      </c>
    </row>
    <row r="10" spans="1:29">
      <c r="A10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45"/>
  <sheetViews>
    <sheetView topLeftCell="A20" workbookViewId="0"/>
  </sheetViews>
  <sheetFormatPr defaultColWidth="9.140625" defaultRowHeight="15.75"/>
  <cols>
    <col min="1" max="1" width="4.140625" style="9" customWidth="1"/>
    <col min="2" max="2" width="46" style="9" customWidth="1"/>
    <col min="3" max="7" width="12.7109375" style="9" customWidth="1"/>
    <col min="8" max="25" width="14.7109375" style="9" bestFit="1" customWidth="1"/>
    <col min="26" max="27" width="10.5703125" style="9" bestFit="1" customWidth="1"/>
    <col min="28" max="16384" width="9.140625" style="9"/>
  </cols>
  <sheetData>
    <row r="1" spans="1:6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6" ht="31.5" customHeight="1">
      <c r="B3" s="178" t="str">
        <f>CONCATENATE("Marginal Market Shares (%) - ",State,", Single Family, ", SpaceHeat, ", ", TankSize,", ", StartWH, " is starting water heater")</f>
        <v>Marginal Market Shares (%) - Idaho, Single Family, Gas FAF, &lt;=55 Gallons, Electric Resistance is starting water heater</v>
      </c>
      <c r="C3" s="179"/>
      <c r="D3" s="179"/>
      <c r="E3" s="179"/>
      <c r="F3" s="179"/>
    </row>
    <row r="4" spans="1:6" ht="47.25">
      <c r="B4" s="81" t="s">
        <v>84</v>
      </c>
      <c r="C4" s="89" t="s">
        <v>116</v>
      </c>
      <c r="D4" s="89" t="s">
        <v>85</v>
      </c>
      <c r="E4" s="89" t="s">
        <v>107</v>
      </c>
      <c r="F4" s="94" t="s">
        <v>82</v>
      </c>
    </row>
    <row r="5" spans="1:6">
      <c r="B5" s="83" t="str">
        <f>'Marginal Market Share'!A5</f>
        <v>Electric Resistance</v>
      </c>
      <c r="C5" s="84">
        <f>'Marginal Market Share'!B5</f>
        <v>0.9999832177739062</v>
      </c>
      <c r="D5" s="84">
        <f>'Marginal Market Share'!W5</f>
        <v>0.50358575010723061</v>
      </c>
      <c r="E5" s="84">
        <f>'Marginal Market Share'!W13</f>
        <v>0</v>
      </c>
      <c r="F5" s="85">
        <f>E5-D5</f>
        <v>-0.50358575010723061</v>
      </c>
    </row>
    <row r="6" spans="1:6">
      <c r="B6" s="83" t="str">
        <f>'Marginal Market Share'!A6</f>
        <v>HPWH</v>
      </c>
      <c r="C6" s="84">
        <f>'Marginal Market Share'!B6</f>
        <v>2.8684626633871302E-9</v>
      </c>
      <c r="D6" s="84">
        <f>'Marginal Market Share'!W6</f>
        <v>0.11788067687038421</v>
      </c>
      <c r="E6" s="84">
        <f>'Marginal Market Share'!W14</f>
        <v>0</v>
      </c>
      <c r="F6" s="85">
        <f>E6-D6</f>
        <v>-0.11788067687038421</v>
      </c>
    </row>
    <row r="7" spans="1:6">
      <c r="B7" s="83" t="str">
        <f>'Marginal Market Share'!A7</f>
        <v>Gas Tank</v>
      </c>
      <c r="C7" s="84">
        <f>'Marginal Market Share'!B7</f>
        <v>1.6775355925808853E-5</v>
      </c>
      <c r="D7" s="84">
        <f>'Marginal Market Share'!W7</f>
        <v>0.19620871524516639</v>
      </c>
      <c r="E7" s="84">
        <f>'Marginal Market Share'!W15</f>
        <v>1</v>
      </c>
      <c r="F7" s="85">
        <f>E7-D7</f>
        <v>0.80379128475483363</v>
      </c>
    </row>
    <row r="8" spans="1:6">
      <c r="B8" s="83" t="str">
        <f>'Marginal Market Share'!A8</f>
        <v>Instant Gas</v>
      </c>
      <c r="C8" s="84">
        <f>'Marginal Market Share'!B8</f>
        <v>7.9102549787350737E-10</v>
      </c>
      <c r="D8" s="84">
        <f>'Marginal Market Share'!W8</f>
        <v>3.7327877856148016E-2</v>
      </c>
      <c r="E8" s="84">
        <f>'Marginal Market Share'!W16</f>
        <v>0</v>
      </c>
      <c r="F8" s="85">
        <f>E8-D8</f>
        <v>-3.7327877856148016E-2</v>
      </c>
    </row>
    <row r="9" spans="1:6">
      <c r="B9" s="86" t="str">
        <f>'Marginal Market Share'!A9</f>
        <v>Condensing Gas</v>
      </c>
      <c r="C9" s="87">
        <f>'Marginal Market Share'!B9</f>
        <v>3.2106797933762949E-9</v>
      </c>
      <c r="D9" s="87">
        <f>'Marginal Market Share'!W9</f>
        <v>0.14499697992107077</v>
      </c>
      <c r="E9" s="87">
        <f>'Marginal Market Share'!W17</f>
        <v>0</v>
      </c>
      <c r="F9" s="88">
        <f>E9-D9</f>
        <v>-0.14499697992107077</v>
      </c>
    </row>
    <row r="10" spans="1:6">
      <c r="B10" s="97"/>
      <c r="C10" s="84"/>
      <c r="D10" s="84"/>
      <c r="E10" s="84"/>
    </row>
    <row r="11" spans="1:6" ht="30.75" customHeight="1">
      <c r="B11" s="178" t="str">
        <f>CONCATENATE("Average Market Shares by Scenario (%) - ",State,", Single Family, ", SpaceHeat, ", ", TankSize,", ", StartWH, " is starting water heater")</f>
        <v>Average Market Shares by Scenario (%) - Idaho, Single Family, Gas FAF, &lt;=55 Gallons, Electric Resistance is starting water heater</v>
      </c>
      <c r="C11" s="179"/>
      <c r="D11" s="179"/>
      <c r="E11" s="179"/>
      <c r="F11" s="179"/>
    </row>
    <row r="12" spans="1:6" ht="47.25">
      <c r="B12" s="81" t="s">
        <v>84</v>
      </c>
      <c r="C12" s="89" t="s">
        <v>116</v>
      </c>
      <c r="D12" s="89" t="s">
        <v>85</v>
      </c>
      <c r="E12" s="89" t="s">
        <v>107</v>
      </c>
      <c r="F12" s="94" t="s">
        <v>82</v>
      </c>
    </row>
    <row r="13" spans="1:6">
      <c r="B13" s="83" t="str">
        <f>'Marginal Market Share'!A13</f>
        <v>Electric Resistance</v>
      </c>
      <c r="C13" s="84">
        <f>'Average Market Share'!B5</f>
        <v>1</v>
      </c>
      <c r="D13" s="84">
        <f>'Average Market Share'!W5</f>
        <v>0.71171382495088009</v>
      </c>
      <c r="E13" s="84">
        <f>'Average Market Share'!W13</f>
        <v>0.21092188755086921</v>
      </c>
      <c r="F13" s="85">
        <f>E13-D13</f>
        <v>-0.50079193740001093</v>
      </c>
    </row>
    <row r="14" spans="1:6">
      <c r="B14" s="83" t="str">
        <f>'Marginal Market Share'!A14</f>
        <v>HPWH</v>
      </c>
      <c r="C14" s="84">
        <f>'Average Market Share'!B6</f>
        <v>0</v>
      </c>
      <c r="D14" s="84">
        <f>'Average Market Share'!W6</f>
        <v>3.8272133976509866E-2</v>
      </c>
      <c r="E14" s="84">
        <f>'Average Market Share'!W14</f>
        <v>0</v>
      </c>
      <c r="F14" s="85">
        <f>E14-D14</f>
        <v>-3.8272133976509866E-2</v>
      </c>
    </row>
    <row r="15" spans="1:6">
      <c r="B15" s="83" t="str">
        <f>'Marginal Market Share'!A15</f>
        <v>Gas Tank</v>
      </c>
      <c r="C15" s="84">
        <f>'Average Market Share'!B7</f>
        <v>0</v>
      </c>
      <c r="D15" s="84">
        <f>'Average Market Share'!W7</f>
        <v>0.19165139624926439</v>
      </c>
      <c r="E15" s="84">
        <f>'Average Market Share'!W15</f>
        <v>0.78907811244913084</v>
      </c>
      <c r="F15" s="85">
        <f>E15-D15</f>
        <v>0.59742671619986643</v>
      </c>
    </row>
    <row r="16" spans="1:6">
      <c r="B16" s="83" t="str">
        <f>'Marginal Market Share'!A16</f>
        <v>Instant Gas</v>
      </c>
      <c r="C16" s="84">
        <f>'Average Market Share'!B8</f>
        <v>0</v>
      </c>
      <c r="D16" s="84">
        <f>'Average Market Share'!W8</f>
        <v>1.1888388429865194E-2</v>
      </c>
      <c r="E16" s="84">
        <f>'Average Market Share'!W16</f>
        <v>0</v>
      </c>
      <c r="F16" s="85">
        <f>E16-D16</f>
        <v>-1.1888388429865194E-2</v>
      </c>
    </row>
    <row r="17" spans="2:7">
      <c r="B17" s="86" t="str">
        <f>'Marginal Market Share'!A17</f>
        <v>Condensing Gas</v>
      </c>
      <c r="C17" s="87">
        <f>'Average Market Share'!B9</f>
        <v>0</v>
      </c>
      <c r="D17" s="87">
        <f>'Average Market Share'!W9</f>
        <v>4.6474256393480573E-2</v>
      </c>
      <c r="E17" s="87">
        <f>'Average Market Share'!W17</f>
        <v>0</v>
      </c>
      <c r="F17" s="88">
        <f>E17-D17</f>
        <v>-4.6474256393480573E-2</v>
      </c>
    </row>
    <row r="18" spans="2:7">
      <c r="B18" s="97"/>
      <c r="C18" s="84"/>
      <c r="D18" s="84"/>
      <c r="E18" s="84"/>
      <c r="F18" s="84"/>
    </row>
    <row r="19" spans="2:7" ht="31.5" customHeight="1">
      <c r="B19" s="178" t="str">
        <f>CONCATENATE("BAU Case Average Market Shares (%) - ",State,", Single Family, ", SpaceHeat, ", ", TankSize,", ", StartWH, " is starting water heater")</f>
        <v>BAU Case Average Market Shares (%) - Idaho, Single Family, Gas FAF, &lt;=55 Gallons, Electric Resistance is starting water heater</v>
      </c>
      <c r="C19" s="179"/>
      <c r="D19" s="179"/>
      <c r="E19" s="179"/>
      <c r="F19" s="179"/>
      <c r="G19" s="179"/>
    </row>
    <row r="20" spans="2:7">
      <c r="B20" s="81" t="s">
        <v>84</v>
      </c>
      <c r="C20" s="89">
        <v>2015</v>
      </c>
      <c r="D20" s="89">
        <v>2020</v>
      </c>
      <c r="E20" s="89">
        <v>2025</v>
      </c>
      <c r="F20" s="89">
        <v>2030</v>
      </c>
      <c r="G20" s="94">
        <v>2035</v>
      </c>
    </row>
    <row r="21" spans="2:7">
      <c r="B21" s="83" t="str">
        <f>'Average Market Share'!A5</f>
        <v>Electric Resistance</v>
      </c>
      <c r="C21" s="84">
        <f>'Average Market Share'!C5</f>
        <v>0.98067117932263481</v>
      </c>
      <c r="D21" s="84">
        <f>'Average Market Share'!H5</f>
        <v>0.90183063525605034</v>
      </c>
      <c r="E21" s="84">
        <f>'Average Market Share'!M5</f>
        <v>0.84236727174383585</v>
      </c>
      <c r="F21" s="84">
        <f>'Average Market Share'!R5</f>
        <v>0.78440473283895462</v>
      </c>
      <c r="G21" s="85">
        <f>'Average Market Share'!W5</f>
        <v>0.71171382495088009</v>
      </c>
    </row>
    <row r="22" spans="2:7">
      <c r="B22" s="83" t="str">
        <f>'Average Market Share'!A6</f>
        <v>HPWH</v>
      </c>
      <c r="C22" s="84">
        <f>'Average Market Share'!C6</f>
        <v>6.9543953551311843E-6</v>
      </c>
      <c r="D22" s="84">
        <f>'Average Market Share'!H6</f>
        <v>2.9326492466956726E-4</v>
      </c>
      <c r="E22" s="84">
        <f>'Average Market Share'!M6</f>
        <v>2.8307065744040639E-3</v>
      </c>
      <c r="F22" s="84">
        <f>'Average Market Share'!R6</f>
        <v>1.3502098565905495E-2</v>
      </c>
      <c r="G22" s="85">
        <f>'Average Market Share'!W6</f>
        <v>3.8272133976509866E-2</v>
      </c>
    </row>
    <row r="23" spans="2:7">
      <c r="B23" s="83" t="str">
        <f>'Average Market Share'!A7</f>
        <v>Gas Tank</v>
      </c>
      <c r="C23" s="84">
        <f>'Average Market Share'!C7</f>
        <v>1.9312116371542357E-2</v>
      </c>
      <c r="D23" s="84">
        <f>'Average Market Share'!H7</f>
        <v>9.7456701225556872E-2</v>
      </c>
      <c r="E23" s="84">
        <f>'Average Market Share'!M7</f>
        <v>0.15066341998178573</v>
      </c>
      <c r="F23" s="84">
        <f>'Average Market Share'!R7</f>
        <v>0.18192250935717855</v>
      </c>
      <c r="G23" s="85">
        <f>'Average Market Share'!W7</f>
        <v>0.19165139624926439</v>
      </c>
    </row>
    <row r="24" spans="2:7">
      <c r="B24" s="83" t="str">
        <f>'Average Market Share'!A8</f>
        <v>Instant Gas</v>
      </c>
      <c r="C24" s="84">
        <f>'Average Market Share'!C8</f>
        <v>1.9302844423659704E-6</v>
      </c>
      <c r="D24" s="84">
        <f>'Average Market Share'!H8</f>
        <v>8.3564448299484247E-5</v>
      </c>
      <c r="E24" s="84">
        <f>'Average Market Share'!M8</f>
        <v>8.3068047560608824E-4</v>
      </c>
      <c r="F24" s="84">
        <f>'Average Market Share'!R8</f>
        <v>4.0786937908338719E-3</v>
      </c>
      <c r="G24" s="85">
        <f>'Average Market Share'!W8</f>
        <v>1.1888388429865194E-2</v>
      </c>
    </row>
    <row r="25" spans="2:7">
      <c r="B25" s="86" t="str">
        <f>'Average Market Share'!A9</f>
        <v>Condensing Gas</v>
      </c>
      <c r="C25" s="87">
        <f>'Average Market Share'!C9</f>
        <v>7.8196260252239364E-6</v>
      </c>
      <c r="D25" s="87">
        <f>'Average Market Share'!H9</f>
        <v>3.3583414542364689E-4</v>
      </c>
      <c r="E25" s="87">
        <f>'Average Market Share'!M9</f>
        <v>3.3079212243682121E-3</v>
      </c>
      <c r="F25" s="87">
        <f>'Average Market Share'!R9</f>
        <v>1.6091965447127477E-2</v>
      </c>
      <c r="G25" s="88">
        <f>'Average Market Share'!W9</f>
        <v>4.6474256393480573E-2</v>
      </c>
    </row>
    <row r="26" spans="2:7">
      <c r="B26" s="97"/>
      <c r="C26" s="84"/>
      <c r="D26" s="84"/>
      <c r="E26" s="84"/>
      <c r="F26" s="84"/>
      <c r="G26" s="84"/>
    </row>
    <row r="27" spans="2:7" ht="33.75" customHeight="1">
      <c r="B27" s="178" t="str">
        <f>CONCATENATE("Least Cost Case Average Market Shares (%) - ",State,", Single Family, ", SpaceHeat, ", ", TankSize,", ", StartWH, " is starting water heater")</f>
        <v>Least Cost Case Average Market Shares (%) - Idaho, Single Family, Gas FAF, &lt;=55 Gallons, Electric Resistance is starting water heater</v>
      </c>
      <c r="C27" s="179"/>
      <c r="D27" s="179"/>
      <c r="E27" s="179"/>
      <c r="F27" s="179"/>
      <c r="G27" s="179"/>
    </row>
    <row r="28" spans="2:7">
      <c r="B28" s="81" t="s">
        <v>84</v>
      </c>
      <c r="C28" s="89">
        <v>2015</v>
      </c>
      <c r="D28" s="89">
        <v>2020</v>
      </c>
      <c r="E28" s="89">
        <v>2025</v>
      </c>
      <c r="F28" s="89">
        <v>2030</v>
      </c>
      <c r="G28" s="94">
        <v>2035</v>
      </c>
    </row>
    <row r="29" spans="2:7">
      <c r="B29" s="83" t="str">
        <f>'Average Market Share'!A13</f>
        <v>Electric Resistance</v>
      </c>
      <c r="C29" s="84">
        <f>'Average Market Share'!C13</f>
        <v>0.9285714285714286</v>
      </c>
      <c r="D29" s="84">
        <f>'Average Market Share'!H13</f>
        <v>0.64104999298761578</v>
      </c>
      <c r="E29" s="84">
        <f>'Average Market Share'!M13</f>
        <v>0.44255625454860847</v>
      </c>
      <c r="F29" s="84">
        <f>'Average Market Share'!R13</f>
        <v>0.30552381340385798</v>
      </c>
      <c r="G29" s="85">
        <f>'Average Market Share'!W13</f>
        <v>0.21092188755086921</v>
      </c>
    </row>
    <row r="30" spans="2:7">
      <c r="B30" s="83" t="str">
        <f>'Average Market Share'!A14</f>
        <v>HPWH</v>
      </c>
      <c r="C30" s="84">
        <f>'Average Market Share'!C14</f>
        <v>0</v>
      </c>
      <c r="D30" s="84">
        <f>'Average Market Share'!H14</f>
        <v>0</v>
      </c>
      <c r="E30" s="84">
        <f>'Average Market Share'!M14</f>
        <v>0</v>
      </c>
      <c r="F30" s="84">
        <f>'Average Market Share'!R14</f>
        <v>0</v>
      </c>
      <c r="G30" s="85">
        <f>'Average Market Share'!W14</f>
        <v>0</v>
      </c>
    </row>
    <row r="31" spans="2:7">
      <c r="B31" s="83" t="str">
        <f>'Average Market Share'!A15</f>
        <v>Gas Tank</v>
      </c>
      <c r="C31" s="84">
        <f>'Average Market Share'!C15</f>
        <v>7.1428571428571425E-2</v>
      </c>
      <c r="D31" s="84">
        <f>'Average Market Share'!H15</f>
        <v>0.35895000701238428</v>
      </c>
      <c r="E31" s="84">
        <f>'Average Market Share'!M15</f>
        <v>0.55744374545139164</v>
      </c>
      <c r="F31" s="84">
        <f>'Average Market Share'!R15</f>
        <v>0.69447618659614208</v>
      </c>
      <c r="G31" s="85">
        <f>'Average Market Share'!W15</f>
        <v>0.78907811244913084</v>
      </c>
    </row>
    <row r="32" spans="2:7">
      <c r="B32" s="83" t="str">
        <f>'Average Market Share'!A16</f>
        <v>Instant Gas</v>
      </c>
      <c r="C32" s="84">
        <f>'Average Market Share'!C16</f>
        <v>0</v>
      </c>
      <c r="D32" s="84">
        <f>'Average Market Share'!H16</f>
        <v>0</v>
      </c>
      <c r="E32" s="84">
        <f>'Average Market Share'!M16</f>
        <v>0</v>
      </c>
      <c r="F32" s="84">
        <f>'Average Market Share'!R16</f>
        <v>0</v>
      </c>
      <c r="G32" s="85">
        <f>'Average Market Share'!W16</f>
        <v>0</v>
      </c>
    </row>
    <row r="33" spans="2:7">
      <c r="B33" s="86" t="str">
        <f>'Average Market Share'!A17</f>
        <v>Condensing Gas</v>
      </c>
      <c r="C33" s="87">
        <f>'Average Market Share'!C17</f>
        <v>0</v>
      </c>
      <c r="D33" s="87">
        <f>'Average Market Share'!H17</f>
        <v>0</v>
      </c>
      <c r="E33" s="87">
        <f>'Average Market Share'!M17</f>
        <v>0</v>
      </c>
      <c r="F33" s="87">
        <f>'Average Market Share'!R17</f>
        <v>0</v>
      </c>
      <c r="G33" s="88">
        <f>'Average Market Share'!W17</f>
        <v>0</v>
      </c>
    </row>
    <row r="34" spans="2:7">
      <c r="B34" s="45"/>
      <c r="C34" s="80"/>
      <c r="D34" s="96"/>
    </row>
    <row r="35" spans="2:7" ht="34.5" customHeight="1">
      <c r="B35" s="178" t="str">
        <f>CONCATENATE("Change in Natural Gas Usage Least Cost vs BAU Case (tBtu) - ",State,", Single Family, ", SpaceHeat, ", ", TankSize,", ", StartWH, " is starting water heater")</f>
        <v>Change in Natural Gas Usage Least Cost vs BAU Case (tBtu) - Idaho, Single Family, Gas FAF, &lt;=55 Gallons, Electric Resistance is starting water heater</v>
      </c>
      <c r="C35" s="179"/>
      <c r="D35" s="179"/>
      <c r="E35" s="179"/>
      <c r="F35" s="179"/>
      <c r="G35" s="179"/>
    </row>
    <row r="36" spans="2:7">
      <c r="B36" s="81"/>
      <c r="C36" s="89">
        <v>2015</v>
      </c>
      <c r="D36" s="89">
        <v>2020</v>
      </c>
      <c r="E36" s="89">
        <v>2025</v>
      </c>
      <c r="F36" s="89">
        <v>2030</v>
      </c>
      <c r="G36" s="94">
        <v>2035</v>
      </c>
    </row>
    <row r="37" spans="2:7">
      <c r="B37" s="83" t="s">
        <v>167</v>
      </c>
      <c r="C37" s="133">
        <f>'Net Reduction in Gas'!C5</f>
        <v>9.1673576215612923E-2</v>
      </c>
      <c r="D37" s="133">
        <f>'Net Reduction in Gas'!H5</f>
        <v>0.45959539976355146</v>
      </c>
      <c r="E37" s="133">
        <f>'Net Reduction in Gas'!M5</f>
        <v>0.71141804664967445</v>
      </c>
      <c r="F37" s="133">
        <f>'Net Reduction in Gas'!R5</f>
        <v>0.88124675434666577</v>
      </c>
      <c r="G37" s="134">
        <f>'Net Reduction in Gas'!W5</f>
        <v>0.99181988491422168</v>
      </c>
    </row>
    <row r="38" spans="2:7">
      <c r="B38" s="83" t="s">
        <v>166</v>
      </c>
      <c r="C38" s="133">
        <f>-'Net Reduction in Gas'!C6</f>
        <v>-0.11471452309125625</v>
      </c>
      <c r="D38" s="133">
        <f>-'Net Reduction in Gas'!H6</f>
        <v>-0.57446357726871322</v>
      </c>
      <c r="E38" s="133">
        <f>-'Net Reduction in Gas'!M6</f>
        <v>-0.88321835384263592</v>
      </c>
      <c r="F38" s="133">
        <f>-'Net Reduction in Gas'!R6</f>
        <v>-1.0684655341762248</v>
      </c>
      <c r="G38" s="134">
        <f>-'Net Reduction in Gas'!W6</f>
        <v>-1.1426112128393915</v>
      </c>
    </row>
    <row r="39" spans="2:7">
      <c r="B39" s="86" t="s">
        <v>155</v>
      </c>
      <c r="C39" s="132">
        <f>'Net Reduction in Gas'!C7</f>
        <v>-2.3040946875643328E-2</v>
      </c>
      <c r="D39" s="132">
        <f>'Net Reduction in Gas'!H7</f>
        <v>-0.11486817750516176</v>
      </c>
      <c r="E39" s="132">
        <f>'Net Reduction in Gas'!M7</f>
        <v>-0.17180030719296147</v>
      </c>
      <c r="F39" s="132">
        <f>'Net Reduction in Gas'!R7</f>
        <v>-0.18721877982955903</v>
      </c>
      <c r="G39" s="135">
        <f>'Net Reduction in Gas'!W7</f>
        <v>-0.1507913279251698</v>
      </c>
    </row>
    <row r="40" spans="2:7">
      <c r="B40" s="97"/>
      <c r="C40" s="84"/>
      <c r="D40" s="84"/>
      <c r="E40" s="84"/>
      <c r="F40" s="84"/>
      <c r="G40" s="84"/>
    </row>
    <row r="41" spans="2:7" ht="36" customHeight="1">
      <c r="B41" s="180" t="str">
        <f>CONCATENATE("Change in Total Resource Cost due to Direct Use of Natural Gas in Least Cost vs BAU Case (2012 M$) - ",State,", Single Family, ", SpaceHeat, ", ", TankSize,", ", StartWH, " is starting water heater")</f>
        <v>Change in Total Resource Cost due to Direct Use of Natural Gas in Least Cost vs BAU Case (2012 M$) - Idaho, Single Family, Gas FAF, &lt;=55 Gallons, Electric Resistance is starting water heater</v>
      </c>
      <c r="C41" s="181"/>
      <c r="D41" s="181"/>
      <c r="E41" s="181"/>
      <c r="F41" s="181"/>
      <c r="G41" s="181"/>
    </row>
    <row r="42" spans="2:7" ht="31.5">
      <c r="B42" s="66" t="s">
        <v>78</v>
      </c>
      <c r="C42" s="137" t="str">
        <f>'Total Resource Cost'!B4</f>
        <v>NPV (2012 M$)</v>
      </c>
      <c r="D42" s="17"/>
      <c r="E42" s="17"/>
      <c r="F42" s="17"/>
    </row>
    <row r="43" spans="2:7">
      <c r="B43" s="167" t="str">
        <f>'Total Resource Cost'!A5</f>
        <v>Consumer Cost Reduction</v>
      </c>
      <c r="C43" s="168">
        <f>'Consumer Cost'!B7</f>
        <v>70.832481129269354</v>
      </c>
      <c r="D43" s="166"/>
      <c r="E43" s="166"/>
      <c r="F43" s="2"/>
    </row>
    <row r="44" spans="2:7">
      <c r="B44" s="167" t="str">
        <f>'Total Resource Cost'!A6</f>
        <v>Utility Cost Reduction</v>
      </c>
      <c r="C44" s="134">
        <f>'Utility Cost'!B4</f>
        <v>53.173823614633747</v>
      </c>
      <c r="D44" s="131"/>
    </row>
    <row r="45" spans="2:7">
      <c r="B45" s="169" t="str">
        <f>'Total Resource Cost'!A7</f>
        <v>Total Resource Cost Reduction</v>
      </c>
      <c r="C45" s="135">
        <f>'Total Resource Cost'!B7</f>
        <v>124.0063047439031</v>
      </c>
    </row>
  </sheetData>
  <mergeCells count="6">
    <mergeCell ref="B3:F3"/>
    <mergeCell ref="B35:G35"/>
    <mergeCell ref="B27:G27"/>
    <mergeCell ref="B41:G41"/>
    <mergeCell ref="B19:G19"/>
    <mergeCell ref="B11:F1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W13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23" ht="24" customHeight="1">
      <c r="A3" s="26" t="s">
        <v>31</v>
      </c>
    </row>
    <row r="4" spans="1:23" s="23" customFormat="1">
      <c r="A4" s="25" t="str">
        <f>+'Device Energy Use'!A4</f>
        <v>Water Heat Ending</v>
      </c>
      <c r="B4" s="21">
        <f>+'Fuel Cost'!B4</f>
        <v>2014</v>
      </c>
      <c r="C4" s="21">
        <f>+'Fuel Cost'!C4</f>
        <v>2015</v>
      </c>
      <c r="D4" s="21">
        <f>+'Fuel Cost'!D4</f>
        <v>2016</v>
      </c>
      <c r="E4" s="21">
        <f>+'Fuel Cost'!E4</f>
        <v>2017</v>
      </c>
      <c r="F4" s="21">
        <f>+'Fuel Cost'!F4</f>
        <v>2018</v>
      </c>
      <c r="G4" s="21">
        <f>+'Fuel Cost'!G4</f>
        <v>2019</v>
      </c>
      <c r="H4" s="21">
        <f>+'Fuel Cost'!H4</f>
        <v>2020</v>
      </c>
      <c r="I4" s="21">
        <f>+'Fuel Cost'!I4</f>
        <v>2021</v>
      </c>
      <c r="J4" s="21">
        <f>+'Fuel Cost'!J4</f>
        <v>2022</v>
      </c>
      <c r="K4" s="21">
        <f>+'Fuel Cost'!K4</f>
        <v>2023</v>
      </c>
      <c r="L4" s="21">
        <f>+'Fuel Cost'!L4</f>
        <v>2024</v>
      </c>
      <c r="M4" s="21">
        <f>+'Fuel Cost'!M4</f>
        <v>2025</v>
      </c>
      <c r="N4" s="21">
        <f>+'Fuel Cost'!N4</f>
        <v>2026</v>
      </c>
      <c r="O4" s="21">
        <f>+'Fuel Cost'!O4</f>
        <v>2027</v>
      </c>
      <c r="P4" s="21">
        <f>+'Fuel Cost'!P4</f>
        <v>2028</v>
      </c>
      <c r="Q4" s="21">
        <f>+'Fuel Cost'!Q4</f>
        <v>2029</v>
      </c>
      <c r="R4" s="21">
        <f>+'Fuel Cost'!R4</f>
        <v>2030</v>
      </c>
      <c r="S4" s="21">
        <f>+'Fuel Cost'!S4</f>
        <v>2031</v>
      </c>
      <c r="T4" s="21">
        <f>+'Fuel Cost'!T4</f>
        <v>2032</v>
      </c>
      <c r="U4" s="21">
        <f>+'Fuel Cost'!U4</f>
        <v>2033</v>
      </c>
      <c r="V4" s="21">
        <f>+'Fuel Cost'!V4</f>
        <v>2034</v>
      </c>
      <c r="W4" s="21">
        <f>+'Fuel Cost'!W4</f>
        <v>2035</v>
      </c>
    </row>
    <row r="5" spans="1:23">
      <c r="A5" s="9" t="str">
        <f>+'Device Energy Use'!A5</f>
        <v>Electric Resistance</v>
      </c>
      <c r="B5" s="28">
        <f>'Capital Cost'!$E5*CapitalChargeRate+'Fuel Cost'!B5 + 'O&amp;M Cost'!$D5</f>
        <v>365.5977724670272</v>
      </c>
      <c r="C5" s="28">
        <f>'Capital Cost'!$E5*CapitalChargeRate+'Fuel Cost'!C5 + 'O&amp;M Cost'!$D5</f>
        <v>369.47707571137812</v>
      </c>
      <c r="D5" s="28">
        <f>'Capital Cost'!$E5*CapitalChargeRate+'Fuel Cost'!D5 + 'O&amp;M Cost'!$D5</f>
        <v>373.40680989790565</v>
      </c>
      <c r="E5" s="28">
        <f>'Capital Cost'!$E5*CapitalChargeRate+'Fuel Cost'!E5 + 'O&amp;M Cost'!$D5</f>
        <v>377.38763062885789</v>
      </c>
      <c r="F5" s="28">
        <f>'Capital Cost'!$E5*CapitalChargeRate+'Fuel Cost'!F5 + 'O&amp;M Cost'!$D5</f>
        <v>381.42020202931269</v>
      </c>
      <c r="G5" s="28">
        <f>'Capital Cost'!$E5*CapitalChargeRate+'Fuel Cost'!G5 + 'O&amp;M Cost'!$D5</f>
        <v>385.50519685797326</v>
      </c>
      <c r="H5" s="28">
        <f>'Capital Cost'!$E5*CapitalChargeRate+'Fuel Cost'!H5 + 'O&amp;M Cost'!$D5</f>
        <v>389.64329661940644</v>
      </c>
      <c r="I5" s="28">
        <f>'Capital Cost'!$E5*CapitalChargeRate+'Fuel Cost'!I5 + 'O&amp;M Cost'!$D5</f>
        <v>393.83519167773829</v>
      </c>
      <c r="J5" s="28">
        <f>'Capital Cost'!$E5*CapitalChargeRate+'Fuel Cost'!J5 + 'O&amp;M Cost'!$D5</f>
        <v>398.08158137182841</v>
      </c>
      <c r="K5" s="28">
        <f>'Capital Cost'!$E5*CapitalChargeRate+'Fuel Cost'!K5 + 'O&amp;M Cost'!$D5</f>
        <v>402.3831741319417</v>
      </c>
      <c r="L5" s="28">
        <f>'Capital Cost'!$E5*CapitalChargeRate+'Fuel Cost'!L5 + 'O&amp;M Cost'!$D5</f>
        <v>406.74068759793647</v>
      </c>
      <c r="M5" s="28">
        <f>'Capital Cost'!$E5*CapitalChargeRate+'Fuel Cost'!M5 + 'O&amp;M Cost'!$D5</f>
        <v>411.15484873898924</v>
      </c>
      <c r="N5" s="28">
        <f>'Capital Cost'!$E5*CapitalChargeRate+'Fuel Cost'!N5 + 'O&amp;M Cost'!$D5</f>
        <v>415.62639397487567</v>
      </c>
      <c r="O5" s="28">
        <f>'Capital Cost'!$E5*CapitalChargeRate+'Fuel Cost'!O5 + 'O&amp;M Cost'!$D5</f>
        <v>420.15606929882858</v>
      </c>
      <c r="P5" s="28">
        <f>'Capital Cost'!$E5*CapitalChargeRate+'Fuel Cost'!P5 + 'O&amp;M Cost'!$D5</f>
        <v>424.74463040199294</v>
      </c>
      <c r="Q5" s="28">
        <f>'Capital Cost'!$E5*CapitalChargeRate+'Fuel Cost'!Q5 + 'O&amp;M Cost'!$D5</f>
        <v>429.39284279949834</v>
      </c>
      <c r="R5" s="28">
        <f>'Capital Cost'!$E5*CapitalChargeRate+'Fuel Cost'!R5 + 'O&amp;M Cost'!$D5</f>
        <v>434.10148195817135</v>
      </c>
      <c r="S5" s="28">
        <f>'Capital Cost'!$E5*CapitalChargeRate+'Fuel Cost'!S5 + 'O&amp;M Cost'!$D5</f>
        <v>438.8713334259071</v>
      </c>
      <c r="T5" s="28">
        <f>'Capital Cost'!$E5*CapitalChargeRate+'Fuel Cost'!T5 + 'O&amp;M Cost'!$D5</f>
        <v>443.70319296272339</v>
      </c>
      <c r="U5" s="28">
        <f>'Capital Cost'!$E5*CapitalChargeRate+'Fuel Cost'!U5 + 'O&amp;M Cost'!$D5</f>
        <v>448.5978666735183</v>
      </c>
      <c r="V5" s="28">
        <f>'Capital Cost'!$E5*CapitalChargeRate+'Fuel Cost'!V5 + 'O&amp;M Cost'!$D5</f>
        <v>453.55617114255358</v>
      </c>
      <c r="W5" s="28">
        <f>'Capital Cost'!$E5*CapitalChargeRate+'Fuel Cost'!W5 + 'O&amp;M Cost'!$D5</f>
        <v>458.57893356968634</v>
      </c>
    </row>
    <row r="6" spans="1:23">
      <c r="A6" s="9" t="str">
        <f>+'Device Energy Use'!A6</f>
        <v>HPWH</v>
      </c>
      <c r="B6" s="28">
        <f>'Capital Cost'!$E6*CapitalChargeRate+'Fuel Cost'!B6 + 'O&amp;M Cost'!$D6</f>
        <v>316.65925159968174</v>
      </c>
      <c r="C6" s="28">
        <f>'Capital Cost'!$E6*CapitalChargeRate+'Fuel Cost'!C6 + 'O&amp;M Cost'!$D6</f>
        <v>318.50192064074838</v>
      </c>
      <c r="D6" s="28">
        <f>'Capital Cost'!$E6*CapitalChargeRate+'Fuel Cost'!D6 + 'O&amp;M Cost'!$D6</f>
        <v>320.36854437934892</v>
      </c>
      <c r="E6" s="28">
        <f>'Capital Cost'!$E6*CapitalChargeRate+'Fuel Cost'!E6 + 'O&amp;M Cost'!$D6</f>
        <v>322.25943422655132</v>
      </c>
      <c r="F6" s="28">
        <f>'Capital Cost'!$E6*CapitalChargeRate+'Fuel Cost'!F6 + 'O&amp;M Cost'!$D6</f>
        <v>324.17490564176728</v>
      </c>
      <c r="G6" s="28">
        <f>'Capital Cost'!$E6*CapitalChargeRate+'Fuel Cost'!G6 + 'O&amp;M Cost'!$D6</f>
        <v>326.1152781853811</v>
      </c>
      <c r="H6" s="28">
        <f>'Capital Cost'!$E6*CapitalChargeRate+'Fuel Cost'!H6 + 'O&amp;M Cost'!$D6</f>
        <v>328.08087557206187</v>
      </c>
      <c r="I6" s="28">
        <f>'Capital Cost'!$E6*CapitalChargeRate+'Fuel Cost'!I6 + 'O&amp;M Cost'!$D6</f>
        <v>330.07202572476945</v>
      </c>
      <c r="J6" s="28">
        <f>'Capital Cost'!$E6*CapitalChargeRate+'Fuel Cost'!J6 + 'O&amp;M Cost'!$D6</f>
        <v>332.08906082946226</v>
      </c>
      <c r="K6" s="28">
        <f>'Capital Cost'!$E6*CapitalChargeRate+'Fuel Cost'!K6 + 'O&amp;M Cost'!$D6</f>
        <v>334.13231739051611</v>
      </c>
      <c r="L6" s="28">
        <f>'Capital Cost'!$E6*CapitalChargeRate+'Fuel Cost'!L6 + 'O&amp;M Cost'!$D6</f>
        <v>336.20213628686361</v>
      </c>
      <c r="M6" s="28">
        <f>'Capital Cost'!$E6*CapitalChargeRate+'Fuel Cost'!M6 + 'O&amp;M Cost'!$D6</f>
        <v>338.29886282886366</v>
      </c>
      <c r="N6" s="28">
        <f>'Capital Cost'!$E6*CapitalChargeRate+'Fuel Cost'!N6 + 'O&amp;M Cost'!$D6</f>
        <v>340.42284681590974</v>
      </c>
      <c r="O6" s="28">
        <f>'Capital Cost'!$E6*CapitalChargeRate+'Fuel Cost'!O6 + 'O&amp;M Cost'!$D6</f>
        <v>342.57444259478734</v>
      </c>
      <c r="P6" s="28">
        <f>'Capital Cost'!$E6*CapitalChargeRate+'Fuel Cost'!P6 + 'O&amp;M Cost'!$D6</f>
        <v>344.75400911879041</v>
      </c>
      <c r="Q6" s="28">
        <f>'Capital Cost'!$E6*CapitalChargeRate+'Fuel Cost'!Q6 + 'O&amp;M Cost'!$D6</f>
        <v>346.96191000760552</v>
      </c>
      <c r="R6" s="28">
        <f>'Capital Cost'!$E6*CapitalChargeRate+'Fuel Cost'!R6 + 'O&amp;M Cost'!$D6</f>
        <v>349.1985136079752</v>
      </c>
      <c r="S6" s="28">
        <f>'Capital Cost'!$E6*CapitalChargeRate+'Fuel Cost'!S6 + 'O&amp;M Cost'!$D6</f>
        <v>351.46419305514962</v>
      </c>
      <c r="T6" s="28">
        <f>'Capital Cost'!$E6*CapitalChargeRate+'Fuel Cost'!T6 + 'O&amp;M Cost'!$D6</f>
        <v>353.75932633513742</v>
      </c>
      <c r="U6" s="28">
        <f>'Capital Cost'!$E6*CapitalChargeRate+'Fuel Cost'!U6 + 'O&amp;M Cost'!$D6</f>
        <v>356.08429634776496</v>
      </c>
      <c r="V6" s="28">
        <f>'Capital Cost'!$E6*CapitalChargeRate+'Fuel Cost'!V6 + 'O&amp;M Cost'!$D6</f>
        <v>358.43949097055673</v>
      </c>
      <c r="W6" s="28">
        <f>'Capital Cost'!$E6*CapitalChargeRate+'Fuel Cost'!W6 + 'O&amp;M Cost'!$D6</f>
        <v>360.82530312344477</v>
      </c>
    </row>
    <row r="7" spans="1:23">
      <c r="A7" s="9" t="str">
        <f>+'Device Energy Use'!A7</f>
        <v>Gas Tank</v>
      </c>
      <c r="B7" s="28">
        <f>'Capital Cost'!$E7*CapitalChargeRate+'Fuel Cost'!B7 + 'O&amp;M Cost'!$D7</f>
        <v>236.23584495978116</v>
      </c>
      <c r="C7" s="28">
        <f>'Capital Cost'!$E7*CapitalChargeRate+'Fuel Cost'!C7 + 'O&amp;M Cost'!$D7</f>
        <v>238.41519867710136</v>
      </c>
      <c r="D7" s="28">
        <f>'Capital Cost'!$E7*CapitalChargeRate+'Fuel Cost'!D7 + 'O&amp;M Cost'!$D7</f>
        <v>240.62724270018137</v>
      </c>
      <c r="E7" s="28">
        <f>'Capital Cost'!$E7*CapitalChargeRate+'Fuel Cost'!E7 + 'O&amp;M Cost'!$D7</f>
        <v>242.87246738360759</v>
      </c>
      <c r="F7" s="28">
        <f>'Capital Cost'!$E7*CapitalChargeRate+'Fuel Cost'!F7 + 'O&amp;M Cost'!$D7</f>
        <v>245.15137043728521</v>
      </c>
      <c r="G7" s="28">
        <f>'Capital Cost'!$E7*CapitalChargeRate+'Fuel Cost'!G7 + 'O&amp;M Cost'!$D7</f>
        <v>247.46445703676798</v>
      </c>
      <c r="H7" s="28">
        <f>'Capital Cost'!$E7*CapitalChargeRate+'Fuel Cost'!H7 + 'O&amp;M Cost'!$D7</f>
        <v>249.81223993524301</v>
      </c>
      <c r="I7" s="28">
        <f>'Capital Cost'!$E7*CapitalChargeRate+'Fuel Cost'!I7 + 'O&amp;M Cost'!$D7</f>
        <v>252.19523957719514</v>
      </c>
      <c r="J7" s="28">
        <f>'Capital Cost'!$E7*CapitalChargeRate+'Fuel Cost'!J7 + 'O&amp;M Cost'!$D7</f>
        <v>254.61398421377655</v>
      </c>
      <c r="K7" s="28">
        <f>'Capital Cost'!$E7*CapitalChargeRate+'Fuel Cost'!K7 + 'O&amp;M Cost'!$D7</f>
        <v>257.06901001990667</v>
      </c>
      <c r="L7" s="28">
        <f>'Capital Cost'!$E7*CapitalChargeRate+'Fuel Cost'!L7 + 'O&amp;M Cost'!$D7</f>
        <v>259.56086121312876</v>
      </c>
      <c r="M7" s="28">
        <f>'Capital Cost'!$E7*CapitalChargeRate+'Fuel Cost'!M7 + 'O&amp;M Cost'!$D7</f>
        <v>262.09009017424916</v>
      </c>
      <c r="N7" s="28">
        <f>'Capital Cost'!$E7*CapitalChargeRate+'Fuel Cost'!N7 + 'O&amp;M Cost'!$D7</f>
        <v>264.6572575697864</v>
      </c>
      <c r="O7" s="28">
        <f>'Capital Cost'!$E7*CapitalChargeRate+'Fuel Cost'!O7 + 'O&amp;M Cost'!$D7</f>
        <v>267.26293247625665</v>
      </c>
      <c r="P7" s="28">
        <f>'Capital Cost'!$E7*CapitalChargeRate+'Fuel Cost'!P7 + 'O&amp;M Cost'!$D7</f>
        <v>269.907692506324</v>
      </c>
      <c r="Q7" s="28">
        <f>'Capital Cost'!$E7*CapitalChargeRate+'Fuel Cost'!Q7 + 'O&amp;M Cost'!$D7</f>
        <v>272.59212393684243</v>
      </c>
      <c r="R7" s="28">
        <f>'Capital Cost'!$E7*CapitalChargeRate+'Fuel Cost'!R7 + 'O&amp;M Cost'!$D7</f>
        <v>275.3168218388185</v>
      </c>
      <c r="S7" s="28">
        <f>'Capital Cost'!$E7*CapitalChargeRate+'Fuel Cost'!S7 + 'O&amp;M Cost'!$D7</f>
        <v>278.08239020932427</v>
      </c>
      <c r="T7" s="28">
        <f>'Capital Cost'!$E7*CapitalChargeRate+'Fuel Cost'!T7 + 'O&amp;M Cost'!$D7</f>
        <v>280.88944210538762</v>
      </c>
      <c r="U7" s="28">
        <f>'Capital Cost'!$E7*CapitalChargeRate+'Fuel Cost'!U7 + 'O&amp;M Cost'!$D7</f>
        <v>283.73859977989196</v>
      </c>
      <c r="V7" s="28">
        <f>'Capital Cost'!$E7*CapitalChargeRate+'Fuel Cost'!V7 + 'O&amp;M Cost'!$D7</f>
        <v>286.63049481951384</v>
      </c>
      <c r="W7" s="28">
        <f>'Capital Cost'!$E7*CapitalChargeRate+'Fuel Cost'!W7 + 'O&amp;M Cost'!$D7</f>
        <v>289.56576828472998</v>
      </c>
    </row>
    <row r="8" spans="1:23">
      <c r="A8" s="9" t="str">
        <f>+'Device Energy Use'!A8</f>
        <v>Instant Gas</v>
      </c>
      <c r="B8" s="28">
        <f>'Capital Cost'!$E8*CapitalChargeRate+'Fuel Cost'!B8 + 'O&amp;M Cost'!$D8</f>
        <v>554.41516635744085</v>
      </c>
      <c r="C8" s="28">
        <f>'Capital Cost'!$E8*CapitalChargeRate+'Fuel Cost'!C8 + 'O&amp;M Cost'!$D8</f>
        <v>556.06889960327635</v>
      </c>
      <c r="D8" s="28">
        <f>'Capital Cost'!$E8*CapitalChargeRate+'Fuel Cost'!D8 + 'O&amp;M Cost'!$D8</f>
        <v>557.74743884779923</v>
      </c>
      <c r="E8" s="28">
        <f>'Capital Cost'!$E8*CapitalChargeRate+'Fuel Cost'!E8 + 'O&amp;M Cost'!$D8</f>
        <v>559.4511561809901</v>
      </c>
      <c r="F8" s="28">
        <f>'Capital Cost'!$E8*CapitalChargeRate+'Fuel Cost'!F8 + 'O&amp;M Cost'!$D8</f>
        <v>561.18042927417878</v>
      </c>
      <c r="G8" s="28">
        <f>'Capital Cost'!$E8*CapitalChargeRate+'Fuel Cost'!G8 + 'O&amp;M Cost'!$D8</f>
        <v>562.93564146376525</v>
      </c>
      <c r="H8" s="28">
        <f>'Capital Cost'!$E8*CapitalChargeRate+'Fuel Cost'!H8 + 'O&amp;M Cost'!$D8</f>
        <v>564.71718183619555</v>
      </c>
      <c r="I8" s="28">
        <f>'Capital Cost'!$E8*CapitalChargeRate+'Fuel Cost'!I8 + 'O&amp;M Cost'!$D8</f>
        <v>566.52544531421233</v>
      </c>
      <c r="J8" s="28">
        <f>'Capital Cost'!$E8*CapitalChargeRate+'Fuel Cost'!J8 + 'O&amp;M Cost'!$D8</f>
        <v>568.36083274439943</v>
      </c>
      <c r="K8" s="28">
        <f>'Capital Cost'!$E8*CapitalChargeRate+'Fuel Cost'!K8 + 'O&amp;M Cost'!$D8</f>
        <v>570.22375098603925</v>
      </c>
      <c r="L8" s="28">
        <f>'Capital Cost'!$E8*CapitalChargeRate+'Fuel Cost'!L8 + 'O&amp;M Cost'!$D8</f>
        <v>572.1146130013035</v>
      </c>
      <c r="M8" s="28">
        <f>'Capital Cost'!$E8*CapitalChargeRate+'Fuel Cost'!M8 + 'O&amp;M Cost'!$D8</f>
        <v>574.03383794679689</v>
      </c>
      <c r="N8" s="28">
        <f>'Capital Cost'!$E8*CapitalChargeRate+'Fuel Cost'!N8 + 'O&amp;M Cost'!$D8</f>
        <v>575.98185126647275</v>
      </c>
      <c r="O8" s="28">
        <f>'Capital Cost'!$E8*CapitalChargeRate+'Fuel Cost'!O8 + 'O&amp;M Cost'!$D8</f>
        <v>577.95908478594367</v>
      </c>
      <c r="P8" s="28">
        <f>'Capital Cost'!$E8*CapitalChargeRate+'Fuel Cost'!P8 + 'O&amp;M Cost'!$D8</f>
        <v>579.96597680820673</v>
      </c>
      <c r="Q8" s="28">
        <f>'Capital Cost'!$E8*CapitalChargeRate+'Fuel Cost'!Q8 + 'O&amp;M Cost'!$D8</f>
        <v>582.00297221080359</v>
      </c>
      <c r="R8" s="28">
        <f>'Capital Cost'!$E8*CapitalChargeRate+'Fuel Cost'!R8 + 'O&amp;M Cost'!$D8</f>
        <v>584.07052254443943</v>
      </c>
      <c r="S8" s="28">
        <f>'Capital Cost'!$E8*CapitalChargeRate+'Fuel Cost'!S8 + 'O&amp;M Cost'!$D8</f>
        <v>586.16908613307987</v>
      </c>
      <c r="T8" s="28">
        <f>'Capital Cost'!$E8*CapitalChargeRate+'Fuel Cost'!T8 + 'O&amp;M Cost'!$D8</f>
        <v>588.29912817554987</v>
      </c>
      <c r="U8" s="28">
        <f>'Capital Cost'!$E8*CapitalChargeRate+'Fuel Cost'!U8 + 'O&amp;M Cost'!$D8</f>
        <v>590.46112084865695</v>
      </c>
      <c r="V8" s="28">
        <f>'Capital Cost'!$E8*CapitalChargeRate+'Fuel Cost'!V8 + 'O&amp;M Cost'!$D8</f>
        <v>592.65554341186066</v>
      </c>
      <c r="W8" s="28">
        <f>'Capital Cost'!$E8*CapitalChargeRate+'Fuel Cost'!W8 + 'O&amp;M Cost'!$D8</f>
        <v>594.88288231351248</v>
      </c>
    </row>
    <row r="9" spans="1:23">
      <c r="A9" s="9" t="str">
        <f>+'Device Energy Use'!A9</f>
        <v>Condensing Gas</v>
      </c>
      <c r="B9" s="28">
        <f>'Capital Cost'!$E9*CapitalChargeRate+'Fuel Cost'!B9 + 'O&amp;M Cost'!$D9</f>
        <v>301.51611712038664</v>
      </c>
      <c r="C9" s="28">
        <f>'Capital Cost'!$E9*CapitalChargeRate+'Fuel Cost'!C9 + 'O&amp;M Cost'!$D9</f>
        <v>302.67047102447412</v>
      </c>
      <c r="D9" s="28">
        <f>'Capital Cost'!$E9*CapitalChargeRate+'Fuel Cost'!D9 + 'O&amp;M Cost'!$D9</f>
        <v>303.84214023712286</v>
      </c>
      <c r="E9" s="28">
        <f>'Capital Cost'!$E9*CapitalChargeRate+'Fuel Cost'!E9 + 'O&amp;M Cost'!$D9</f>
        <v>305.0313844879613</v>
      </c>
      <c r="F9" s="28">
        <f>'Capital Cost'!$E9*CapitalChargeRate+'Fuel Cost'!F9 + 'O&amp;M Cost'!$D9</f>
        <v>306.23846740256238</v>
      </c>
      <c r="G9" s="28">
        <f>'Capital Cost'!$E9*CapitalChargeRate+'Fuel Cost'!G9 + 'O&amp;M Cost'!$D9</f>
        <v>307.46365656088244</v>
      </c>
      <c r="H9" s="28">
        <f>'Capital Cost'!$E9*CapitalChargeRate+'Fuel Cost'!H9 + 'O&amp;M Cost'!$D9</f>
        <v>308.70722355657733</v>
      </c>
      <c r="I9" s="28">
        <f>'Capital Cost'!$E9*CapitalChargeRate+'Fuel Cost'!I9 + 'O&amp;M Cost'!$D9</f>
        <v>309.96944405720762</v>
      </c>
      <c r="J9" s="28">
        <f>'Capital Cost'!$E9*CapitalChargeRate+'Fuel Cost'!J9 + 'O&amp;M Cost'!$D9</f>
        <v>311.25059786534734</v>
      </c>
      <c r="K9" s="28">
        <f>'Capital Cost'!$E9*CapitalChargeRate+'Fuel Cost'!K9 + 'O&amp;M Cost'!$D9</f>
        <v>312.55096898060918</v>
      </c>
      <c r="L9" s="28">
        <f>'Capital Cost'!$E9*CapitalChargeRate+'Fuel Cost'!L9 + 'O&amp;M Cost'!$D9</f>
        <v>313.87084566259995</v>
      </c>
      <c r="M9" s="28">
        <f>'Capital Cost'!$E9*CapitalChargeRate+'Fuel Cost'!M9 + 'O&amp;M Cost'!$D9</f>
        <v>315.21052049482057</v>
      </c>
      <c r="N9" s="28">
        <f>'Capital Cost'!$E9*CapitalChargeRate+'Fuel Cost'!N9 + 'O&amp;M Cost'!$D9</f>
        <v>316.57029044952452</v>
      </c>
      <c r="O9" s="28">
        <f>'Capital Cost'!$E9*CapitalChargeRate+'Fuel Cost'!O9 + 'O&amp;M Cost'!$D9</f>
        <v>317.95045695354906</v>
      </c>
      <c r="P9" s="28">
        <f>'Capital Cost'!$E9*CapitalChargeRate+'Fuel Cost'!P9 + 'O&amp;M Cost'!$D9</f>
        <v>319.35132595513392</v>
      </c>
      <c r="Q9" s="28">
        <f>'Capital Cost'!$E9*CapitalChargeRate+'Fuel Cost'!Q9 + 'O&amp;M Cost'!$D9</f>
        <v>320.77320799174254</v>
      </c>
      <c r="R9" s="28">
        <f>'Capital Cost'!$E9*CapitalChargeRate+'Fuel Cost'!R9 + 'O&amp;M Cost'!$D9</f>
        <v>322.21641825890032</v>
      </c>
      <c r="S9" s="28">
        <f>'Capital Cost'!$E9*CapitalChargeRate+'Fuel Cost'!S9 + 'O&amp;M Cost'!$D9</f>
        <v>323.68127668006548</v>
      </c>
      <c r="T9" s="28">
        <f>'Capital Cost'!$E9*CapitalChargeRate+'Fuel Cost'!T9 + 'O&amp;M Cost'!$D9</f>
        <v>325.16810797754806</v>
      </c>
      <c r="U9" s="28">
        <f>'Capital Cost'!$E9*CapitalChargeRate+'Fuel Cost'!U9 + 'O&amp;M Cost'!$D9</f>
        <v>326.6772417444929</v>
      </c>
      <c r="V9" s="28">
        <f>'Capital Cost'!$E9*CapitalChargeRate+'Fuel Cost'!V9 + 'O&amp;M Cost'!$D9</f>
        <v>328.20901251794191</v>
      </c>
      <c r="W9" s="28">
        <f>'Capital Cost'!$E9*CapitalChargeRate+'Fuel Cost'!W9 + 'O&amp;M Cost'!$D9</f>
        <v>329.76375985299273</v>
      </c>
    </row>
    <row r="11" spans="1:23">
      <c r="A11" s="29" t="s">
        <v>94</v>
      </c>
    </row>
    <row r="13" spans="1:23">
      <c r="A13" s="9" t="s">
        <v>98</v>
      </c>
      <c r="B13" s="28">
        <f t="shared" ref="B13:W13" si="0">MIN(B5:B9)</f>
        <v>236.23584495978116</v>
      </c>
      <c r="C13" s="28">
        <f t="shared" si="0"/>
        <v>238.41519867710136</v>
      </c>
      <c r="D13" s="28">
        <f t="shared" si="0"/>
        <v>240.62724270018137</v>
      </c>
      <c r="E13" s="28">
        <f t="shared" si="0"/>
        <v>242.87246738360759</v>
      </c>
      <c r="F13" s="28">
        <f t="shared" si="0"/>
        <v>245.15137043728521</v>
      </c>
      <c r="G13" s="28">
        <f t="shared" si="0"/>
        <v>247.46445703676798</v>
      </c>
      <c r="H13" s="28">
        <f t="shared" si="0"/>
        <v>249.81223993524301</v>
      </c>
      <c r="I13" s="28">
        <f t="shared" si="0"/>
        <v>252.19523957719514</v>
      </c>
      <c r="J13" s="28">
        <f t="shared" si="0"/>
        <v>254.61398421377655</v>
      </c>
      <c r="K13" s="28">
        <f t="shared" si="0"/>
        <v>257.06901001990667</v>
      </c>
      <c r="L13" s="28">
        <f t="shared" si="0"/>
        <v>259.56086121312876</v>
      </c>
      <c r="M13" s="28">
        <f t="shared" si="0"/>
        <v>262.09009017424916</v>
      </c>
      <c r="N13" s="28">
        <f t="shared" si="0"/>
        <v>264.6572575697864</v>
      </c>
      <c r="O13" s="28">
        <f t="shared" si="0"/>
        <v>267.26293247625665</v>
      </c>
      <c r="P13" s="28">
        <f t="shared" si="0"/>
        <v>269.907692506324</v>
      </c>
      <c r="Q13" s="28">
        <f t="shared" si="0"/>
        <v>272.59212393684243</v>
      </c>
      <c r="R13" s="28">
        <f t="shared" si="0"/>
        <v>275.3168218388185</v>
      </c>
      <c r="S13" s="28">
        <f t="shared" si="0"/>
        <v>278.08239020932427</v>
      </c>
      <c r="T13" s="28">
        <f t="shared" si="0"/>
        <v>280.88944210538762</v>
      </c>
      <c r="U13" s="28">
        <f t="shared" si="0"/>
        <v>283.73859977989196</v>
      </c>
      <c r="V13" s="28">
        <f t="shared" si="0"/>
        <v>286.63049481951384</v>
      </c>
      <c r="W13" s="28">
        <f t="shared" si="0"/>
        <v>289.56576828472998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W10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8" width="8.7109375" style="9" bestFit="1" customWidth="1"/>
    <col min="9" max="29" width="9.28515625" style="9" bestFit="1" customWidth="1"/>
    <col min="30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23" ht="24.75" customHeight="1">
      <c r="A3" s="26" t="s">
        <v>39</v>
      </c>
    </row>
    <row r="4" spans="1:23" s="22" customFormat="1">
      <c r="A4" s="20" t="str">
        <f>+'Device Energy Use'!A4</f>
        <v>Water Heat Ending</v>
      </c>
      <c r="B4" s="21">
        <f>+'Retail Rates'!B4</f>
        <v>2014</v>
      </c>
      <c r="C4" s="21">
        <f>+'Retail Rates'!C4</f>
        <v>2015</v>
      </c>
      <c r="D4" s="21">
        <f>+'Retail Rates'!D4</f>
        <v>2016</v>
      </c>
      <c r="E4" s="21">
        <f>+'Retail Rates'!E4</f>
        <v>2017</v>
      </c>
      <c r="F4" s="21">
        <f>+'Retail Rates'!F4</f>
        <v>2018</v>
      </c>
      <c r="G4" s="21">
        <f>+'Retail Rates'!G4</f>
        <v>2019</v>
      </c>
      <c r="H4" s="21">
        <f>+'Retail Rates'!H4</f>
        <v>2020</v>
      </c>
      <c r="I4" s="21">
        <f>+'Retail Rates'!I4</f>
        <v>2021</v>
      </c>
      <c r="J4" s="21">
        <f>+'Retail Rates'!J4</f>
        <v>2022</v>
      </c>
      <c r="K4" s="21">
        <f>+'Retail Rates'!K4</f>
        <v>2023</v>
      </c>
      <c r="L4" s="21">
        <f>+'Retail Rates'!L4</f>
        <v>2024</v>
      </c>
      <c r="M4" s="21">
        <f>+'Retail Rates'!M4</f>
        <v>2025</v>
      </c>
      <c r="N4" s="21">
        <f>+'Retail Rates'!N4</f>
        <v>2026</v>
      </c>
      <c r="O4" s="21">
        <f>+'Retail Rates'!O4</f>
        <v>2027</v>
      </c>
      <c r="P4" s="21">
        <f>+'Retail Rates'!P4</f>
        <v>2028</v>
      </c>
      <c r="Q4" s="21">
        <f>+'Retail Rates'!Q4</f>
        <v>2029</v>
      </c>
      <c r="R4" s="21">
        <f>+'Retail Rates'!R4</f>
        <v>2030</v>
      </c>
      <c r="S4" s="21">
        <f>+'Retail Rates'!S4</f>
        <v>2031</v>
      </c>
      <c r="T4" s="21">
        <f>+'Retail Rates'!T4</f>
        <v>2032</v>
      </c>
      <c r="U4" s="21">
        <f>+'Retail Rates'!U4</f>
        <v>2033</v>
      </c>
      <c r="V4" s="21">
        <f>+'Retail Rates'!V4</f>
        <v>2034</v>
      </c>
      <c r="W4" s="21">
        <f>+'Retail Rates'!W4</f>
        <v>2035</v>
      </c>
    </row>
    <row r="5" spans="1:23">
      <c r="A5" s="15" t="str">
        <f>+'Device Energy Use'!A5</f>
        <v>Electric Resistance</v>
      </c>
      <c r="B5" s="11">
        <f>+'Device Energy Use'!$D5*('Retail Rates'!B$5*'Device Energy Use'!$E5+'Retail Rates'!B$6*(1-'Device Energy Use'!$E5))</f>
        <v>298.40794187314856</v>
      </c>
      <c r="C5" s="11">
        <f>+'Device Energy Use'!$D5*('Retail Rates'!C$5*'Device Energy Use'!$E5+'Retail Rates'!C$6*(1-'Device Energy Use'!$E5))</f>
        <v>302.28724511749948</v>
      </c>
      <c r="D5" s="11">
        <f>+'Device Energy Use'!$D5*('Retail Rates'!D$5*'Device Energy Use'!$E5+'Retail Rates'!D$6*(1-'Device Energy Use'!$E5))</f>
        <v>306.21697930402695</v>
      </c>
      <c r="E5" s="11">
        <f>+'Device Energy Use'!$D5*('Retail Rates'!E$5*'Device Energy Use'!$E5+'Retail Rates'!E$6*(1-'Device Energy Use'!$E5))</f>
        <v>310.19780003497925</v>
      </c>
      <c r="F5" s="11">
        <f>+'Device Energy Use'!$D5*('Retail Rates'!F$5*'Device Energy Use'!$E5+'Retail Rates'!F$6*(1-'Device Energy Use'!$E5))</f>
        <v>314.23037143543399</v>
      </c>
      <c r="G5" s="11">
        <f>+'Device Energy Use'!$D5*('Retail Rates'!G$5*'Device Energy Use'!$E5+'Retail Rates'!G$6*(1-'Device Energy Use'!$E5))</f>
        <v>318.31536626409456</v>
      </c>
      <c r="H5" s="11">
        <f>+'Device Energy Use'!$D5*('Retail Rates'!H$5*'Device Energy Use'!$E5+'Retail Rates'!H$6*(1-'Device Energy Use'!$E5))</f>
        <v>322.4534660255278</v>
      </c>
      <c r="I5" s="11">
        <f>+'Device Energy Use'!$D5*('Retail Rates'!I$5*'Device Energy Use'!$E5+'Retail Rates'!I$6*(1-'Device Energy Use'!$E5))</f>
        <v>326.6453610838596</v>
      </c>
      <c r="J5" s="11">
        <f>+'Device Energy Use'!$D5*('Retail Rates'!J$5*'Device Energy Use'!$E5+'Retail Rates'!J$6*(1-'Device Energy Use'!$E5))</f>
        <v>330.89175077794977</v>
      </c>
      <c r="K5" s="11">
        <f>+'Device Energy Use'!$D5*('Retail Rates'!K$5*'Device Energy Use'!$E5+'Retail Rates'!K$6*(1-'Device Energy Use'!$E5))</f>
        <v>335.19334353806306</v>
      </c>
      <c r="L5" s="11">
        <f>+'Device Energy Use'!$D5*('Retail Rates'!L$5*'Device Energy Use'!$E5+'Retail Rates'!L$6*(1-'Device Energy Use'!$E5))</f>
        <v>339.55085700405783</v>
      </c>
      <c r="M5" s="11">
        <f>+'Device Energy Use'!$D5*('Retail Rates'!M$5*'Device Energy Use'!$E5+'Retail Rates'!M$6*(1-'Device Energy Use'!$E5))</f>
        <v>343.96501814511055</v>
      </c>
      <c r="N5" s="11">
        <f>+'Device Energy Use'!$D5*('Retail Rates'!N$5*'Device Energy Use'!$E5+'Retail Rates'!N$6*(1-'Device Energy Use'!$E5))</f>
        <v>348.43656338099697</v>
      </c>
      <c r="O5" s="11">
        <f>+'Device Energy Use'!$D5*('Retail Rates'!O$5*'Device Energy Use'!$E5+'Retail Rates'!O$6*(1-'Device Energy Use'!$E5))</f>
        <v>352.96623870494989</v>
      </c>
      <c r="P5" s="11">
        <f>+'Device Energy Use'!$D5*('Retail Rates'!P$5*'Device Energy Use'!$E5+'Retail Rates'!P$6*(1-'Device Energy Use'!$E5))</f>
        <v>357.55479980811424</v>
      </c>
      <c r="Q5" s="11">
        <f>+'Device Energy Use'!$D5*('Retail Rates'!Q$5*'Device Energy Use'!$E5+'Retail Rates'!Q$6*(1-'Device Energy Use'!$E5))</f>
        <v>362.20301220561964</v>
      </c>
      <c r="R5" s="11">
        <f>+'Device Energy Use'!$D5*('Retail Rates'!R$5*'Device Energy Use'!$E5+'Retail Rates'!R$6*(1-'Device Energy Use'!$E5))</f>
        <v>366.91165136429265</v>
      </c>
      <c r="S5" s="11">
        <f>+'Device Energy Use'!$D5*('Retail Rates'!S$5*'Device Energy Use'!$E5+'Retail Rates'!S$6*(1-'Device Energy Use'!$E5))</f>
        <v>371.6815028320284</v>
      </c>
      <c r="T5" s="11">
        <f>+'Device Energy Use'!$D5*('Retail Rates'!T$5*'Device Energy Use'!$E5+'Retail Rates'!T$6*(1-'Device Energy Use'!$E5))</f>
        <v>376.5133623688447</v>
      </c>
      <c r="U5" s="11">
        <f>+'Device Energy Use'!$D5*('Retail Rates'!U$5*'Device Energy Use'!$E5+'Retail Rates'!U$6*(1-'Device Energy Use'!$E5))</f>
        <v>381.40803607963966</v>
      </c>
      <c r="V5" s="11">
        <f>+'Device Energy Use'!$D5*('Retail Rates'!V$5*'Device Energy Use'!$E5+'Retail Rates'!V$6*(1-'Device Energy Use'!$E5))</f>
        <v>386.36634054867488</v>
      </c>
      <c r="W5" s="11">
        <f>+'Device Energy Use'!$D5*('Retail Rates'!W$5*'Device Energy Use'!$E5+'Retail Rates'!W$6*(1-'Device Energy Use'!$E5))</f>
        <v>391.3891029758077</v>
      </c>
    </row>
    <row r="6" spans="1:23">
      <c r="A6" s="15" t="str">
        <f>+'Device Energy Use'!A6</f>
        <v>HPWH</v>
      </c>
      <c r="B6" s="11">
        <f>+'Device Energy Use'!$D6*('Retail Rates'!B$5*'Device Energy Use'!$E6+'Retail Rates'!B$6*(1-'Device Energy Use'!$E6))</f>
        <v>141.74377238974554</v>
      </c>
      <c r="C6" s="11">
        <f>+'Device Energy Use'!$D6*('Retail Rates'!C$5*'Device Energy Use'!$E6+'Retail Rates'!C$6*(1-'Device Energy Use'!$E6))</f>
        <v>143.58644143081222</v>
      </c>
      <c r="D6" s="11">
        <f>+'Device Energy Use'!$D6*('Retail Rates'!D$5*'Device Energy Use'!$E6+'Retail Rates'!D$6*(1-'Device Energy Use'!$E6))</f>
        <v>145.45306516941275</v>
      </c>
      <c r="E6" s="11">
        <f>+'Device Energy Use'!$D6*('Retail Rates'!E$5*'Device Energy Use'!$E6+'Retail Rates'!E$6*(1-'Device Energy Use'!$E6))</f>
        <v>147.34395501661513</v>
      </c>
      <c r="F6" s="11">
        <f>+'Device Energy Use'!$D6*('Retail Rates'!F$5*'Device Energy Use'!$E6+'Retail Rates'!F$6*(1-'Device Energy Use'!$E6))</f>
        <v>149.25942643183112</v>
      </c>
      <c r="G6" s="11">
        <f>+'Device Energy Use'!$D6*('Retail Rates'!G$5*'Device Energy Use'!$E6+'Retail Rates'!G$6*(1-'Device Energy Use'!$E6))</f>
        <v>151.19979897544491</v>
      </c>
      <c r="H6" s="11">
        <f>+'Device Energy Use'!$D6*('Retail Rates'!H$5*'Device Energy Use'!$E6+'Retail Rates'!H$6*(1-'Device Energy Use'!$E6))</f>
        <v>153.16539636212568</v>
      </c>
      <c r="I6" s="11">
        <f>+'Device Energy Use'!$D6*('Retail Rates'!I$5*'Device Energy Use'!$E6+'Retail Rates'!I$6*(1-'Device Energy Use'!$E6))</f>
        <v>155.15654651483328</v>
      </c>
      <c r="J6" s="11">
        <f>+'Device Energy Use'!$D6*('Retail Rates'!J$5*'Device Energy Use'!$E6+'Retail Rates'!J$6*(1-'Device Energy Use'!$E6))</f>
        <v>157.17358161952609</v>
      </c>
      <c r="K6" s="11">
        <f>+'Device Energy Use'!$D6*('Retail Rates'!K$5*'Device Energy Use'!$E6+'Retail Rates'!K$6*(1-'Device Energy Use'!$E6))</f>
        <v>159.21683818057991</v>
      </c>
      <c r="L6" s="11">
        <f>+'Device Energy Use'!$D6*('Retail Rates'!L$5*'Device Energy Use'!$E6+'Retail Rates'!L$6*(1-'Device Energy Use'!$E6))</f>
        <v>161.28665707692744</v>
      </c>
      <c r="M6" s="11">
        <f>+'Device Energy Use'!$D6*('Retail Rates'!M$5*'Device Energy Use'!$E6+'Retail Rates'!M$6*(1-'Device Energy Use'!$E6))</f>
        <v>163.3833836189275</v>
      </c>
      <c r="N6" s="11">
        <f>+'Device Energy Use'!$D6*('Retail Rates'!N$5*'Device Energy Use'!$E6+'Retail Rates'!N$6*(1-'Device Energy Use'!$E6))</f>
        <v>165.50736760597354</v>
      </c>
      <c r="O6" s="11">
        <f>+'Device Energy Use'!$D6*('Retail Rates'!O$5*'Device Energy Use'!$E6+'Retail Rates'!O$6*(1-'Device Energy Use'!$E6))</f>
        <v>167.65896338485118</v>
      </c>
      <c r="P6" s="11">
        <f>+'Device Energy Use'!$D6*('Retail Rates'!P$5*'Device Energy Use'!$E6+'Retail Rates'!P$6*(1-'Device Energy Use'!$E6))</f>
        <v>169.83852990885421</v>
      </c>
      <c r="Q6" s="11">
        <f>+'Device Energy Use'!$D6*('Retail Rates'!Q$5*'Device Energy Use'!$E6+'Retail Rates'!Q$6*(1-'Device Energy Use'!$E6))</f>
        <v>172.0464307976693</v>
      </c>
      <c r="R6" s="11">
        <f>+'Device Energy Use'!$D6*('Retail Rates'!R$5*'Device Energy Use'!$E6+'Retail Rates'!R$6*(1-'Device Energy Use'!$E6))</f>
        <v>174.28303439803898</v>
      </c>
      <c r="S6" s="11">
        <f>+'Device Energy Use'!$D6*('Retail Rates'!S$5*'Device Energy Use'!$E6+'Retail Rates'!S$6*(1-'Device Energy Use'!$E6))</f>
        <v>176.54871384521346</v>
      </c>
      <c r="T6" s="11">
        <f>+'Device Energy Use'!$D6*('Retail Rates'!T$5*'Device Energy Use'!$E6+'Retail Rates'!T$6*(1-'Device Energy Use'!$E6))</f>
        <v>178.84384712520119</v>
      </c>
      <c r="U6" s="11">
        <f>+'Device Energy Use'!$D6*('Retail Rates'!U$5*'Device Energy Use'!$E6+'Retail Rates'!U$6*(1-'Device Energy Use'!$E6))</f>
        <v>181.1688171378288</v>
      </c>
      <c r="V6" s="11">
        <f>+'Device Energy Use'!$D6*('Retail Rates'!V$5*'Device Energy Use'!$E6+'Retail Rates'!V$6*(1-'Device Energy Use'!$E6))</f>
        <v>183.52401176062054</v>
      </c>
      <c r="W6" s="11">
        <f>+'Device Energy Use'!$D6*('Retail Rates'!W$5*'Device Energy Use'!$E6+'Retail Rates'!W$6*(1-'Device Energy Use'!$E6))</f>
        <v>185.9098239135086</v>
      </c>
    </row>
    <row r="7" spans="1:23">
      <c r="A7" s="15" t="str">
        <f>+'Device Energy Use'!A7</f>
        <v>Gas Tank</v>
      </c>
      <c r="B7" s="11">
        <f>+'Device Energy Use'!$D7*('Retail Rates'!B$5*'Device Energy Use'!$E7+'Retail Rates'!B$6*(1-'Device Energy Use'!$E7))</f>
        <v>145.29024782134809</v>
      </c>
      <c r="C7" s="11">
        <f>+'Device Energy Use'!$D7*('Retail Rates'!C$5*'Device Energy Use'!$E7+'Retail Rates'!C$6*(1-'Device Energy Use'!$E7))</f>
        <v>147.46960153866829</v>
      </c>
      <c r="D7" s="11">
        <f>+'Device Energy Use'!$D7*('Retail Rates'!D$5*'Device Energy Use'!$E7+'Retail Rates'!D$6*(1-'Device Energy Use'!$E7))</f>
        <v>149.6816455617483</v>
      </c>
      <c r="E7" s="11">
        <f>+'Device Energy Use'!$D7*('Retail Rates'!E$5*'Device Energy Use'!$E7+'Retail Rates'!E$6*(1-'Device Energy Use'!$E7))</f>
        <v>151.92687024517451</v>
      </c>
      <c r="F7" s="11">
        <f>+'Device Energy Use'!$D7*('Retail Rates'!F$5*'Device Energy Use'!$E7+'Retail Rates'!F$6*(1-'Device Energy Use'!$E7))</f>
        <v>154.20577329885214</v>
      </c>
      <c r="G7" s="11">
        <f>+'Device Energy Use'!$D7*('Retail Rates'!G$5*'Device Energy Use'!$E7+'Retail Rates'!G$6*(1-'Device Energy Use'!$E7))</f>
        <v>156.51885989833491</v>
      </c>
      <c r="H7" s="11">
        <f>+'Device Energy Use'!$D7*('Retail Rates'!H$5*'Device Energy Use'!$E7+'Retail Rates'!H$6*(1-'Device Energy Use'!$E7))</f>
        <v>158.86664279680994</v>
      </c>
      <c r="I7" s="11">
        <f>+'Device Energy Use'!$D7*('Retail Rates'!I$5*'Device Energy Use'!$E7+'Retail Rates'!I$6*(1-'Device Energy Use'!$E7))</f>
        <v>161.24964243876207</v>
      </c>
      <c r="J7" s="11">
        <f>+'Device Energy Use'!$D7*('Retail Rates'!J$5*'Device Energy Use'!$E7+'Retail Rates'!J$6*(1-'Device Energy Use'!$E7))</f>
        <v>163.66838707534347</v>
      </c>
      <c r="K7" s="11">
        <f>+'Device Energy Use'!$D7*('Retail Rates'!K$5*'Device Energy Use'!$E7+'Retail Rates'!K$6*(1-'Device Energy Use'!$E7))</f>
        <v>166.1234128814736</v>
      </c>
      <c r="L7" s="11">
        <f>+'Device Energy Use'!$D7*('Retail Rates'!L$5*'Device Energy Use'!$E7+'Retail Rates'!L$6*(1-'Device Energy Use'!$E7))</f>
        <v>168.61526407469569</v>
      </c>
      <c r="M7" s="11">
        <f>+'Device Energy Use'!$D7*('Retail Rates'!M$5*'Device Energy Use'!$E7+'Retail Rates'!M$6*(1-'Device Energy Use'!$E7))</f>
        <v>171.14449303581611</v>
      </c>
      <c r="N7" s="11">
        <f>+'Device Energy Use'!$D7*('Retail Rates'!N$5*'Device Energy Use'!$E7+'Retail Rates'!N$6*(1-'Device Energy Use'!$E7))</f>
        <v>173.71166043135335</v>
      </c>
      <c r="O7" s="11">
        <f>+'Device Energy Use'!$D7*('Retail Rates'!O$5*'Device Energy Use'!$E7+'Retail Rates'!O$6*(1-'Device Energy Use'!$E7))</f>
        <v>176.31733533782361</v>
      </c>
      <c r="P7" s="11">
        <f>+'Device Energy Use'!$D7*('Retail Rates'!P$5*'Device Energy Use'!$E7+'Retail Rates'!P$6*(1-'Device Energy Use'!$E7))</f>
        <v>178.96209536789095</v>
      </c>
      <c r="Q7" s="11">
        <f>+'Device Energy Use'!$D7*('Retail Rates'!Q$5*'Device Energy Use'!$E7+'Retail Rates'!Q$6*(1-'Device Energy Use'!$E7))</f>
        <v>181.64652679840933</v>
      </c>
      <c r="R7" s="11">
        <f>+'Device Energy Use'!$D7*('Retail Rates'!R$5*'Device Energy Use'!$E7+'Retail Rates'!R$6*(1-'Device Energy Use'!$E7))</f>
        <v>184.37122470038543</v>
      </c>
      <c r="S7" s="11">
        <f>+'Device Energy Use'!$D7*('Retail Rates'!S$5*'Device Energy Use'!$E7+'Retail Rates'!S$6*(1-'Device Energy Use'!$E7))</f>
        <v>187.1367930708912</v>
      </c>
      <c r="T7" s="11">
        <f>+'Device Energy Use'!$D7*('Retail Rates'!T$5*'Device Energy Use'!$E7+'Retail Rates'!T$6*(1-'Device Energy Use'!$E7))</f>
        <v>189.94384496695457</v>
      </c>
      <c r="U7" s="11">
        <f>+'Device Energy Use'!$D7*('Retail Rates'!U$5*'Device Energy Use'!$E7+'Retail Rates'!U$6*(1-'Device Energy Use'!$E7))</f>
        <v>192.79300264145886</v>
      </c>
      <c r="V7" s="11">
        <f>+'Device Energy Use'!$D7*('Retail Rates'!V$5*'Device Energy Use'!$E7+'Retail Rates'!V$6*(1-'Device Energy Use'!$E7))</f>
        <v>195.68489768108074</v>
      </c>
      <c r="W7" s="11">
        <f>+'Device Energy Use'!$D7*('Retail Rates'!W$5*'Device Energy Use'!$E7+'Retail Rates'!W$6*(1-'Device Energy Use'!$E7))</f>
        <v>198.62017114629691</v>
      </c>
    </row>
    <row r="8" spans="1:23">
      <c r="A8" s="15" t="str">
        <f>+'Device Energy Use'!A8</f>
        <v>Instant Gas</v>
      </c>
      <c r="B8" s="11">
        <f>+'Device Energy Use'!$D8*('Retail Rates'!B$5*'Device Energy Use'!$E8+'Retail Rates'!B$6*(1-'Device Energy Use'!$E8))</f>
        <v>110.24888305569674</v>
      </c>
      <c r="C8" s="11">
        <f>+'Device Energy Use'!$D8*('Retail Rates'!C$5*'Device Energy Use'!$E8+'Retail Rates'!C$6*(1-'Device Energy Use'!$E8))</f>
        <v>111.90261630153219</v>
      </c>
      <c r="D8" s="11">
        <f>+'Device Energy Use'!$D8*('Retail Rates'!D$5*'Device Energy Use'!$E8+'Retail Rates'!D$6*(1-'Device Energy Use'!$E8))</f>
        <v>113.58115554605516</v>
      </c>
      <c r="E8" s="11">
        <f>+'Device Energy Use'!$D8*('Retail Rates'!E$5*'Device Energy Use'!$E8+'Retail Rates'!E$6*(1-'Device Energy Use'!$E8))</f>
        <v>115.28487287924598</v>
      </c>
      <c r="F8" s="11">
        <f>+'Device Energy Use'!$D8*('Retail Rates'!F$5*'Device Energy Use'!$E8+'Retail Rates'!F$6*(1-'Device Energy Use'!$E8))</f>
        <v>117.01414597243466</v>
      </c>
      <c r="G8" s="11">
        <f>+'Device Energy Use'!$D8*('Retail Rates'!G$5*'Device Energy Use'!$E8+'Retail Rates'!G$6*(1-'Device Energy Use'!$E8))</f>
        <v>118.76935816202118</v>
      </c>
      <c r="H8" s="11">
        <f>+'Device Energy Use'!$D8*('Retail Rates'!H$5*'Device Energy Use'!$E8+'Retail Rates'!H$6*(1-'Device Energy Use'!$E8))</f>
        <v>120.55089853445149</v>
      </c>
      <c r="I8" s="11">
        <f>+'Device Energy Use'!$D8*('Retail Rates'!I$5*'Device Energy Use'!$E8+'Retail Rates'!I$6*(1-'Device Energy Use'!$E8))</f>
        <v>122.35916201246825</v>
      </c>
      <c r="J8" s="11">
        <f>+'Device Energy Use'!$D8*('Retail Rates'!J$5*'Device Energy Use'!$E8+'Retail Rates'!J$6*(1-'Device Energy Use'!$E8))</f>
        <v>124.19454944265527</v>
      </c>
      <c r="K8" s="11">
        <f>+'Device Energy Use'!$D8*('Retail Rates'!K$5*'Device Energy Use'!$E8+'Retail Rates'!K$6*(1-'Device Energy Use'!$E8))</f>
        <v>126.05746768429508</v>
      </c>
      <c r="L8" s="11">
        <f>+'Device Energy Use'!$D8*('Retail Rates'!L$5*'Device Energy Use'!$E8+'Retail Rates'!L$6*(1-'Device Energy Use'!$E8))</f>
        <v>127.94832969955948</v>
      </c>
      <c r="M8" s="11">
        <f>+'Device Energy Use'!$D8*('Retail Rates'!M$5*'Device Energy Use'!$E8+'Retail Rates'!M$6*(1-'Device Energy Use'!$E8))</f>
        <v>129.86755464505288</v>
      </c>
      <c r="N8" s="11">
        <f>+'Device Energy Use'!$D8*('Retail Rates'!N$5*'Device Energy Use'!$E8+'Retail Rates'!N$6*(1-'Device Energy Use'!$E8))</f>
        <v>131.81556796472864</v>
      </c>
      <c r="O8" s="11">
        <f>+'Device Energy Use'!$D8*('Retail Rates'!O$5*'Device Energy Use'!$E8+'Retail Rates'!O$6*(1-'Device Energy Use'!$E8))</f>
        <v>133.79280148419957</v>
      </c>
      <c r="P8" s="11">
        <f>+'Device Energy Use'!$D8*('Retail Rates'!P$5*'Device Energy Use'!$E8+'Retail Rates'!P$6*(1-'Device Energy Use'!$E8))</f>
        <v>135.79969350646255</v>
      </c>
      <c r="Q8" s="11">
        <f>+'Device Energy Use'!$D8*('Retail Rates'!Q$5*'Device Energy Use'!$E8+'Retail Rates'!Q$6*(1-'Device Energy Use'!$E8))</f>
        <v>137.83668890905949</v>
      </c>
      <c r="R8" s="11">
        <f>+'Device Energy Use'!$D8*('Retail Rates'!R$5*'Device Energy Use'!$E8+'Retail Rates'!R$6*(1-'Device Energy Use'!$E8))</f>
        <v>139.90423924269535</v>
      </c>
      <c r="S8" s="11">
        <f>+'Device Energy Use'!$D8*('Retail Rates'!S$5*'Device Energy Use'!$E8+'Retail Rates'!S$6*(1-'Device Energy Use'!$E8))</f>
        <v>142.00280283133577</v>
      </c>
      <c r="T8" s="11">
        <f>+'Device Energy Use'!$D8*('Retail Rates'!T$5*'Device Energy Use'!$E8+'Retail Rates'!T$6*(1-'Device Energy Use'!$E8))</f>
        <v>144.13284487380579</v>
      </c>
      <c r="U8" s="11">
        <f>+'Device Energy Use'!$D8*('Retail Rates'!U$5*'Device Energy Use'!$E8+'Retail Rates'!U$6*(1-'Device Energy Use'!$E8))</f>
        <v>146.29483754691287</v>
      </c>
      <c r="V8" s="11">
        <f>+'Device Energy Use'!$D8*('Retail Rates'!V$5*'Device Energy Use'!$E8+'Retail Rates'!V$6*(1-'Device Energy Use'!$E8))</f>
        <v>148.48926011011656</v>
      </c>
      <c r="W8" s="11">
        <f>+'Device Energy Use'!$D8*('Retail Rates'!W$5*'Device Energy Use'!$E8+'Retail Rates'!W$6*(1-'Device Energy Use'!$E8))</f>
        <v>150.7165990117683</v>
      </c>
    </row>
    <row r="9" spans="1:23">
      <c r="A9" s="15" t="str">
        <f>+'Device Energy Use'!A9</f>
        <v>Condensing Gas</v>
      </c>
      <c r="B9" s="11">
        <f>+'Device Energy Use'!$D9*('Retail Rates'!B$5*'Device Energy Use'!$E9+'Retail Rates'!B$6*(1-'Device Energy Use'!$E9))</f>
        <v>76.956926939162628</v>
      </c>
      <c r="C9" s="11">
        <f>+'Device Energy Use'!$D9*('Retail Rates'!C$5*'Device Energy Use'!$E9+'Retail Rates'!C$6*(1-'Device Energy Use'!$E9))</f>
        <v>78.111280843250071</v>
      </c>
      <c r="D9" s="11">
        <f>+'Device Energy Use'!$D9*('Retail Rates'!D$5*'Device Energy Use'!$E9+'Retail Rates'!D$6*(1-'Device Energy Use'!$E9))</f>
        <v>79.282950055898809</v>
      </c>
      <c r="E9" s="11">
        <f>+'Device Energy Use'!$D9*('Retail Rates'!E$5*'Device Energy Use'!$E9+'Retail Rates'!E$6*(1-'Device Energy Use'!$E9))</f>
        <v>80.472194306737279</v>
      </c>
      <c r="F9" s="11">
        <f>+'Device Energy Use'!$D9*('Retail Rates'!F$5*'Device Energy Use'!$E9+'Retail Rates'!F$6*(1-'Device Energy Use'!$E9))</f>
        <v>81.679277221338339</v>
      </c>
      <c r="G9" s="11">
        <f>+'Device Energy Use'!$D9*('Retail Rates'!G$5*'Device Energy Use'!$E9+'Retail Rates'!G$6*(1-'Device Energy Use'!$E9))</f>
        <v>82.904466379658416</v>
      </c>
      <c r="H9" s="11">
        <f>+'Device Energy Use'!$D9*('Retail Rates'!H$5*'Device Energy Use'!$E9+'Retail Rates'!H$6*(1-'Device Energy Use'!$E9))</f>
        <v>84.148033375353293</v>
      </c>
      <c r="I9" s="11">
        <f>+'Device Energy Use'!$D9*('Retail Rates'!I$5*'Device Energy Use'!$E9+'Retail Rates'!I$6*(1-'Device Energy Use'!$E9))</f>
        <v>85.410253875983571</v>
      </c>
      <c r="J9" s="11">
        <f>+'Device Energy Use'!$D9*('Retail Rates'!J$5*'Device Energy Use'!$E9+'Retail Rates'!J$6*(1-'Device Energy Use'!$E9))</f>
        <v>86.691407684123334</v>
      </c>
      <c r="K9" s="11">
        <f>+'Device Energy Use'!$D9*('Retail Rates'!K$5*'Device Energy Use'!$E9+'Retail Rates'!K$6*(1-'Device Energy Use'!$E9))</f>
        <v>87.991778799385159</v>
      </c>
      <c r="L9" s="11">
        <f>+'Device Energy Use'!$D9*('Retail Rates'!L$5*'Device Energy Use'!$E9+'Retail Rates'!L$6*(1-'Device Energy Use'!$E9))</f>
        <v>89.311655481375922</v>
      </c>
      <c r="M9" s="11">
        <f>+'Device Energy Use'!$D9*('Retail Rates'!M$5*'Device Energy Use'!$E9+'Retail Rates'!M$6*(1-'Device Energy Use'!$E9))</f>
        <v>90.65133031359656</v>
      </c>
      <c r="N9" s="11">
        <f>+'Device Energy Use'!$D9*('Retail Rates'!N$5*'Device Energy Use'!$E9+'Retail Rates'!N$6*(1-'Device Energy Use'!$E9))</f>
        <v>92.011100268300495</v>
      </c>
      <c r="O9" s="11">
        <f>+'Device Energy Use'!$D9*('Retail Rates'!O$5*'Device Energy Use'!$E9+'Retail Rates'!O$6*(1-'Device Energy Use'!$E9))</f>
        <v>93.391266772324997</v>
      </c>
      <c r="P9" s="11">
        <f>+'Device Energy Use'!$D9*('Retail Rates'!P$5*'Device Energy Use'!$E9+'Retail Rates'!P$6*(1-'Device Energy Use'!$E9))</f>
        <v>94.792135773909862</v>
      </c>
      <c r="Q9" s="11">
        <f>+'Device Energy Use'!$D9*('Retail Rates'!Q$5*'Device Energy Use'!$E9+'Retail Rates'!Q$6*(1-'Device Energy Use'!$E9))</f>
        <v>96.214017810518513</v>
      </c>
      <c r="R9" s="11">
        <f>+'Device Energy Use'!$D9*('Retail Rates'!R$5*'Device Energy Use'!$E9+'Retail Rates'!R$6*(1-'Device Energy Use'!$E9))</f>
        <v>97.657228077676265</v>
      </c>
      <c r="S9" s="11">
        <f>+'Device Energy Use'!$D9*('Retail Rates'!S$5*'Device Energy Use'!$E9+'Retail Rates'!S$6*(1-'Device Energy Use'!$E9))</f>
        <v>99.122086498841412</v>
      </c>
      <c r="T9" s="11">
        <f>+'Device Energy Use'!$D9*('Retail Rates'!T$5*'Device Energy Use'!$E9+'Retail Rates'!T$6*(1-'Device Energy Use'!$E9))</f>
        <v>100.60891779632404</v>
      </c>
      <c r="U9" s="11">
        <f>+'Device Energy Use'!$D9*('Retail Rates'!U$5*'Device Energy Use'!$E9+'Retail Rates'!U$6*(1-'Device Energy Use'!$E9))</f>
        <v>102.11805156326888</v>
      </c>
      <c r="V9" s="11">
        <f>+'Device Energy Use'!$D9*('Retail Rates'!V$5*'Device Energy Use'!$E9+'Retail Rates'!V$6*(1-'Device Energy Use'!$E9))</f>
        <v>103.6498223367179</v>
      </c>
      <c r="W9" s="11">
        <f>+'Device Energy Use'!$D9*('Retail Rates'!W$5*'Device Energy Use'!$E9+'Retail Rates'!W$6*(1-'Device Energy Use'!$E9))</f>
        <v>105.20456967176867</v>
      </c>
    </row>
    <row r="10" spans="1:23">
      <c r="G10" s="1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K16"/>
  <sheetViews>
    <sheetView workbookViewId="0"/>
  </sheetViews>
  <sheetFormatPr defaultColWidth="8.85546875" defaultRowHeight="15.75"/>
  <cols>
    <col min="1" max="1" width="20.7109375" style="2" customWidth="1"/>
    <col min="2" max="2" width="17" style="5" customWidth="1"/>
    <col min="3" max="3" width="14.7109375" style="2" customWidth="1"/>
    <col min="4" max="7" width="12.7109375" style="2" customWidth="1"/>
    <col min="8" max="8" width="17" style="2" bestFit="1" customWidth="1"/>
    <col min="9" max="9" width="18.28515625" style="2" bestFit="1" customWidth="1"/>
    <col min="10" max="10" width="13" style="5" customWidth="1"/>
    <col min="11" max="11" width="12.28515625" style="2" bestFit="1" customWidth="1"/>
    <col min="12" max="12" width="9.140625" style="2" customWidth="1"/>
    <col min="13" max="16384" width="8.85546875" style="2"/>
  </cols>
  <sheetData>
    <row r="1" spans="1:11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11" ht="23.25" customHeight="1">
      <c r="A3" s="27" t="s">
        <v>89</v>
      </c>
    </row>
    <row r="4" spans="1:11" s="19" customFormat="1" ht="47.25">
      <c r="A4" s="17" t="s">
        <v>0</v>
      </c>
      <c r="B4" s="17" t="str">
        <f>'Input Assumptions'!B26</f>
        <v>Electricity Required (KWh/ device/Yr)</v>
      </c>
      <c r="C4" s="17" t="str">
        <f>'Input Assumptions'!C26</f>
        <v>Gas Required (mmBtu/ device/Yr)</v>
      </c>
      <c r="D4" s="18" t="s">
        <v>17</v>
      </c>
      <c r="E4" s="17" t="str">
        <f>'Input Assumptions'!E26</f>
        <v>Electric Technology</v>
      </c>
    </row>
    <row r="5" spans="1:11">
      <c r="A5" s="2" t="str">
        <f>'Input Assumptions'!D45</f>
        <v>Electric Resistance</v>
      </c>
      <c r="B5" s="58">
        <f>'Input Assumptions'!B27</f>
        <v>3355.4343604471896</v>
      </c>
      <c r="C5" s="6">
        <f>'Input Assumptions'!C27</f>
        <v>0</v>
      </c>
      <c r="D5" s="6">
        <f>'Input Assumptions'!B27*3412/1000000+'Input Assumptions'!C27</f>
        <v>11.448742037845811</v>
      </c>
      <c r="E5" s="5">
        <f>'Input Assumptions'!E27</f>
        <v>1</v>
      </c>
      <c r="J5" s="2"/>
    </row>
    <row r="6" spans="1:11">
      <c r="A6" s="2" t="str">
        <f>'Input Assumptions'!D46</f>
        <v>HPWH</v>
      </c>
      <c r="B6" s="58">
        <f>'Input Assumptions'!B28</f>
        <v>1593.8313212124149</v>
      </c>
      <c r="C6" s="6">
        <f>'Input Assumptions'!C28</f>
        <v>0</v>
      </c>
      <c r="D6" s="6">
        <f>'Input Assumptions'!B28*3412/1000000+'Input Assumptions'!C28</f>
        <v>5.4381524679767592</v>
      </c>
      <c r="E6" s="5">
        <f>'Input Assumptions'!E28</f>
        <v>1</v>
      </c>
      <c r="J6" s="2"/>
    </row>
    <row r="7" spans="1:11">
      <c r="A7" s="2" t="str">
        <f>'Input Assumptions'!D47</f>
        <v>Gas Tank</v>
      </c>
      <c r="B7" s="58">
        <f>'Input Assumptions'!B29</f>
        <v>0</v>
      </c>
      <c r="C7" s="6">
        <f>'Input Assumptions'!C29</f>
        <v>17.346578845220922</v>
      </c>
      <c r="D7" s="6">
        <f>'Input Assumptions'!B29*3412/1000000+'Input Assumptions'!C29</f>
        <v>17.346578845220922</v>
      </c>
      <c r="E7" s="5">
        <f>'Input Assumptions'!E29</f>
        <v>0</v>
      </c>
      <c r="G7" s="172"/>
      <c r="J7" s="2"/>
    </row>
    <row r="8" spans="1:11">
      <c r="A8" s="2" t="str">
        <f>'Input Assumptions'!D48</f>
        <v>Instant Gas</v>
      </c>
      <c r="B8" s="58">
        <f>'Input Assumptions'!B30</f>
        <v>0</v>
      </c>
      <c r="C8" s="6">
        <f>'Input Assumptions'!C30</f>
        <v>13.162899583423945</v>
      </c>
      <c r="D8" s="6">
        <f>'Input Assumptions'!B30*3412/1000000+'Input Assumptions'!C30</f>
        <v>13.162899583423945</v>
      </c>
      <c r="E8" s="5">
        <f>'Input Assumptions'!E30</f>
        <v>0</v>
      </c>
      <c r="G8" s="172"/>
      <c r="J8" s="2"/>
    </row>
    <row r="9" spans="1:11">
      <c r="A9" s="2" t="str">
        <f>'Input Assumptions'!D49</f>
        <v>Condensing Gas</v>
      </c>
      <c r="B9" s="58">
        <f>'Input Assumptions'!B31</f>
        <v>0</v>
      </c>
      <c r="C9" s="6">
        <f>'Input Assumptions'!C31</f>
        <v>9.1880867494806662</v>
      </c>
      <c r="D9" s="6">
        <f>'Input Assumptions'!B31*3412/1000000+'Input Assumptions'!C31</f>
        <v>9.1880867494806662</v>
      </c>
      <c r="E9" s="5">
        <f>'Input Assumptions'!E31</f>
        <v>0</v>
      </c>
      <c r="J9" s="2"/>
    </row>
    <row r="10" spans="1:11">
      <c r="A10" s="1"/>
      <c r="B10" s="7"/>
      <c r="H10" s="3"/>
      <c r="I10" s="4"/>
      <c r="J10" s="6"/>
      <c r="K10" s="8"/>
    </row>
    <row r="13" spans="1:11">
      <c r="J13" s="2"/>
    </row>
    <row r="14" spans="1:11">
      <c r="J14" s="2"/>
    </row>
    <row r="15" spans="1:11">
      <c r="J15" s="2"/>
    </row>
    <row r="16" spans="1:11">
      <c r="J16" s="2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E10"/>
  <sheetViews>
    <sheetView workbookViewId="0"/>
  </sheetViews>
  <sheetFormatPr defaultColWidth="8.85546875" defaultRowHeight="15.75"/>
  <cols>
    <col min="1" max="1" width="21.7109375" style="2" customWidth="1"/>
    <col min="2" max="2" width="17.42578125" style="5" customWidth="1"/>
    <col min="3" max="3" width="12.85546875" style="2" customWidth="1"/>
    <col min="4" max="4" width="18.140625" style="2" customWidth="1"/>
    <col min="5" max="5" width="15.7109375" style="2" customWidth="1"/>
    <col min="6" max="11" width="12.7109375" style="2" customWidth="1"/>
    <col min="12" max="16384" width="8.85546875" style="2"/>
  </cols>
  <sheetData>
    <row r="1" spans="1:5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2" spans="1:5" ht="18.75">
      <c r="A2" s="147"/>
    </row>
    <row r="3" spans="1:5" ht="23.25" customHeight="1">
      <c r="A3" s="27" t="s">
        <v>88</v>
      </c>
    </row>
    <row r="4" spans="1:5" s="19" customFormat="1" ht="47.25">
      <c r="A4" s="17" t="s">
        <v>0</v>
      </c>
      <c r="B4" s="17" t="str">
        <f>'Input Assumptions'!B35</f>
        <v>Capital Cost (Various Real $)</v>
      </c>
      <c r="C4" s="17" t="str">
        <f>'Input Assumptions'!C35</f>
        <v>Units of Dollars</v>
      </c>
      <c r="D4" s="17" t="s">
        <v>142</v>
      </c>
      <c r="E4" s="17" t="s">
        <v>21</v>
      </c>
    </row>
    <row r="5" spans="1:5">
      <c r="A5" s="2" t="str">
        <f>'Input Assumptions'!D45</f>
        <v>Electric Resistance</v>
      </c>
      <c r="B5" s="62">
        <f>'Input Assumptions'!B36</f>
        <v>590</v>
      </c>
      <c r="C5" s="103" t="str">
        <f>'Input Assumptions'!C36</f>
        <v>2008$</v>
      </c>
      <c r="D5" s="63">
        <f>Inflation!AB5/Inflation!X5</f>
        <v>1.0627615062761504</v>
      </c>
      <c r="E5" s="61">
        <f>B5*D5</f>
        <v>627.02928870292874</v>
      </c>
    </row>
    <row r="6" spans="1:5">
      <c r="A6" s="2" t="str">
        <f>'Input Assumptions'!D46</f>
        <v>HPWH</v>
      </c>
      <c r="B6" s="62">
        <f>'Input Assumptions'!B37</f>
        <v>1621</v>
      </c>
      <c r="C6" s="103" t="str">
        <f>'Input Assumptions'!C37</f>
        <v>2011$</v>
      </c>
      <c r="D6" s="63">
        <f>Inflation!AB5/Inflation!AA5</f>
        <v>1.0177579455423003</v>
      </c>
      <c r="E6" s="61">
        <f>B6*D6</f>
        <v>1649.7856297240687</v>
      </c>
    </row>
    <row r="7" spans="1:5">
      <c r="A7" s="2" t="str">
        <f>'Input Assumptions'!D47</f>
        <v>Gas Tank</v>
      </c>
      <c r="B7" s="62">
        <f>'Input Assumptions'!B38</f>
        <v>785</v>
      </c>
      <c r="C7" s="103" t="str">
        <f>'Input Assumptions'!C38</f>
        <v>2013$</v>
      </c>
      <c r="D7" s="63">
        <f>Inflation!$AB$5/Inflation!$AC$5</f>
        <v>0.98250549450549451</v>
      </c>
      <c r="E7" s="61">
        <f>B7*D7</f>
        <v>771.26681318681324</v>
      </c>
    </row>
    <row r="8" spans="1:5">
      <c r="A8" s="2" t="str">
        <f>'Input Assumptions'!D48</f>
        <v>Instant Gas</v>
      </c>
      <c r="B8" s="62">
        <f>'Input Assumptions'!B39</f>
        <v>3760</v>
      </c>
      <c r="C8" s="103" t="str">
        <f>'Input Assumptions'!C39</f>
        <v>2013$</v>
      </c>
      <c r="D8" s="63">
        <f>Inflation!$AB$5/Inflation!$AC$5</f>
        <v>0.98250549450549451</v>
      </c>
      <c r="E8" s="61">
        <f>B8*D8</f>
        <v>3694.2206593406595</v>
      </c>
    </row>
    <row r="9" spans="1:5">
      <c r="A9" s="2" t="str">
        <f>'Input Assumptions'!D49</f>
        <v>Condensing Gas</v>
      </c>
      <c r="B9" s="62">
        <f>'Input Assumptions'!B40</f>
        <v>1861.3517860501238</v>
      </c>
      <c r="C9" s="103" t="str">
        <f>'Input Assumptions'!C40</f>
        <v>2006$</v>
      </c>
      <c r="D9" s="63">
        <f>Inflation!$AB$5/Inflation!$V$5</f>
        <v>1.1175999999999999</v>
      </c>
      <c r="E9" s="61">
        <f>B9*D9</f>
        <v>2080.2467560896184</v>
      </c>
    </row>
    <row r="10" spans="1:5">
      <c r="A10" s="1"/>
      <c r="B10" s="7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J10"/>
  <sheetViews>
    <sheetView workbookViewId="0">
      <selection activeCell="A2" sqref="A2"/>
    </sheetView>
  </sheetViews>
  <sheetFormatPr defaultColWidth="8.85546875" defaultRowHeight="15.75"/>
  <cols>
    <col min="1" max="1" width="22.7109375" style="2" customWidth="1"/>
    <col min="2" max="2" width="15.7109375" style="5" customWidth="1"/>
    <col min="3" max="5" width="15.7109375" style="2" customWidth="1"/>
    <col min="6" max="10" width="12.7109375" style="2" customWidth="1"/>
    <col min="11" max="16384" width="8.85546875" style="2"/>
  </cols>
  <sheetData>
    <row r="1" spans="1:10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  <c r="B1" s="139"/>
      <c r="C1" s="138"/>
      <c r="D1" s="138"/>
      <c r="E1" s="138"/>
      <c r="F1" s="138"/>
      <c r="G1" s="138"/>
      <c r="H1" s="138"/>
      <c r="I1" s="138"/>
      <c r="J1" s="138"/>
    </row>
    <row r="2" spans="1:10" ht="18.75">
      <c r="A2" s="147"/>
      <c r="B2" s="139"/>
      <c r="C2" s="138"/>
      <c r="D2" s="138"/>
      <c r="E2" s="138"/>
      <c r="F2" s="138"/>
      <c r="G2" s="138"/>
      <c r="H2" s="138"/>
      <c r="I2" s="138"/>
      <c r="J2" s="138"/>
    </row>
    <row r="3" spans="1:10" ht="23.25" customHeight="1">
      <c r="A3" s="27" t="s">
        <v>90</v>
      </c>
    </row>
    <row r="4" spans="1:10" s="19" customFormat="1" ht="47.25">
      <c r="A4" s="140" t="s">
        <v>141</v>
      </c>
      <c r="B4" s="146" t="str">
        <f>'Input Assumptions'!D26</f>
        <v>O&amp;M Cost (2006$/ device/Yr)</v>
      </c>
      <c r="C4" s="146" t="s">
        <v>69</v>
      </c>
      <c r="D4" s="146" t="s">
        <v>22</v>
      </c>
    </row>
    <row r="5" spans="1:10">
      <c r="A5" s="2" t="str">
        <f>'Input Assumptions'!D45</f>
        <v>Electric Resistance</v>
      </c>
      <c r="B5" s="61">
        <f>'Input Assumptions'!D27</f>
        <v>4.0147653217481896</v>
      </c>
      <c r="C5" s="63">
        <f>Inflation!$AB$5/Inflation!$V$5</f>
        <v>1.1175999999999999</v>
      </c>
      <c r="D5" s="61">
        <f>B5*C5</f>
        <v>4.4869017235857767</v>
      </c>
    </row>
    <row r="6" spans="1:10">
      <c r="A6" s="2" t="str">
        <f>'Input Assumptions'!D46</f>
        <v>HPWH</v>
      </c>
      <c r="B6" s="61">
        <f>'Input Assumptions'!D28</f>
        <v>8.8912994251335906</v>
      </c>
      <c r="C6" s="63">
        <f>Inflation!$AB$5/Inflation!$V$5</f>
        <v>1.1175999999999999</v>
      </c>
      <c r="D6" s="61">
        <f>B6*C6</f>
        <v>9.9369162375292994</v>
      </c>
    </row>
    <row r="7" spans="1:10">
      <c r="A7" s="2" t="str">
        <f>'Input Assumptions'!D47</f>
        <v>Gas Tank</v>
      </c>
      <c r="B7" s="61">
        <f>'Input Assumptions'!D29</f>
        <v>12.364813725618941</v>
      </c>
      <c r="C7" s="63">
        <f>Inflation!$AB$5/Inflation!$V$5</f>
        <v>1.1175999999999999</v>
      </c>
      <c r="D7" s="61">
        <f>B7*C7</f>
        <v>13.818915819751727</v>
      </c>
    </row>
    <row r="8" spans="1:10">
      <c r="A8" s="2" t="str">
        <f>'Input Assumptions'!D48</f>
        <v>Instant Gas</v>
      </c>
      <c r="B8" s="61">
        <f>'Input Assumptions'!D30</f>
        <v>66.879220980384858</v>
      </c>
      <c r="C8" s="63">
        <f>Inflation!$AB$5/Inflation!$V$5</f>
        <v>1.1175999999999999</v>
      </c>
      <c r="D8" s="61">
        <f>B8*C8</f>
        <v>74.744217367678118</v>
      </c>
    </row>
    <row r="9" spans="1:10">
      <c r="A9" s="2" t="str">
        <f>'Input Assumptions'!D49</f>
        <v>Condensing Gas</v>
      </c>
      <c r="B9" s="61">
        <f>'Input Assumptions'!D31</f>
        <v>14.794662287278264</v>
      </c>
      <c r="C9" s="63">
        <f>Inflation!$AB$5/Inflation!$V$5</f>
        <v>1.1175999999999999</v>
      </c>
      <c r="D9" s="61">
        <f>B9*C9</f>
        <v>16.534514572262186</v>
      </c>
    </row>
    <row r="10" spans="1:10">
      <c r="A10" s="1"/>
      <c r="B10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51"/>
  <sheetViews>
    <sheetView workbookViewId="0"/>
  </sheetViews>
  <sheetFormatPr defaultColWidth="9.140625" defaultRowHeight="15.75"/>
  <cols>
    <col min="1" max="1" width="45.5703125" style="9" customWidth="1"/>
    <col min="2" max="2" width="19.7109375" style="9" customWidth="1"/>
    <col min="3" max="3" width="19" style="9" customWidth="1"/>
    <col min="4" max="4" width="16.140625" style="9" customWidth="1"/>
    <col min="5" max="5" width="15.7109375" style="9" customWidth="1"/>
    <col min="6" max="9" width="12.7109375" style="9" customWidth="1"/>
    <col min="10" max="10" width="14.140625" style="9" customWidth="1"/>
    <col min="11" max="11" width="9.140625" style="9"/>
    <col min="12" max="12" width="10.5703125" style="9" customWidth="1"/>
    <col min="13" max="13" width="12.28515625" style="9" customWidth="1"/>
    <col min="14" max="16384" width="9.140625" style="9"/>
  </cols>
  <sheetData>
    <row r="1" spans="1:10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10">
      <c r="A3" s="26" t="s">
        <v>70</v>
      </c>
      <c r="J3" s="45"/>
    </row>
    <row r="4" spans="1:10">
      <c r="A4" s="174" t="s">
        <v>92</v>
      </c>
      <c r="C4" s="12"/>
    </row>
    <row r="5" spans="1:10">
      <c r="A5" s="175" t="s">
        <v>91</v>
      </c>
    </row>
    <row r="6" spans="1:10">
      <c r="A6" s="77"/>
    </row>
    <row r="7" spans="1:10">
      <c r="A7" s="12" t="s">
        <v>140</v>
      </c>
    </row>
    <row r="8" spans="1:10">
      <c r="A8" s="66" t="s">
        <v>41</v>
      </c>
      <c r="B8" s="71" t="s">
        <v>40</v>
      </c>
      <c r="C8" s="107" t="s">
        <v>54</v>
      </c>
      <c r="D8" s="82"/>
      <c r="E8" s="82"/>
      <c r="F8" s="82"/>
      <c r="G8" s="93"/>
    </row>
    <row r="9" spans="1:10">
      <c r="A9" s="67" t="s">
        <v>16</v>
      </c>
      <c r="B9" s="72" t="s">
        <v>15</v>
      </c>
      <c r="C9" s="45"/>
      <c r="D9" s="45"/>
      <c r="E9" s="45"/>
      <c r="F9" s="45"/>
      <c r="G9" s="68"/>
    </row>
    <row r="10" spans="1:10">
      <c r="A10" s="67" t="s">
        <v>96</v>
      </c>
      <c r="B10" s="72" t="s">
        <v>7</v>
      </c>
      <c r="C10" s="45"/>
      <c r="D10" s="45"/>
      <c r="E10" s="45"/>
      <c r="F10" s="45"/>
      <c r="G10" s="68"/>
    </row>
    <row r="11" spans="1:10">
      <c r="A11" s="67" t="s">
        <v>74</v>
      </c>
      <c r="B11" s="72" t="s">
        <v>8</v>
      </c>
      <c r="C11" s="45"/>
      <c r="D11" s="45"/>
      <c r="E11" s="45"/>
      <c r="F11" s="45"/>
      <c r="G11" s="68"/>
    </row>
    <row r="12" spans="1:10">
      <c r="A12" s="67" t="s">
        <v>75</v>
      </c>
      <c r="B12" s="72" t="s">
        <v>76</v>
      </c>
      <c r="C12" s="45"/>
      <c r="E12" s="45"/>
      <c r="F12" s="45"/>
      <c r="G12" s="68"/>
    </row>
    <row r="13" spans="1:10">
      <c r="A13" s="67" t="s">
        <v>126</v>
      </c>
      <c r="B13" s="98">
        <v>101415</v>
      </c>
      <c r="C13" s="60" t="s">
        <v>125</v>
      </c>
      <c r="D13" s="45"/>
      <c r="E13" s="45"/>
      <c r="F13" s="45"/>
      <c r="G13" s="68"/>
    </row>
    <row r="14" spans="1:10">
      <c r="A14" s="67" t="s">
        <v>47</v>
      </c>
      <c r="B14" s="73">
        <v>14</v>
      </c>
      <c r="C14" s="45" t="s">
        <v>97</v>
      </c>
      <c r="D14" s="45"/>
      <c r="E14" s="45"/>
      <c r="F14" s="45"/>
      <c r="G14" s="68"/>
    </row>
    <row r="15" spans="1:10">
      <c r="A15" s="69" t="s">
        <v>53</v>
      </c>
      <c r="B15" s="99">
        <v>0.04</v>
      </c>
      <c r="C15" s="45" t="s">
        <v>71</v>
      </c>
      <c r="D15" s="45"/>
      <c r="E15" s="45"/>
      <c r="F15" s="45"/>
      <c r="G15" s="68"/>
    </row>
    <row r="16" spans="1:10">
      <c r="A16" s="69" t="s">
        <v>64</v>
      </c>
      <c r="B16" s="120">
        <v>0.1</v>
      </c>
      <c r="C16" s="45" t="s">
        <v>65</v>
      </c>
      <c r="D16" s="45"/>
      <c r="E16" s="45"/>
      <c r="F16" s="45"/>
      <c r="G16" s="68"/>
    </row>
    <row r="17" spans="1:12">
      <c r="A17" s="69" t="s">
        <v>127</v>
      </c>
      <c r="B17" s="73">
        <v>6470</v>
      </c>
      <c r="C17" s="45" t="s">
        <v>128</v>
      </c>
      <c r="D17" s="45"/>
      <c r="E17" s="45"/>
      <c r="F17" s="45"/>
      <c r="G17" s="68"/>
    </row>
    <row r="18" spans="1:12">
      <c r="A18" s="69" t="s">
        <v>151</v>
      </c>
      <c r="B18" s="73">
        <v>3.4119999999999999</v>
      </c>
      <c r="C18" s="45"/>
      <c r="D18" s="45"/>
      <c r="E18" s="45"/>
      <c r="F18" s="45"/>
      <c r="G18" s="68"/>
    </row>
    <row r="19" spans="1:12">
      <c r="A19" s="67" t="s">
        <v>43</v>
      </c>
      <c r="B19" s="73">
        <v>-2.2999999999999998</v>
      </c>
      <c r="C19" s="45"/>
      <c r="D19" s="45"/>
      <c r="E19" s="45"/>
      <c r="F19" s="45"/>
      <c r="G19" s="68"/>
    </row>
    <row r="20" spans="1:12">
      <c r="A20" s="157" t="s">
        <v>99</v>
      </c>
      <c r="B20" s="121" t="s">
        <v>100</v>
      </c>
      <c r="C20" s="42"/>
      <c r="D20" s="42"/>
      <c r="E20" s="42"/>
      <c r="F20" s="42"/>
      <c r="G20" s="70"/>
    </row>
    <row r="21" spans="1:12">
      <c r="A21" s="76" t="s">
        <v>77</v>
      </c>
    </row>
    <row r="22" spans="1:12">
      <c r="A22" s="29" t="s">
        <v>29</v>
      </c>
    </row>
    <row r="23" spans="1:12">
      <c r="A23" s="31" t="s">
        <v>28</v>
      </c>
    </row>
    <row r="25" spans="1:12">
      <c r="A25" s="12" t="str">
        <f>CONCATENATE("Energy Usage and O&amp;M Costs by Water Heater Type - ",State,", ", SpaceHeat,", Starting with ",StartWH," ",TankSize)</f>
        <v>Energy Usage and O&amp;M Costs by Water Heater Type - Idaho, Gas FAF, Starting with Electric Resistance &lt;=55 Gallons</v>
      </c>
    </row>
    <row r="26" spans="1:12" ht="47.25">
      <c r="A26" s="89" t="s">
        <v>0</v>
      </c>
      <c r="B26" s="89" t="s">
        <v>139</v>
      </c>
      <c r="C26" s="89" t="s">
        <v>138</v>
      </c>
      <c r="D26" s="89" t="s">
        <v>137</v>
      </c>
      <c r="E26" s="89" t="s">
        <v>18</v>
      </c>
      <c r="F26" s="89" t="s">
        <v>54</v>
      </c>
      <c r="G26" s="82"/>
      <c r="H26" s="82"/>
      <c r="I26" s="82"/>
      <c r="J26" s="82"/>
      <c r="K26" s="82"/>
      <c r="L26" s="93"/>
    </row>
    <row r="27" spans="1:12">
      <c r="A27" s="2" t="s">
        <v>8</v>
      </c>
      <c r="B27" s="112">
        <v>3355.4343604471896</v>
      </c>
      <c r="C27" s="113">
        <v>0</v>
      </c>
      <c r="D27" s="114">
        <v>4.0147653217481896</v>
      </c>
      <c r="E27" s="115">
        <v>1</v>
      </c>
      <c r="F27" s="60" t="s">
        <v>63</v>
      </c>
      <c r="G27" s="45"/>
      <c r="H27" s="45"/>
      <c r="I27" s="45"/>
      <c r="J27" s="45"/>
      <c r="K27" s="45"/>
      <c r="L27" s="68"/>
    </row>
    <row r="28" spans="1:12">
      <c r="A28" s="2" t="s">
        <v>11</v>
      </c>
      <c r="B28" s="112">
        <v>1593.8313212124149</v>
      </c>
      <c r="C28" s="113">
        <v>0</v>
      </c>
      <c r="D28" s="114">
        <v>8.8912994251335906</v>
      </c>
      <c r="E28" s="115">
        <v>1</v>
      </c>
      <c r="F28" s="60" t="s">
        <v>63</v>
      </c>
      <c r="G28" s="45"/>
      <c r="H28" s="45"/>
      <c r="I28" s="45"/>
      <c r="J28" s="45"/>
      <c r="K28" s="45"/>
      <c r="L28" s="68"/>
    </row>
    <row r="29" spans="1:12">
      <c r="A29" s="2" t="s">
        <v>12</v>
      </c>
      <c r="B29" s="112">
        <v>0</v>
      </c>
      <c r="C29" s="113">
        <v>17.346578845220922</v>
      </c>
      <c r="D29" s="114">
        <v>12.364813725618941</v>
      </c>
      <c r="E29" s="115">
        <v>0</v>
      </c>
      <c r="F29" s="60" t="s">
        <v>63</v>
      </c>
      <c r="G29" s="45"/>
      <c r="H29" s="45"/>
      <c r="I29" s="45"/>
      <c r="J29" s="45"/>
      <c r="K29" s="45"/>
      <c r="L29" s="68"/>
    </row>
    <row r="30" spans="1:12">
      <c r="A30" s="2" t="s">
        <v>13</v>
      </c>
      <c r="B30" s="112">
        <v>0</v>
      </c>
      <c r="C30" s="113">
        <v>13.162899583423945</v>
      </c>
      <c r="D30" s="114">
        <v>66.879220980384858</v>
      </c>
      <c r="E30" s="115">
        <v>0</v>
      </c>
      <c r="F30" s="60" t="s">
        <v>63</v>
      </c>
      <c r="G30" s="45"/>
      <c r="H30" s="45"/>
      <c r="I30" s="45"/>
      <c r="J30" s="45"/>
      <c r="K30" s="45"/>
      <c r="L30" s="68"/>
    </row>
    <row r="31" spans="1:12">
      <c r="A31" s="79" t="s">
        <v>14</v>
      </c>
      <c r="B31" s="116">
        <v>0</v>
      </c>
      <c r="C31" s="117">
        <v>9.1880867494806662</v>
      </c>
      <c r="D31" s="118">
        <v>14.794662287278264</v>
      </c>
      <c r="E31" s="119">
        <v>0</v>
      </c>
      <c r="F31" s="106" t="s">
        <v>63</v>
      </c>
      <c r="G31" s="42"/>
      <c r="H31" s="42"/>
      <c r="I31" s="42"/>
      <c r="J31" s="42"/>
      <c r="K31" s="42"/>
      <c r="L31" s="70"/>
    </row>
    <row r="32" spans="1:12">
      <c r="A32" s="2"/>
      <c r="B32" s="112"/>
      <c r="C32" s="113"/>
      <c r="D32" s="114"/>
      <c r="E32" s="115"/>
      <c r="F32" s="60"/>
      <c r="G32" s="45"/>
      <c r="H32" s="45"/>
      <c r="I32" s="45"/>
      <c r="J32" s="45"/>
      <c r="K32" s="45"/>
      <c r="L32" s="45"/>
    </row>
    <row r="33" spans="1:1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59"/>
      <c r="L33" s="78"/>
    </row>
    <row r="34" spans="1:12">
      <c r="A34" s="12" t="str">
        <f>CONCATENATE("Capital Cost by Water Heater Type - ",State,", ", SpaceHeat,", Starting with ",StartWH," ",TankSize)</f>
        <v>Capital Cost by Water Heater Type - Idaho, Gas FAF, Starting with Electric Resistance &lt;=55 Gallons</v>
      </c>
      <c r="B34" s="78"/>
      <c r="C34" s="78"/>
      <c r="D34" s="5"/>
      <c r="E34" s="2"/>
      <c r="F34" s="2"/>
      <c r="G34" s="78"/>
      <c r="H34" s="78"/>
      <c r="I34" s="78"/>
      <c r="J34" s="78"/>
      <c r="K34" s="78"/>
      <c r="L34" s="78"/>
    </row>
    <row r="35" spans="1:12" ht="31.5">
      <c r="A35" s="104" t="s">
        <v>0</v>
      </c>
      <c r="B35" s="104" t="s">
        <v>136</v>
      </c>
      <c r="C35" s="104" t="s">
        <v>68</v>
      </c>
      <c r="D35" s="105" t="s">
        <v>54</v>
      </c>
      <c r="E35" s="105"/>
      <c r="F35" s="105"/>
      <c r="G35" s="105"/>
      <c r="H35" s="105"/>
      <c r="I35" s="105"/>
      <c r="J35" s="105"/>
      <c r="K35" s="105"/>
      <c r="L35" s="105"/>
    </row>
    <row r="36" spans="1:12">
      <c r="A36" s="2" t="s">
        <v>8</v>
      </c>
      <c r="B36" s="108">
        <v>590</v>
      </c>
      <c r="C36" s="109" t="s">
        <v>58</v>
      </c>
      <c r="D36" s="55" t="s">
        <v>59</v>
      </c>
    </row>
    <row r="37" spans="1:12">
      <c r="A37" s="2" t="s">
        <v>11</v>
      </c>
      <c r="B37" s="108">
        <v>1621</v>
      </c>
      <c r="C37" s="109" t="s">
        <v>57</v>
      </c>
      <c r="D37" s="55" t="s">
        <v>60</v>
      </c>
    </row>
    <row r="38" spans="1:12">
      <c r="A38" s="2" t="s">
        <v>12</v>
      </c>
      <c r="B38" s="108">
        <v>785</v>
      </c>
      <c r="C38" s="109" t="s">
        <v>56</v>
      </c>
      <c r="D38" s="55" t="s">
        <v>61</v>
      </c>
    </row>
    <row r="39" spans="1:12">
      <c r="A39" s="2" t="s">
        <v>13</v>
      </c>
      <c r="B39" s="108">
        <v>3760</v>
      </c>
      <c r="C39" s="109" t="s">
        <v>56</v>
      </c>
      <c r="D39" s="55" t="s">
        <v>61</v>
      </c>
    </row>
    <row r="40" spans="1:12">
      <c r="A40" s="42" t="s">
        <v>14</v>
      </c>
      <c r="B40" s="110">
        <v>1861.3517860501238</v>
      </c>
      <c r="C40" s="111" t="s">
        <v>62</v>
      </c>
      <c r="D40" s="106" t="s">
        <v>55</v>
      </c>
      <c r="E40" s="42"/>
      <c r="F40" s="42"/>
      <c r="G40" s="42"/>
      <c r="H40" s="42"/>
      <c r="I40" s="42"/>
      <c r="J40" s="42"/>
      <c r="K40" s="42"/>
      <c r="L40" s="42"/>
    </row>
    <row r="41" spans="1:12">
      <c r="A41" s="45"/>
      <c r="B41" s="108"/>
      <c r="C41" s="143"/>
      <c r="D41" s="60"/>
      <c r="E41" s="45"/>
      <c r="F41" s="45"/>
      <c r="G41" s="45"/>
      <c r="H41" s="45"/>
      <c r="I41" s="45"/>
      <c r="J41" s="45"/>
      <c r="K41" s="45"/>
      <c r="L41" s="45"/>
    </row>
    <row r="43" spans="1:12" s="16" customFormat="1">
      <c r="A43" s="65" t="s">
        <v>27</v>
      </c>
    </row>
    <row r="44" spans="1:12" s="16" customFormat="1" ht="31.5">
      <c r="A44" s="141" t="s">
        <v>1</v>
      </c>
      <c r="B44" s="142" t="s">
        <v>2</v>
      </c>
      <c r="C44" s="142" t="s">
        <v>3</v>
      </c>
      <c r="D44" s="142" t="s">
        <v>4</v>
      </c>
      <c r="E44" s="142" t="s">
        <v>5</v>
      </c>
      <c r="F44" s="142" t="s">
        <v>6</v>
      </c>
      <c r="G44" s="142" t="s">
        <v>23</v>
      </c>
      <c r="H44" s="142" t="s">
        <v>24</v>
      </c>
    </row>
    <row r="45" spans="1:12" s="16" customFormat="1">
      <c r="A45" s="130">
        <v>5112121</v>
      </c>
      <c r="B45" s="101" t="s">
        <v>7</v>
      </c>
      <c r="C45" s="101" t="s">
        <v>8</v>
      </c>
      <c r="D45" s="101" t="s">
        <v>8</v>
      </c>
      <c r="E45" s="101" t="s">
        <v>9</v>
      </c>
      <c r="F45" s="101" t="s">
        <v>10</v>
      </c>
      <c r="G45" s="101" t="s">
        <v>25</v>
      </c>
      <c r="H45" s="101" t="s">
        <v>26</v>
      </c>
    </row>
    <row r="46" spans="1:12" s="16" customFormat="1">
      <c r="A46" s="130">
        <v>5112121</v>
      </c>
      <c r="B46" s="101" t="s">
        <v>7</v>
      </c>
      <c r="C46" s="101" t="s">
        <v>8</v>
      </c>
      <c r="D46" s="101" t="s">
        <v>11</v>
      </c>
      <c r="E46" s="101" t="s">
        <v>9</v>
      </c>
      <c r="F46" s="101" t="s">
        <v>10</v>
      </c>
      <c r="G46" s="101" t="s">
        <v>25</v>
      </c>
      <c r="H46" s="101" t="s">
        <v>26</v>
      </c>
    </row>
    <row r="47" spans="1:12" s="16" customFormat="1">
      <c r="A47" s="130">
        <v>5112121</v>
      </c>
      <c r="B47" s="101" t="s">
        <v>7</v>
      </c>
      <c r="C47" s="101" t="s">
        <v>8</v>
      </c>
      <c r="D47" s="101" t="s">
        <v>12</v>
      </c>
      <c r="E47" s="101" t="s">
        <v>9</v>
      </c>
      <c r="F47" s="101" t="s">
        <v>10</v>
      </c>
      <c r="G47" s="101" t="s">
        <v>25</v>
      </c>
      <c r="H47" s="101" t="s">
        <v>26</v>
      </c>
    </row>
    <row r="48" spans="1:12" s="16" customFormat="1">
      <c r="A48" s="130">
        <v>5112121</v>
      </c>
      <c r="B48" s="101" t="s">
        <v>7</v>
      </c>
      <c r="C48" s="101" t="s">
        <v>8</v>
      </c>
      <c r="D48" s="101" t="s">
        <v>13</v>
      </c>
      <c r="E48" s="101" t="s">
        <v>9</v>
      </c>
      <c r="F48" s="101" t="s">
        <v>10</v>
      </c>
      <c r="G48" s="101" t="s">
        <v>25</v>
      </c>
      <c r="H48" s="101" t="s">
        <v>26</v>
      </c>
    </row>
    <row r="49" spans="1:8" s="16" customFormat="1">
      <c r="A49" s="130">
        <v>5112121</v>
      </c>
      <c r="B49" s="101" t="s">
        <v>7</v>
      </c>
      <c r="C49" s="101" t="s">
        <v>8</v>
      </c>
      <c r="D49" s="101" t="s">
        <v>14</v>
      </c>
      <c r="E49" s="101" t="s">
        <v>9</v>
      </c>
      <c r="F49" s="101" t="s">
        <v>10</v>
      </c>
      <c r="G49" s="101" t="s">
        <v>25</v>
      </c>
      <c r="H49" s="101" t="s">
        <v>26</v>
      </c>
    </row>
    <row r="50" spans="1:8" s="16" customFormat="1">
      <c r="A50" s="74" t="s">
        <v>30</v>
      </c>
    </row>
    <row r="51" spans="1:8" s="16" customFormat="1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31"/>
  <sheetViews>
    <sheetView workbookViewId="0"/>
  </sheetViews>
  <sheetFormatPr defaultRowHeight="15"/>
  <cols>
    <col min="1" max="1" width="22.85546875" customWidth="1"/>
    <col min="2" max="2" width="12.28515625" customWidth="1"/>
    <col min="3" max="9" width="9.7109375" customWidth="1"/>
  </cols>
  <sheetData>
    <row r="1" spans="1:23" ht="15.75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23" s="9" customFormat="1" ht="22.5" customHeight="1">
      <c r="A3" s="26" t="s">
        <v>72</v>
      </c>
    </row>
    <row r="4" spans="1:23" s="9" customFormat="1" ht="15.75">
      <c r="A4" s="29" t="s">
        <v>38</v>
      </c>
    </row>
    <row r="5" spans="1:23" s="9" customFormat="1" ht="15.75">
      <c r="A5" s="30" t="s">
        <v>32</v>
      </c>
    </row>
    <row r="6" spans="1:23" s="9" customFormat="1" ht="15.75">
      <c r="A6" s="30" t="s">
        <v>33</v>
      </c>
    </row>
    <row r="7" spans="1:23" s="9" customFormat="1" ht="15.75">
      <c r="A7" s="126"/>
    </row>
    <row r="8" spans="1:23" s="9" customFormat="1" ht="15.75">
      <c r="A8" s="127" t="str">
        <f>CONCATENATE($A$3," - ",'Input Assumptions'!$B$9," ", 'Input Assumptions'!$B$10," Space Heat, ", 'Input Assumptions'!$B$11," ", 'Input Assumptions'!$B$12)</f>
        <v>Non-Price Factor Assumptions ($/$) - Idaho Gas FAF Space Heat, Electric Resistance &lt;=55 Gallons</v>
      </c>
    </row>
    <row r="9" spans="1:23" s="23" customFormat="1" ht="15.75">
      <c r="A9" s="144" t="str">
        <f>+'Device Energy Use'!A4</f>
        <v>Water Heat Ending</v>
      </c>
      <c r="B9" s="145">
        <v>2014</v>
      </c>
      <c r="C9" s="145">
        <v>2015</v>
      </c>
      <c r="D9" s="145">
        <v>2016</v>
      </c>
      <c r="E9" s="145">
        <v>2017</v>
      </c>
      <c r="F9" s="145">
        <v>2018</v>
      </c>
      <c r="G9" s="145">
        <v>2019</v>
      </c>
      <c r="H9" s="145">
        <v>2020</v>
      </c>
      <c r="I9" s="145">
        <v>2021</v>
      </c>
      <c r="J9" s="145">
        <v>2022</v>
      </c>
      <c r="K9" s="145">
        <v>2023</v>
      </c>
      <c r="L9" s="145">
        <v>2024</v>
      </c>
      <c r="M9" s="145">
        <v>2025</v>
      </c>
      <c r="N9" s="145">
        <v>2026</v>
      </c>
      <c r="O9" s="145">
        <v>2027</v>
      </c>
      <c r="P9" s="145">
        <v>2028</v>
      </c>
      <c r="Q9" s="145">
        <v>2029</v>
      </c>
      <c r="R9" s="145">
        <v>2030</v>
      </c>
      <c r="S9" s="145">
        <v>2031</v>
      </c>
      <c r="T9" s="145">
        <v>2032</v>
      </c>
      <c r="U9" s="145">
        <v>2033</v>
      </c>
      <c r="V9" s="145">
        <v>2034</v>
      </c>
      <c r="W9" s="145">
        <v>2035</v>
      </c>
    </row>
    <row r="10" spans="1:23" s="9" customFormat="1" ht="15.75">
      <c r="A10" s="9" t="str">
        <f>+'Device Energy Use'!A5</f>
        <v>Electric Resistance</v>
      </c>
      <c r="B10" s="24">
        <v>10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</row>
    <row r="11" spans="1:23" s="9" customFormat="1" ht="15.75">
      <c r="A11" s="9" t="str">
        <f>+'Device Energy Use'!A6</f>
        <v>HPWH</v>
      </c>
      <c r="B11" s="24">
        <v>-10</v>
      </c>
      <c r="C11" s="36">
        <f t="shared" ref="C11:W11" si="0">B11*$I$16</f>
        <v>-9.2629999999999999</v>
      </c>
      <c r="D11" s="36">
        <f t="shared" si="0"/>
        <v>-8.5803168999999997</v>
      </c>
      <c r="E11" s="36">
        <f t="shared" si="0"/>
        <v>-7.9479475444699998</v>
      </c>
      <c r="F11" s="36">
        <f t="shared" si="0"/>
        <v>-7.362183810442561</v>
      </c>
      <c r="G11" s="36">
        <f t="shared" si="0"/>
        <v>-6.8195908636129445</v>
      </c>
      <c r="H11" s="36">
        <f t="shared" si="0"/>
        <v>-6.3169870169646707</v>
      </c>
      <c r="I11" s="36">
        <f t="shared" si="0"/>
        <v>-5.8514250738143749</v>
      </c>
      <c r="J11" s="36">
        <f t="shared" si="0"/>
        <v>-5.4201750458742559</v>
      </c>
      <c r="K11" s="36">
        <f t="shared" si="0"/>
        <v>-5.0207081449933231</v>
      </c>
      <c r="L11" s="36">
        <f t="shared" si="0"/>
        <v>-4.6506819547073155</v>
      </c>
      <c r="M11" s="36">
        <f t="shared" si="0"/>
        <v>-4.3079266946453867</v>
      </c>
      <c r="N11" s="36">
        <f t="shared" si="0"/>
        <v>-3.9904324972500218</v>
      </c>
      <c r="O11" s="36">
        <f t="shared" si="0"/>
        <v>-3.6963376222026953</v>
      </c>
      <c r="P11" s="36">
        <f t="shared" si="0"/>
        <v>-3.4239175394463568</v>
      </c>
      <c r="Q11" s="36">
        <f t="shared" si="0"/>
        <v>-3.1715748167891604</v>
      </c>
      <c r="R11" s="36">
        <f t="shared" si="0"/>
        <v>-2.9378297527917994</v>
      </c>
      <c r="S11" s="36">
        <f t="shared" si="0"/>
        <v>-2.7213117000110438</v>
      </c>
      <c r="T11" s="36">
        <f t="shared" si="0"/>
        <v>-2.5207510277202299</v>
      </c>
      <c r="U11" s="36">
        <f t="shared" si="0"/>
        <v>-2.3349716769772488</v>
      </c>
      <c r="V11" s="36">
        <f t="shared" si="0"/>
        <v>-2.1628842643840258</v>
      </c>
      <c r="W11" s="36">
        <f t="shared" si="0"/>
        <v>-2.0034796940989232</v>
      </c>
    </row>
    <row r="12" spans="1:23" s="9" customFormat="1" ht="15.75">
      <c r="A12" s="9" t="str">
        <f>+'Device Energy Use'!A7</f>
        <v>Gas Tank</v>
      </c>
      <c r="B12" s="24">
        <v>-2</v>
      </c>
      <c r="C12" s="36">
        <f t="shared" ref="C12:W12" si="1">B12</f>
        <v>-2</v>
      </c>
      <c r="D12" s="36">
        <f t="shared" si="1"/>
        <v>-2</v>
      </c>
      <c r="E12" s="36">
        <f t="shared" si="1"/>
        <v>-2</v>
      </c>
      <c r="F12" s="36">
        <f t="shared" si="1"/>
        <v>-2</v>
      </c>
      <c r="G12" s="36">
        <f t="shared" si="1"/>
        <v>-2</v>
      </c>
      <c r="H12" s="36">
        <f t="shared" si="1"/>
        <v>-2</v>
      </c>
      <c r="I12" s="36">
        <f t="shared" si="1"/>
        <v>-2</v>
      </c>
      <c r="J12" s="36">
        <f t="shared" si="1"/>
        <v>-2</v>
      </c>
      <c r="K12" s="36">
        <f t="shared" si="1"/>
        <v>-2</v>
      </c>
      <c r="L12" s="36">
        <f t="shared" si="1"/>
        <v>-2</v>
      </c>
      <c r="M12" s="36">
        <f t="shared" si="1"/>
        <v>-2</v>
      </c>
      <c r="N12" s="36">
        <f t="shared" si="1"/>
        <v>-2</v>
      </c>
      <c r="O12" s="36">
        <f t="shared" si="1"/>
        <v>-2</v>
      </c>
      <c r="P12" s="36">
        <f t="shared" si="1"/>
        <v>-2</v>
      </c>
      <c r="Q12" s="36">
        <f t="shared" si="1"/>
        <v>-2</v>
      </c>
      <c r="R12" s="36">
        <f t="shared" si="1"/>
        <v>-2</v>
      </c>
      <c r="S12" s="36">
        <f t="shared" si="1"/>
        <v>-2</v>
      </c>
      <c r="T12" s="36">
        <f t="shared" si="1"/>
        <v>-2</v>
      </c>
      <c r="U12" s="36">
        <f t="shared" si="1"/>
        <v>-2</v>
      </c>
      <c r="V12" s="36">
        <f t="shared" si="1"/>
        <v>-2</v>
      </c>
      <c r="W12" s="36">
        <f t="shared" si="1"/>
        <v>-2</v>
      </c>
    </row>
    <row r="13" spans="1:23" s="9" customFormat="1" ht="15.75">
      <c r="A13" s="9" t="str">
        <f>+'Device Energy Use'!A8</f>
        <v>Instant Gas</v>
      </c>
      <c r="B13" s="24">
        <v>-10</v>
      </c>
      <c r="C13" s="36">
        <f t="shared" ref="C13:W13" si="2">B13*$I$16</f>
        <v>-9.2629999999999999</v>
      </c>
      <c r="D13" s="36">
        <f t="shared" si="2"/>
        <v>-8.5803168999999997</v>
      </c>
      <c r="E13" s="36">
        <f t="shared" si="2"/>
        <v>-7.9479475444699998</v>
      </c>
      <c r="F13" s="36">
        <f t="shared" si="2"/>
        <v>-7.362183810442561</v>
      </c>
      <c r="G13" s="36">
        <f t="shared" si="2"/>
        <v>-6.8195908636129445</v>
      </c>
      <c r="H13" s="36">
        <f t="shared" si="2"/>
        <v>-6.3169870169646707</v>
      </c>
      <c r="I13" s="36">
        <f t="shared" si="2"/>
        <v>-5.8514250738143749</v>
      </c>
      <c r="J13" s="36">
        <f t="shared" si="2"/>
        <v>-5.4201750458742559</v>
      </c>
      <c r="K13" s="36">
        <f t="shared" si="2"/>
        <v>-5.0207081449933231</v>
      </c>
      <c r="L13" s="36">
        <f t="shared" si="2"/>
        <v>-4.6506819547073155</v>
      </c>
      <c r="M13" s="36">
        <f t="shared" si="2"/>
        <v>-4.3079266946453867</v>
      </c>
      <c r="N13" s="36">
        <f t="shared" si="2"/>
        <v>-3.9904324972500218</v>
      </c>
      <c r="O13" s="36">
        <f t="shared" si="2"/>
        <v>-3.6963376222026953</v>
      </c>
      <c r="P13" s="36">
        <f t="shared" si="2"/>
        <v>-3.4239175394463568</v>
      </c>
      <c r="Q13" s="36">
        <f t="shared" si="2"/>
        <v>-3.1715748167891604</v>
      </c>
      <c r="R13" s="36">
        <f t="shared" si="2"/>
        <v>-2.9378297527917994</v>
      </c>
      <c r="S13" s="36">
        <f t="shared" si="2"/>
        <v>-2.7213117000110438</v>
      </c>
      <c r="T13" s="36">
        <f t="shared" si="2"/>
        <v>-2.5207510277202299</v>
      </c>
      <c r="U13" s="36">
        <f t="shared" si="2"/>
        <v>-2.3349716769772488</v>
      </c>
      <c r="V13" s="36">
        <f t="shared" si="2"/>
        <v>-2.1628842643840258</v>
      </c>
      <c r="W13" s="36">
        <f t="shared" si="2"/>
        <v>-2.0034796940989232</v>
      </c>
    </row>
    <row r="14" spans="1:23" s="9" customFormat="1" ht="15.75">
      <c r="A14" s="9" t="str">
        <f>+'Device Energy Use'!A9</f>
        <v>Condensing Gas</v>
      </c>
      <c r="B14" s="24">
        <v>-10</v>
      </c>
      <c r="C14" s="36">
        <f t="shared" ref="C14:W14" si="3">B14*$I$16</f>
        <v>-9.2629999999999999</v>
      </c>
      <c r="D14" s="36">
        <f t="shared" si="3"/>
        <v>-8.5803168999999997</v>
      </c>
      <c r="E14" s="36">
        <f t="shared" si="3"/>
        <v>-7.9479475444699998</v>
      </c>
      <c r="F14" s="36">
        <f t="shared" si="3"/>
        <v>-7.362183810442561</v>
      </c>
      <c r="G14" s="36">
        <f t="shared" si="3"/>
        <v>-6.8195908636129445</v>
      </c>
      <c r="H14" s="36">
        <f t="shared" si="3"/>
        <v>-6.3169870169646707</v>
      </c>
      <c r="I14" s="36">
        <f t="shared" si="3"/>
        <v>-5.8514250738143749</v>
      </c>
      <c r="J14" s="36">
        <f t="shared" si="3"/>
        <v>-5.4201750458742559</v>
      </c>
      <c r="K14" s="36">
        <f t="shared" si="3"/>
        <v>-5.0207081449933231</v>
      </c>
      <c r="L14" s="36">
        <f t="shared" si="3"/>
        <v>-4.6506819547073155</v>
      </c>
      <c r="M14" s="36">
        <f t="shared" si="3"/>
        <v>-4.3079266946453867</v>
      </c>
      <c r="N14" s="36">
        <f t="shared" si="3"/>
        <v>-3.9904324972500218</v>
      </c>
      <c r="O14" s="36">
        <f t="shared" si="3"/>
        <v>-3.6963376222026953</v>
      </c>
      <c r="P14" s="36">
        <f t="shared" si="3"/>
        <v>-3.4239175394463568</v>
      </c>
      <c r="Q14" s="36">
        <f t="shared" si="3"/>
        <v>-3.1715748167891604</v>
      </c>
      <c r="R14" s="36">
        <f t="shared" si="3"/>
        <v>-2.9378297527917994</v>
      </c>
      <c r="S14" s="36">
        <f t="shared" si="3"/>
        <v>-2.7213117000110438</v>
      </c>
      <c r="T14" s="36">
        <f t="shared" si="3"/>
        <v>-2.5207510277202299</v>
      </c>
      <c r="U14" s="36">
        <f t="shared" si="3"/>
        <v>-2.3349716769772488</v>
      </c>
      <c r="V14" s="36">
        <f t="shared" si="3"/>
        <v>-2.1628842643840258</v>
      </c>
      <c r="W14" s="36">
        <f t="shared" si="3"/>
        <v>-2.0034796940989232</v>
      </c>
    </row>
    <row r="15" spans="1:23" s="9" customFormat="1" ht="15.75"/>
    <row r="16" spans="1:23" s="9" customFormat="1" ht="15.75">
      <c r="A16" s="37" t="s">
        <v>93</v>
      </c>
      <c r="I16" s="36">
        <v>0.92630000000000001</v>
      </c>
    </row>
    <row r="17" spans="1:23" s="9" customFormat="1" ht="15.75">
      <c r="A17" s="32"/>
    </row>
    <row r="18" spans="1:23" s="9" customFormat="1" ht="15.75">
      <c r="A18" s="127" t="str">
        <f>CONCATENATE("Impact of Non-Price Factors on Market Share (%)"," - ",'Input Assumptions'!$B$9," ", 'Input Assumptions'!$B$10," Space Heat, ", 'Input Assumptions'!$B$11," ", 'Input Assumptions'!$B$12)</f>
        <v>Impact of Non-Price Factors on Market Share (%) - Idaho Gas FAF Space Heat, Electric Resistance &lt;=55 Gallons</v>
      </c>
    </row>
    <row r="19" spans="1:23" s="9" customFormat="1" ht="15.75">
      <c r="A19" s="144" t="str">
        <f t="shared" ref="A19:W19" si="4">A9</f>
        <v>Water Heat Ending</v>
      </c>
      <c r="B19" s="145">
        <f t="shared" si="4"/>
        <v>2014</v>
      </c>
      <c r="C19" s="145">
        <f t="shared" si="4"/>
        <v>2015</v>
      </c>
      <c r="D19" s="145">
        <f t="shared" si="4"/>
        <v>2016</v>
      </c>
      <c r="E19" s="145">
        <f t="shared" si="4"/>
        <v>2017</v>
      </c>
      <c r="F19" s="145">
        <f t="shared" si="4"/>
        <v>2018</v>
      </c>
      <c r="G19" s="145">
        <f t="shared" si="4"/>
        <v>2019</v>
      </c>
      <c r="H19" s="145">
        <f t="shared" si="4"/>
        <v>2020</v>
      </c>
      <c r="I19" s="145">
        <f t="shared" si="4"/>
        <v>2021</v>
      </c>
      <c r="J19" s="145">
        <f t="shared" si="4"/>
        <v>2022</v>
      </c>
      <c r="K19" s="145">
        <f t="shared" si="4"/>
        <v>2023</v>
      </c>
      <c r="L19" s="145">
        <f t="shared" si="4"/>
        <v>2024</v>
      </c>
      <c r="M19" s="145">
        <f t="shared" si="4"/>
        <v>2025</v>
      </c>
      <c r="N19" s="145">
        <f t="shared" si="4"/>
        <v>2026</v>
      </c>
      <c r="O19" s="145">
        <f t="shared" si="4"/>
        <v>2027</v>
      </c>
      <c r="P19" s="145">
        <f t="shared" si="4"/>
        <v>2028</v>
      </c>
      <c r="Q19" s="145">
        <f t="shared" si="4"/>
        <v>2029</v>
      </c>
      <c r="R19" s="145">
        <f t="shared" si="4"/>
        <v>2030</v>
      </c>
      <c r="S19" s="145">
        <f t="shared" si="4"/>
        <v>2031</v>
      </c>
      <c r="T19" s="145">
        <f t="shared" si="4"/>
        <v>2032</v>
      </c>
      <c r="U19" s="145">
        <f t="shared" si="4"/>
        <v>2033</v>
      </c>
      <c r="V19" s="145">
        <f t="shared" si="4"/>
        <v>2034</v>
      </c>
      <c r="W19" s="145">
        <f t="shared" si="4"/>
        <v>2035</v>
      </c>
    </row>
    <row r="20" spans="1:23" s="9" customFormat="1" ht="15.75">
      <c r="A20" s="10" t="str">
        <f>A10</f>
        <v>Electric Resistance</v>
      </c>
      <c r="B20" s="128">
        <f>EXP(B10)</f>
        <v>22026.465794806718</v>
      </c>
      <c r="C20" s="128">
        <f>EXP(C10)</f>
        <v>1</v>
      </c>
      <c r="D20" s="128">
        <f t="shared" ref="D20:W24" si="5">EXP(D10)</f>
        <v>1</v>
      </c>
      <c r="E20" s="128">
        <f t="shared" si="5"/>
        <v>1</v>
      </c>
      <c r="F20" s="128">
        <f t="shared" si="5"/>
        <v>1</v>
      </c>
      <c r="G20" s="128">
        <f t="shared" si="5"/>
        <v>1</v>
      </c>
      <c r="H20" s="128">
        <f t="shared" si="5"/>
        <v>1</v>
      </c>
      <c r="I20" s="128">
        <f t="shared" si="5"/>
        <v>1</v>
      </c>
      <c r="J20" s="128">
        <f t="shared" si="5"/>
        <v>1</v>
      </c>
      <c r="K20" s="128">
        <f t="shared" si="5"/>
        <v>1</v>
      </c>
      <c r="L20" s="128">
        <f t="shared" si="5"/>
        <v>1</v>
      </c>
      <c r="M20" s="128">
        <f t="shared" si="5"/>
        <v>1</v>
      </c>
      <c r="N20" s="128">
        <f t="shared" si="5"/>
        <v>1</v>
      </c>
      <c r="O20" s="128">
        <f t="shared" si="5"/>
        <v>1</v>
      </c>
      <c r="P20" s="128">
        <f t="shared" si="5"/>
        <v>1</v>
      </c>
      <c r="Q20" s="128">
        <f t="shared" si="5"/>
        <v>1</v>
      </c>
      <c r="R20" s="128">
        <f t="shared" si="5"/>
        <v>1</v>
      </c>
      <c r="S20" s="128">
        <f t="shared" si="5"/>
        <v>1</v>
      </c>
      <c r="T20" s="128">
        <f t="shared" si="5"/>
        <v>1</v>
      </c>
      <c r="U20" s="128">
        <f t="shared" si="5"/>
        <v>1</v>
      </c>
      <c r="V20" s="128">
        <f t="shared" si="5"/>
        <v>1</v>
      </c>
      <c r="W20" s="128">
        <f t="shared" si="5"/>
        <v>1</v>
      </c>
    </row>
    <row r="21" spans="1:23" s="9" customFormat="1" ht="15.75">
      <c r="A21" s="10" t="str">
        <f>A11</f>
        <v>HPWH</v>
      </c>
      <c r="B21" s="128">
        <f>EXP(B11)</f>
        <v>4.5399929762484854E-5</v>
      </c>
      <c r="C21" s="128">
        <f t="shared" ref="C21:R24" si="6">EXP(C11)</f>
        <v>9.4870286940392634E-5</v>
      </c>
      <c r="D21" s="128">
        <f t="shared" si="6"/>
        <v>1.8776546510123642E-4</v>
      </c>
      <c r="E21" s="128">
        <f t="shared" si="6"/>
        <v>3.5338673135440333E-4</v>
      </c>
      <c r="F21" s="128">
        <f t="shared" si="6"/>
        <v>6.3481063861947802E-4</v>
      </c>
      <c r="G21" s="128">
        <f t="shared" si="6"/>
        <v>1.0921676764187808E-3</v>
      </c>
      <c r="H21" s="128">
        <f t="shared" si="6"/>
        <v>1.8053748836946277E-3</v>
      </c>
      <c r="I21" s="128">
        <f t="shared" si="6"/>
        <v>2.8757980121219356E-3</v>
      </c>
      <c r="J21" s="128">
        <f t="shared" si="6"/>
        <v>4.4263717618983544E-3</v>
      </c>
      <c r="K21" s="128">
        <f t="shared" si="6"/>
        <v>6.599851402385312E-3</v>
      </c>
      <c r="L21" s="128">
        <f t="shared" si="6"/>
        <v>9.5550835739620938E-3</v>
      </c>
      <c r="M21" s="128">
        <f t="shared" si="6"/>
        <v>1.3461430337210025E-2</v>
      </c>
      <c r="N21" s="128">
        <f t="shared" si="6"/>
        <v>1.8491714774308395E-2</v>
      </c>
      <c r="O21" s="128">
        <f t="shared" si="6"/>
        <v>2.4814239375826518E-2</v>
      </c>
      <c r="P21" s="128">
        <f t="shared" si="6"/>
        <v>3.2584533378041639E-2</v>
      </c>
      <c r="Q21" s="128">
        <f t="shared" si="6"/>
        <v>4.1937501990398925E-2</v>
      </c>
      <c r="R21" s="128">
        <f t="shared" si="6"/>
        <v>5.2980585026743042E-2</v>
      </c>
      <c r="S21" s="128">
        <f t="shared" si="5"/>
        <v>6.578840315615643E-2</v>
      </c>
      <c r="T21" s="128">
        <f t="shared" si="5"/>
        <v>8.0399202040149567E-2</v>
      </c>
      <c r="U21" s="128">
        <f t="shared" si="5"/>
        <v>9.6813224530790096E-2</v>
      </c>
      <c r="V21" s="128">
        <f t="shared" si="5"/>
        <v>0.11499297213176096</v>
      </c>
      <c r="W21" s="128">
        <f t="shared" si="5"/>
        <v>0.13486517623877975</v>
      </c>
    </row>
    <row r="22" spans="1:23" ht="15.75">
      <c r="A22" s="10" t="str">
        <f>A12</f>
        <v>Gas Tank</v>
      </c>
      <c r="B22" s="128">
        <f t="shared" ref="B22:B24" si="7">EXP(B12)</f>
        <v>0.1353352832366127</v>
      </c>
      <c r="C22" s="128">
        <f t="shared" si="6"/>
        <v>0.1353352832366127</v>
      </c>
      <c r="D22" s="128">
        <f t="shared" si="5"/>
        <v>0.1353352832366127</v>
      </c>
      <c r="E22" s="128">
        <f t="shared" si="5"/>
        <v>0.1353352832366127</v>
      </c>
      <c r="F22" s="128">
        <f t="shared" si="5"/>
        <v>0.1353352832366127</v>
      </c>
      <c r="G22" s="128">
        <f t="shared" si="5"/>
        <v>0.1353352832366127</v>
      </c>
      <c r="H22" s="128">
        <f t="shared" si="5"/>
        <v>0.1353352832366127</v>
      </c>
      <c r="I22" s="128">
        <f t="shared" si="5"/>
        <v>0.1353352832366127</v>
      </c>
      <c r="J22" s="128">
        <f t="shared" si="5"/>
        <v>0.1353352832366127</v>
      </c>
      <c r="K22" s="128">
        <f t="shared" si="5"/>
        <v>0.1353352832366127</v>
      </c>
      <c r="L22" s="128">
        <f t="shared" si="5"/>
        <v>0.1353352832366127</v>
      </c>
      <c r="M22" s="128">
        <f t="shared" si="5"/>
        <v>0.1353352832366127</v>
      </c>
      <c r="N22" s="128">
        <f t="shared" si="5"/>
        <v>0.1353352832366127</v>
      </c>
      <c r="O22" s="128">
        <f t="shared" si="5"/>
        <v>0.1353352832366127</v>
      </c>
      <c r="P22" s="128">
        <f t="shared" si="5"/>
        <v>0.1353352832366127</v>
      </c>
      <c r="Q22" s="128">
        <f t="shared" si="5"/>
        <v>0.1353352832366127</v>
      </c>
      <c r="R22" s="128">
        <f t="shared" si="5"/>
        <v>0.1353352832366127</v>
      </c>
      <c r="S22" s="128">
        <f t="shared" si="5"/>
        <v>0.1353352832366127</v>
      </c>
      <c r="T22" s="128">
        <f t="shared" si="5"/>
        <v>0.1353352832366127</v>
      </c>
      <c r="U22" s="128">
        <f t="shared" si="5"/>
        <v>0.1353352832366127</v>
      </c>
      <c r="V22" s="128">
        <f t="shared" si="5"/>
        <v>0.1353352832366127</v>
      </c>
      <c r="W22" s="128">
        <f t="shared" si="5"/>
        <v>0.1353352832366127</v>
      </c>
    </row>
    <row r="23" spans="1:23" ht="15.75">
      <c r="A23" s="10" t="str">
        <f>A13</f>
        <v>Instant Gas</v>
      </c>
      <c r="B23" s="128">
        <f t="shared" si="7"/>
        <v>4.5399929762484854E-5</v>
      </c>
      <c r="C23" s="128">
        <f t="shared" si="6"/>
        <v>9.4870286940392634E-5</v>
      </c>
      <c r="D23" s="128">
        <f t="shared" si="5"/>
        <v>1.8776546510123642E-4</v>
      </c>
      <c r="E23" s="128">
        <f t="shared" si="5"/>
        <v>3.5338673135440333E-4</v>
      </c>
      <c r="F23" s="128">
        <f t="shared" si="5"/>
        <v>6.3481063861947802E-4</v>
      </c>
      <c r="G23" s="128">
        <f t="shared" si="5"/>
        <v>1.0921676764187808E-3</v>
      </c>
      <c r="H23" s="128">
        <f t="shared" si="5"/>
        <v>1.8053748836946277E-3</v>
      </c>
      <c r="I23" s="128">
        <f t="shared" si="5"/>
        <v>2.8757980121219356E-3</v>
      </c>
      <c r="J23" s="128">
        <f t="shared" si="5"/>
        <v>4.4263717618983544E-3</v>
      </c>
      <c r="K23" s="128">
        <f t="shared" si="5"/>
        <v>6.599851402385312E-3</v>
      </c>
      <c r="L23" s="128">
        <f t="shared" si="5"/>
        <v>9.5550835739620938E-3</v>
      </c>
      <c r="M23" s="128">
        <f t="shared" si="5"/>
        <v>1.3461430337210025E-2</v>
      </c>
      <c r="N23" s="128">
        <f t="shared" si="5"/>
        <v>1.8491714774308395E-2</v>
      </c>
      <c r="O23" s="128">
        <f t="shared" si="5"/>
        <v>2.4814239375826518E-2</v>
      </c>
      <c r="P23" s="128">
        <f t="shared" si="5"/>
        <v>3.2584533378041639E-2</v>
      </c>
      <c r="Q23" s="128">
        <f t="shared" si="5"/>
        <v>4.1937501990398925E-2</v>
      </c>
      <c r="R23" s="128">
        <f t="shared" si="5"/>
        <v>5.2980585026743042E-2</v>
      </c>
      <c r="S23" s="128">
        <f t="shared" si="5"/>
        <v>6.578840315615643E-2</v>
      </c>
      <c r="T23" s="128">
        <f t="shared" si="5"/>
        <v>8.0399202040149567E-2</v>
      </c>
      <c r="U23" s="128">
        <f t="shared" si="5"/>
        <v>9.6813224530790096E-2</v>
      </c>
      <c r="V23" s="128">
        <f t="shared" si="5"/>
        <v>0.11499297213176096</v>
      </c>
      <c r="W23" s="128">
        <f t="shared" si="5"/>
        <v>0.13486517623877975</v>
      </c>
    </row>
    <row r="24" spans="1:23" ht="15.75">
      <c r="A24" s="10" t="str">
        <f>A14</f>
        <v>Condensing Gas</v>
      </c>
      <c r="B24" s="128">
        <f t="shared" si="7"/>
        <v>4.5399929762484854E-5</v>
      </c>
      <c r="C24" s="128">
        <f t="shared" si="6"/>
        <v>9.4870286940392634E-5</v>
      </c>
      <c r="D24" s="128">
        <f t="shared" si="5"/>
        <v>1.8776546510123642E-4</v>
      </c>
      <c r="E24" s="128">
        <f t="shared" si="5"/>
        <v>3.5338673135440333E-4</v>
      </c>
      <c r="F24" s="128">
        <f t="shared" si="5"/>
        <v>6.3481063861947802E-4</v>
      </c>
      <c r="G24" s="128">
        <f t="shared" si="5"/>
        <v>1.0921676764187808E-3</v>
      </c>
      <c r="H24" s="128">
        <f t="shared" si="5"/>
        <v>1.8053748836946277E-3</v>
      </c>
      <c r="I24" s="128">
        <f t="shared" si="5"/>
        <v>2.8757980121219356E-3</v>
      </c>
      <c r="J24" s="128">
        <f t="shared" si="5"/>
        <v>4.4263717618983544E-3</v>
      </c>
      <c r="K24" s="128">
        <f t="shared" si="5"/>
        <v>6.599851402385312E-3</v>
      </c>
      <c r="L24" s="128">
        <f t="shared" si="5"/>
        <v>9.5550835739620938E-3</v>
      </c>
      <c r="M24" s="128">
        <f t="shared" si="5"/>
        <v>1.3461430337210025E-2</v>
      </c>
      <c r="N24" s="128">
        <f t="shared" si="5"/>
        <v>1.8491714774308395E-2</v>
      </c>
      <c r="O24" s="128">
        <f t="shared" si="5"/>
        <v>2.4814239375826518E-2</v>
      </c>
      <c r="P24" s="128">
        <f t="shared" si="5"/>
        <v>3.2584533378041639E-2</v>
      </c>
      <c r="Q24" s="128">
        <f t="shared" si="5"/>
        <v>4.1937501990398925E-2</v>
      </c>
      <c r="R24" s="128">
        <f t="shared" si="5"/>
        <v>5.2980585026743042E-2</v>
      </c>
      <c r="S24" s="128">
        <f t="shared" si="5"/>
        <v>6.578840315615643E-2</v>
      </c>
      <c r="T24" s="128">
        <f t="shared" si="5"/>
        <v>8.0399202040149567E-2</v>
      </c>
      <c r="U24" s="128">
        <f t="shared" si="5"/>
        <v>9.6813224530790096E-2</v>
      </c>
      <c r="V24" s="128">
        <f t="shared" si="5"/>
        <v>0.11499297213176096</v>
      </c>
      <c r="W24" s="128">
        <f t="shared" si="5"/>
        <v>0.13486517623877975</v>
      </c>
    </row>
    <row r="25" spans="1:23" ht="15.75">
      <c r="A25" s="10"/>
    </row>
    <row r="26" spans="1:23" s="9" customFormat="1" ht="15.75">
      <c r="A26" s="37" t="s">
        <v>34</v>
      </c>
    </row>
    <row r="27" spans="1:23" s="9" customFormat="1" ht="15.75">
      <c r="A27" s="35" t="s">
        <v>35</v>
      </c>
    </row>
    <row r="28" spans="1:23" s="9" customFormat="1" ht="15.75">
      <c r="A28" s="35" t="s">
        <v>42</v>
      </c>
    </row>
    <row r="29" spans="1:23" s="9" customFormat="1" ht="15.75">
      <c r="A29" s="35" t="s">
        <v>36</v>
      </c>
    </row>
    <row r="30" spans="1:23" s="9" customFormat="1" ht="15.75">
      <c r="A30" s="35" t="s">
        <v>37</v>
      </c>
    </row>
    <row r="31" spans="1:23" ht="15.75">
      <c r="A31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A9"/>
  <sheetViews>
    <sheetView tabSelected="1" workbookViewId="0">
      <selection activeCell="D15" sqref="D15"/>
    </sheetView>
  </sheetViews>
  <sheetFormatPr defaultColWidth="9.140625" defaultRowHeight="15.75"/>
  <cols>
    <col min="1" max="1" width="12.7109375" style="9" customWidth="1"/>
    <col min="2" max="16384" width="9.140625" style="9"/>
  </cols>
  <sheetData>
    <row r="1" spans="1:27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27" ht="26.25" customHeight="1">
      <c r="A3" s="26" t="str">
        <f>CONCATENATE('Input Assumptions'!B9," Retail Rates (2012$/mmBtu)")</f>
        <v>Idaho Retail Rates (2012$/mmBtu)</v>
      </c>
    </row>
    <row r="4" spans="1:27">
      <c r="B4" s="12">
        <v>2014</v>
      </c>
      <c r="C4" s="12">
        <v>2015</v>
      </c>
      <c r="D4" s="12">
        <v>2016</v>
      </c>
      <c r="E4" s="12">
        <v>2017</v>
      </c>
      <c r="F4" s="12">
        <v>2018</v>
      </c>
      <c r="G4" s="12">
        <v>2019</v>
      </c>
      <c r="H4" s="12">
        <v>2020</v>
      </c>
      <c r="I4" s="12">
        <v>2021</v>
      </c>
      <c r="J4" s="12">
        <v>2022</v>
      </c>
      <c r="K4" s="12">
        <v>2023</v>
      </c>
      <c r="L4" s="12">
        <v>2024</v>
      </c>
      <c r="M4" s="12">
        <v>2025</v>
      </c>
      <c r="N4" s="12">
        <v>2026</v>
      </c>
      <c r="O4" s="12">
        <v>2027</v>
      </c>
      <c r="P4" s="12">
        <v>2028</v>
      </c>
      <c r="Q4" s="12">
        <v>2029</v>
      </c>
      <c r="R4" s="12">
        <v>2030</v>
      </c>
      <c r="S4" s="12">
        <v>2031</v>
      </c>
      <c r="T4" s="12">
        <v>2032</v>
      </c>
      <c r="U4" s="12">
        <v>2033</v>
      </c>
      <c r="V4" s="12">
        <v>2034</v>
      </c>
      <c r="W4" s="12">
        <v>2035</v>
      </c>
    </row>
    <row r="5" spans="1:27">
      <c r="A5" s="9" t="s">
        <v>19</v>
      </c>
      <c r="B5" s="64">
        <v>26.064692599999994</v>
      </c>
      <c r="C5" s="64">
        <v>26.403533603799993</v>
      </c>
      <c r="D5" s="64">
        <v>26.746779540649388</v>
      </c>
      <c r="E5" s="64">
        <v>27.094487674677829</v>
      </c>
      <c r="F5" s="64">
        <v>27.44671601444864</v>
      </c>
      <c r="G5" s="64">
        <v>27.803523322636469</v>
      </c>
      <c r="H5" s="64">
        <v>28.164969125830741</v>
      </c>
      <c r="I5" s="64">
        <v>28.531113724466536</v>
      </c>
      <c r="J5" s="64">
        <v>28.902018202884598</v>
      </c>
      <c r="K5" s="64">
        <v>29.277744439522095</v>
      </c>
      <c r="L5" s="64">
        <v>29.658355117235878</v>
      </c>
      <c r="M5" s="64">
        <v>30.043913733759943</v>
      </c>
      <c r="N5" s="64">
        <v>30.434484612298821</v>
      </c>
      <c r="O5" s="64">
        <v>30.830132912258701</v>
      </c>
      <c r="P5" s="64">
        <v>31.230924640118062</v>
      </c>
      <c r="Q5" s="64">
        <v>31.636926660439592</v>
      </c>
      <c r="R5" s="64">
        <v>32.048206707025301</v>
      </c>
      <c r="S5" s="64">
        <v>32.464833394216626</v>
      </c>
      <c r="T5" s="64">
        <v>32.886876228341436</v>
      </c>
      <c r="U5" s="64">
        <v>33.314405619309873</v>
      </c>
      <c r="V5" s="64">
        <v>33.747492892360896</v>
      </c>
      <c r="W5" s="64">
        <v>34.186210299961587</v>
      </c>
      <c r="X5" s="10"/>
      <c r="Y5" s="10"/>
      <c r="Z5" s="10"/>
      <c r="AA5" s="10"/>
    </row>
    <row r="6" spans="1:27">
      <c r="A6" s="9" t="s">
        <v>20</v>
      </c>
      <c r="B6" s="64">
        <v>8.3757292499999991</v>
      </c>
      <c r="C6" s="64">
        <v>8.5013651887499986</v>
      </c>
      <c r="D6" s="64">
        <v>8.6288856665812474</v>
      </c>
      <c r="E6" s="64">
        <v>8.758318951579966</v>
      </c>
      <c r="F6" s="64">
        <v>8.8896937358536654</v>
      </c>
      <c r="G6" s="64">
        <v>9.0230391418914699</v>
      </c>
      <c r="H6" s="64">
        <v>9.1583847290198417</v>
      </c>
      <c r="I6" s="64">
        <v>9.2957604999551382</v>
      </c>
      <c r="J6" s="64">
        <v>9.4351969074544648</v>
      </c>
      <c r="K6" s="64">
        <v>9.5767248610662801</v>
      </c>
      <c r="L6" s="64">
        <v>9.7203757339822729</v>
      </c>
      <c r="M6" s="64">
        <v>9.866181369992006</v>
      </c>
      <c r="N6" s="64">
        <v>10.014174090541886</v>
      </c>
      <c r="O6" s="64">
        <v>10.164386701900012</v>
      </c>
      <c r="P6" s="64">
        <v>10.316852502428512</v>
      </c>
      <c r="Q6" s="64">
        <v>10.471605289964939</v>
      </c>
      <c r="R6" s="64">
        <v>10.628679369314412</v>
      </c>
      <c r="S6" s="64">
        <v>10.788109559854128</v>
      </c>
      <c r="T6" s="64">
        <v>10.949931203251939</v>
      </c>
      <c r="U6" s="64">
        <v>11.114180171300717</v>
      </c>
      <c r="V6" s="64">
        <v>11.280892873870227</v>
      </c>
      <c r="W6" s="64">
        <v>11.450106266978279</v>
      </c>
      <c r="X6" s="11"/>
      <c r="Y6" s="11"/>
      <c r="Z6" s="11"/>
      <c r="AA6" s="11"/>
    </row>
    <row r="8" spans="1:27">
      <c r="A8" s="29" t="s">
        <v>73</v>
      </c>
    </row>
    <row r="9" spans="1:27">
      <c r="A9" s="77" t="s">
        <v>91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W8"/>
  <sheetViews>
    <sheetView workbookViewId="0">
      <selection activeCell="D17" sqref="D17"/>
    </sheetView>
  </sheetViews>
  <sheetFormatPr defaultRowHeight="15.75"/>
  <cols>
    <col min="1" max="1" width="25.7109375" style="9" customWidth="1"/>
    <col min="2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23">
      <c r="A3" s="12" t="s">
        <v>129</v>
      </c>
    </row>
    <row r="4" spans="1:23">
      <c r="B4" s="9">
        <v>2014</v>
      </c>
      <c r="C4" s="9">
        <v>2015</v>
      </c>
      <c r="D4" s="9">
        <v>2016</v>
      </c>
      <c r="E4" s="9">
        <v>2017</v>
      </c>
      <c r="F4" s="9">
        <v>2018</v>
      </c>
      <c r="G4" s="9">
        <v>2019</v>
      </c>
      <c r="H4" s="9">
        <v>2020</v>
      </c>
      <c r="I4" s="9">
        <v>2021</v>
      </c>
      <c r="J4" s="9">
        <v>2022</v>
      </c>
      <c r="K4" s="9">
        <v>2023</v>
      </c>
      <c r="L4" s="9">
        <v>2024</v>
      </c>
      <c r="M4" s="9">
        <v>2025</v>
      </c>
      <c r="N4" s="9">
        <v>2026</v>
      </c>
      <c r="O4" s="9">
        <v>2027</v>
      </c>
      <c r="P4" s="9">
        <v>2028</v>
      </c>
      <c r="Q4" s="9">
        <v>2029</v>
      </c>
      <c r="R4" s="9">
        <v>2030</v>
      </c>
      <c r="S4" s="9">
        <v>2031</v>
      </c>
      <c r="T4" s="9">
        <v>2032</v>
      </c>
      <c r="U4" s="9">
        <v>2033</v>
      </c>
      <c r="V4" s="9">
        <v>2034</v>
      </c>
      <c r="W4" s="9">
        <v>2035</v>
      </c>
    </row>
    <row r="5" spans="1:23">
      <c r="A5" s="9" t="s">
        <v>131</v>
      </c>
      <c r="B5" s="64">
        <v>4.3899999999999997</v>
      </c>
      <c r="C5" s="64">
        <v>4.2699999999999996</v>
      </c>
      <c r="D5" s="64">
        <v>4.2699999999999996</v>
      </c>
      <c r="E5" s="64">
        <v>4.32</v>
      </c>
      <c r="F5" s="64">
        <v>4.3899999999999997</v>
      </c>
      <c r="G5" s="64">
        <v>4.47</v>
      </c>
      <c r="H5" s="64">
        <v>4.66</v>
      </c>
      <c r="I5" s="64">
        <v>4.75</v>
      </c>
      <c r="J5" s="64">
        <v>4.8499999999999996</v>
      </c>
      <c r="K5" s="64">
        <v>4.95</v>
      </c>
      <c r="L5" s="64">
        <v>5.04</v>
      </c>
      <c r="M5" s="64">
        <v>5.27</v>
      </c>
      <c r="N5" s="64">
        <v>5.4</v>
      </c>
      <c r="O5" s="64">
        <v>5.53</v>
      </c>
      <c r="P5" s="64">
        <v>5.67</v>
      </c>
      <c r="Q5" s="64">
        <v>5.81</v>
      </c>
      <c r="R5" s="64">
        <v>6.06</v>
      </c>
      <c r="S5" s="64">
        <v>6.21</v>
      </c>
      <c r="T5" s="64">
        <v>6.36</v>
      </c>
      <c r="U5" s="64">
        <v>6.52</v>
      </c>
      <c r="V5" s="64">
        <v>6.69</v>
      </c>
      <c r="W5" s="64">
        <v>6.85</v>
      </c>
    </row>
    <row r="7" spans="1:23">
      <c r="A7" s="29" t="s">
        <v>130</v>
      </c>
    </row>
    <row r="8" spans="1:23">
      <c r="A8" s="29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Y7"/>
  <sheetViews>
    <sheetView workbookViewId="0"/>
  </sheetViews>
  <sheetFormatPr defaultColWidth="9.140625" defaultRowHeight="15.75"/>
  <cols>
    <col min="1" max="1" width="12.7109375" style="9" customWidth="1"/>
    <col min="2" max="3" width="9.140625" style="9"/>
    <col min="4" max="4" width="9.28515625" style="9" customWidth="1"/>
    <col min="5" max="16384" width="9.140625" style="9"/>
  </cols>
  <sheetData>
    <row r="1" spans="1:51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51">
      <c r="A3" s="26" t="s">
        <v>161</v>
      </c>
    </row>
    <row r="4" spans="1:51" ht="16.5" customHeight="1">
      <c r="B4" s="12">
        <v>1986</v>
      </c>
      <c r="C4" s="12">
        <v>1987</v>
      </c>
      <c r="D4" s="12">
        <v>1988</v>
      </c>
      <c r="E4" s="12">
        <v>1989</v>
      </c>
      <c r="F4" s="12">
        <v>1990</v>
      </c>
      <c r="G4" s="12">
        <v>1991</v>
      </c>
      <c r="H4" s="12">
        <v>1992</v>
      </c>
      <c r="I4" s="12">
        <v>1993</v>
      </c>
      <c r="J4" s="12">
        <v>1994</v>
      </c>
      <c r="K4" s="12">
        <v>1995</v>
      </c>
      <c r="L4" s="12">
        <v>1996</v>
      </c>
      <c r="M4" s="12">
        <v>1997</v>
      </c>
      <c r="N4" s="12">
        <v>1998</v>
      </c>
      <c r="O4" s="12">
        <v>1999</v>
      </c>
      <c r="P4" s="12">
        <v>2000</v>
      </c>
      <c r="Q4" s="12">
        <v>2001</v>
      </c>
      <c r="R4" s="12">
        <v>2002</v>
      </c>
      <c r="S4" s="12">
        <v>2003</v>
      </c>
      <c r="T4" s="12">
        <v>2004</v>
      </c>
      <c r="U4" s="12">
        <v>2005</v>
      </c>
      <c r="V4" s="12">
        <v>2006</v>
      </c>
      <c r="W4" s="12">
        <v>2007</v>
      </c>
      <c r="X4" s="12">
        <v>2008</v>
      </c>
      <c r="Y4" s="12">
        <v>2009</v>
      </c>
      <c r="Z4" s="12">
        <v>2010</v>
      </c>
      <c r="AA4" s="12">
        <v>2011</v>
      </c>
      <c r="AB4" s="12">
        <v>2012</v>
      </c>
      <c r="AC4" s="12">
        <v>2013</v>
      </c>
      <c r="AD4" s="12">
        <v>2014</v>
      </c>
      <c r="AE4" s="12">
        <v>2015</v>
      </c>
      <c r="AF4" s="12">
        <v>2016</v>
      </c>
      <c r="AG4" s="12">
        <v>2017</v>
      </c>
      <c r="AH4" s="12">
        <v>2018</v>
      </c>
      <c r="AI4" s="12">
        <v>2019</v>
      </c>
      <c r="AJ4" s="12">
        <v>2020</v>
      </c>
      <c r="AK4" s="12">
        <v>2021</v>
      </c>
      <c r="AL4" s="12">
        <v>2022</v>
      </c>
      <c r="AM4" s="12">
        <v>2023</v>
      </c>
      <c r="AN4" s="12">
        <v>2024</v>
      </c>
      <c r="AO4" s="12">
        <v>2025</v>
      </c>
      <c r="AP4" s="12">
        <v>2026</v>
      </c>
      <c r="AQ4" s="12">
        <v>2027</v>
      </c>
      <c r="AR4" s="12">
        <v>2028</v>
      </c>
      <c r="AS4" s="12">
        <v>2029</v>
      </c>
      <c r="AT4" s="12">
        <v>2030</v>
      </c>
      <c r="AU4" s="12">
        <v>2031</v>
      </c>
      <c r="AV4" s="12">
        <v>2032</v>
      </c>
      <c r="AW4" s="12">
        <v>2033</v>
      </c>
      <c r="AX4" s="12">
        <v>2034</v>
      </c>
      <c r="AY4" s="12">
        <v>2035</v>
      </c>
    </row>
    <row r="5" spans="1:51" ht="18" customHeight="1">
      <c r="A5" s="9" t="s">
        <v>66</v>
      </c>
      <c r="B5" s="100">
        <v>0.64119999999999999</v>
      </c>
      <c r="C5" s="100">
        <v>0.65359999999999996</v>
      </c>
      <c r="D5" s="100">
        <v>0.67</v>
      </c>
      <c r="E5" s="100">
        <v>0.68910000000000005</v>
      </c>
      <c r="F5" s="100">
        <v>0.71</v>
      </c>
      <c r="G5" s="100">
        <v>0.73029999999999995</v>
      </c>
      <c r="H5" s="100">
        <v>0.74450000000000005</v>
      </c>
      <c r="I5" s="100">
        <v>0.75929999999999997</v>
      </c>
      <c r="J5" s="100">
        <v>0.77359999999999995</v>
      </c>
      <c r="K5" s="100">
        <v>0.78790000000000004</v>
      </c>
      <c r="L5" s="100">
        <v>0.80169999999999997</v>
      </c>
      <c r="M5" s="100">
        <v>0.81420000000000003</v>
      </c>
      <c r="N5" s="100">
        <v>0.82279999999999998</v>
      </c>
      <c r="O5" s="100">
        <v>0.83430000000000004</v>
      </c>
      <c r="P5" s="100">
        <v>0.85209999999999997</v>
      </c>
      <c r="Q5" s="100">
        <v>0.87250000000000005</v>
      </c>
      <c r="R5" s="100">
        <v>0.8881</v>
      </c>
      <c r="S5" s="100">
        <v>0.90780000000000005</v>
      </c>
      <c r="T5" s="100">
        <v>0.93559999999999999</v>
      </c>
      <c r="U5" s="100">
        <v>0.96870000000000001</v>
      </c>
      <c r="V5" s="100">
        <v>1</v>
      </c>
      <c r="W5" s="100">
        <v>1.0289999999999999</v>
      </c>
      <c r="X5" s="100">
        <v>1.0516000000000001</v>
      </c>
      <c r="Y5" s="100">
        <v>1.0609999999999999</v>
      </c>
      <c r="Z5" s="100">
        <v>1.0751999999999999</v>
      </c>
      <c r="AA5" s="100">
        <v>1.0981000000000001</v>
      </c>
      <c r="AB5" s="100">
        <v>1.1175999999999999</v>
      </c>
      <c r="AC5" s="100">
        <v>1.1375</v>
      </c>
      <c r="AD5" s="100">
        <v>1.1549</v>
      </c>
      <c r="AE5" s="100">
        <v>1.1735</v>
      </c>
      <c r="AF5" s="100">
        <v>1.1930000000000001</v>
      </c>
      <c r="AG5" s="100">
        <v>1.2121</v>
      </c>
      <c r="AH5" s="100">
        <v>1.2324999999999999</v>
      </c>
      <c r="AI5" s="100">
        <v>1.2525999999999999</v>
      </c>
      <c r="AJ5" s="100">
        <v>1.2734000000000001</v>
      </c>
      <c r="AK5" s="100">
        <v>1.2952999999999999</v>
      </c>
      <c r="AL5" s="100">
        <v>1.3178000000000001</v>
      </c>
      <c r="AM5" s="100">
        <v>1.3408</v>
      </c>
      <c r="AN5" s="100">
        <v>1.3636999999999999</v>
      </c>
      <c r="AO5" s="100">
        <v>1.387</v>
      </c>
      <c r="AP5" s="100">
        <v>1.4109</v>
      </c>
      <c r="AQ5" s="100">
        <v>1.4353</v>
      </c>
      <c r="AR5" s="100">
        <v>1.4602999999999999</v>
      </c>
      <c r="AS5" s="100">
        <v>1.4864999999999999</v>
      </c>
      <c r="AT5" s="100">
        <v>1.5133000000000001</v>
      </c>
      <c r="AU5" s="100">
        <v>1.5411999999999999</v>
      </c>
      <c r="AV5" s="100">
        <v>1.5692999999999999</v>
      </c>
      <c r="AW5" s="100">
        <v>1.5978000000000001</v>
      </c>
      <c r="AX5" s="100">
        <v>1.627</v>
      </c>
      <c r="AY5" s="100">
        <v>1.6566000000000001</v>
      </c>
    </row>
    <row r="7" spans="1:51">
      <c r="A7" s="29" t="s">
        <v>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W14"/>
  <sheetViews>
    <sheetView workbookViewId="0"/>
  </sheetViews>
  <sheetFormatPr defaultRowHeight="15.75"/>
  <cols>
    <col min="1" max="1" width="50" style="9" customWidth="1"/>
    <col min="2" max="2" width="13.5703125" style="9" customWidth="1"/>
    <col min="3" max="3" width="15" style="9" customWidth="1"/>
    <col min="4" max="4" width="12.7109375" style="9" customWidth="1"/>
    <col min="5" max="5" width="9.7109375" style="9" customWidth="1"/>
    <col min="6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2" spans="1:23">
      <c r="G2" s="131"/>
    </row>
    <row r="3" spans="1:23">
      <c r="A3" s="12" t="s">
        <v>135</v>
      </c>
      <c r="G3" s="131"/>
    </row>
    <row r="4" spans="1:23" ht="31.5">
      <c r="A4" s="66" t="s">
        <v>165</v>
      </c>
      <c r="B4" s="137" t="s">
        <v>134</v>
      </c>
    </row>
    <row r="5" spans="1:23">
      <c r="A5" s="171" t="s">
        <v>162</v>
      </c>
      <c r="B5" s="134">
        <f>'Consumer Cost'!B7</f>
        <v>70.832481129269354</v>
      </c>
    </row>
    <row r="6" spans="1:23">
      <c r="A6" s="170" t="s">
        <v>163</v>
      </c>
      <c r="B6" s="135">
        <f>'Utility Cost'!B4</f>
        <v>53.173823614633747</v>
      </c>
    </row>
    <row r="7" spans="1:23">
      <c r="A7" s="57" t="s">
        <v>164</v>
      </c>
      <c r="B7" s="135">
        <f>NPV(DiscountRate,B14:W14)</f>
        <v>124.0063047439031</v>
      </c>
    </row>
    <row r="8" spans="1:23">
      <c r="B8" s="131"/>
    </row>
    <row r="9" spans="1:23">
      <c r="B9" s="131"/>
    </row>
    <row r="10" spans="1:23">
      <c r="A10" s="12" t="s">
        <v>160</v>
      </c>
      <c r="B10" s="131"/>
    </row>
    <row r="11" spans="1:23">
      <c r="A11" s="105"/>
      <c r="B11" s="165">
        <f>'Utility Cost'!B7</f>
        <v>2014</v>
      </c>
      <c r="C11" s="165">
        <f>'Utility Cost'!C7</f>
        <v>2015</v>
      </c>
      <c r="D11" s="165">
        <f>'Utility Cost'!D7</f>
        <v>2016</v>
      </c>
      <c r="E11" s="165">
        <f>'Utility Cost'!E7</f>
        <v>2017</v>
      </c>
      <c r="F11" s="165">
        <f>'Utility Cost'!F7</f>
        <v>2018</v>
      </c>
      <c r="G11" s="165">
        <f>'Utility Cost'!G7</f>
        <v>2019</v>
      </c>
      <c r="H11" s="165">
        <f>'Utility Cost'!H7</f>
        <v>2020</v>
      </c>
      <c r="I11" s="165">
        <f>'Utility Cost'!I7</f>
        <v>2021</v>
      </c>
      <c r="J11" s="165">
        <f>'Utility Cost'!J7</f>
        <v>2022</v>
      </c>
      <c r="K11" s="165">
        <f>'Utility Cost'!K7</f>
        <v>2023</v>
      </c>
      <c r="L11" s="165">
        <f>'Utility Cost'!L7</f>
        <v>2024</v>
      </c>
      <c r="M11" s="165">
        <f>'Utility Cost'!M7</f>
        <v>2025</v>
      </c>
      <c r="N11" s="165">
        <f>'Utility Cost'!N7</f>
        <v>2026</v>
      </c>
      <c r="O11" s="165">
        <f>'Utility Cost'!O7</f>
        <v>2027</v>
      </c>
      <c r="P11" s="165">
        <f>'Utility Cost'!P7</f>
        <v>2028</v>
      </c>
      <c r="Q11" s="165">
        <f>'Utility Cost'!Q7</f>
        <v>2029</v>
      </c>
      <c r="R11" s="165">
        <f>'Utility Cost'!R7</f>
        <v>2030</v>
      </c>
      <c r="S11" s="165">
        <f>'Utility Cost'!S7</f>
        <v>2031</v>
      </c>
      <c r="T11" s="165">
        <f>'Utility Cost'!T7</f>
        <v>2032</v>
      </c>
      <c r="U11" s="165">
        <f>'Utility Cost'!U7</f>
        <v>2033</v>
      </c>
      <c r="V11" s="165">
        <f>'Utility Cost'!V7</f>
        <v>2034</v>
      </c>
      <c r="W11" s="165">
        <f>'Utility Cost'!W7</f>
        <v>2035</v>
      </c>
    </row>
    <row r="12" spans="1:23">
      <c r="A12" s="9" t="s">
        <v>158</v>
      </c>
      <c r="B12" s="159">
        <f>'Utility Cost'!B10</f>
        <v>0</v>
      </c>
      <c r="C12" s="159">
        <f>'Utility Cost'!C10</f>
        <v>0.48983101359966413</v>
      </c>
      <c r="D12" s="159">
        <f>'Utility Cost'!D10</f>
        <v>0.94418024658501276</v>
      </c>
      <c r="E12" s="159">
        <f>'Utility Cost'!E10</f>
        <v>1.3815119353016505</v>
      </c>
      <c r="F12" s="159">
        <f>'Utility Cost'!F10</f>
        <v>1.8054651240072321</v>
      </c>
      <c r="G12" s="159">
        <f>'Utility Cost'!G10</f>
        <v>2.2171916598541213</v>
      </c>
      <c r="H12" s="159">
        <f>'Utility Cost'!H10</f>
        <v>2.6770002700722038</v>
      </c>
      <c r="I12" s="159">
        <f>'Utility Cost'!I10</f>
        <v>3.0731566473063303</v>
      </c>
      <c r="J12" s="159">
        <f>'Utility Cost'!J10</f>
        <v>3.4623236428419673</v>
      </c>
      <c r="K12" s="159">
        <f>'Utility Cost'!K10</f>
        <v>3.838356241981816</v>
      </c>
      <c r="L12" s="159">
        <f>'Utility Cost'!L10</f>
        <v>4.1923684788231128</v>
      </c>
      <c r="M12" s="159">
        <f>'Utility Cost'!M10</f>
        <v>4.6545607247506906</v>
      </c>
      <c r="N12" s="159">
        <f>'Utility Cost'!N10</f>
        <v>5.0205808017281157</v>
      </c>
      <c r="O12" s="159">
        <f>'Utility Cost'!O10</f>
        <v>5.3721623681545587</v>
      </c>
      <c r="P12" s="159">
        <f>'Utility Cost'!P10</f>
        <v>5.7178793958192111</v>
      </c>
      <c r="Q12" s="159">
        <f>'Utility Cost'!Q10</f>
        <v>6.0467949378134662</v>
      </c>
      <c r="R12" s="159">
        <f>'Utility Cost'!R10</f>
        <v>6.4749011371079215</v>
      </c>
      <c r="S12" s="159">
        <f>'Utility Cost'!S10</f>
        <v>6.7792545159390949</v>
      </c>
      <c r="T12" s="159">
        <f>'Utility Cost'!T10</f>
        <v>7.0627309731856576</v>
      </c>
      <c r="U12" s="159">
        <f>'Utility Cost'!U10</f>
        <v>7.3357212317191314</v>
      </c>
      <c r="V12" s="159">
        <f>'Utility Cost'!V10</f>
        <v>7.598059440663345</v>
      </c>
      <c r="W12" s="159">
        <f>'Utility Cost'!W10</f>
        <v>7.8268868079498315</v>
      </c>
    </row>
    <row r="13" spans="1:23">
      <c r="A13" s="42" t="s">
        <v>157</v>
      </c>
      <c r="B13" s="164">
        <f>-('Consumer Cost'!B49-'Consumer Cost'!B12)</f>
        <v>0</v>
      </c>
      <c r="C13" s="164">
        <f>-('Consumer Cost'!C49-'Consumer Cost'!C12)</f>
        <v>8.7711012234166219E-3</v>
      </c>
      <c r="D13" s="164">
        <f>-('Consumer Cost'!D49-'Consumer Cost'!D12)</f>
        <v>0.7421893633044121</v>
      </c>
      <c r="E13" s="164">
        <f>-('Consumer Cost'!E49-'Consumer Cost'!E12)</f>
        <v>1.4414478428965154</v>
      </c>
      <c r="F13" s="164">
        <f>-('Consumer Cost'!F49-'Consumer Cost'!F12)</f>
        <v>2.1096813366190261</v>
      </c>
      <c r="G13" s="164">
        <f>-('Consumer Cost'!G49-'Consumer Cost'!G12)</f>
        <v>2.7502302459398962</v>
      </c>
      <c r="H13" s="164">
        <f>-('Consumer Cost'!H49-'Consumer Cost'!H12)</f>
        <v>3.3666761443237831</v>
      </c>
      <c r="I13" s="164">
        <f>-('Consumer Cost'!I49-'Consumer Cost'!I12)</f>
        <v>3.9628307810892878</v>
      </c>
      <c r="J13" s="164">
        <f>-('Consumer Cost'!J49-'Consumer Cost'!J12)</f>
        <v>4.5426589147219048</v>
      </c>
      <c r="K13" s="164">
        <f>-('Consumer Cost'!K49-'Consumer Cost'!K12)</f>
        <v>5.1101196938441262</v>
      </c>
      <c r="L13" s="164">
        <f>-('Consumer Cost'!L49-'Consumer Cost'!L12)</f>
        <v>5.6689212981888915</v>
      </c>
      <c r="M13" s="164">
        <f>-('Consumer Cost'!M49-'Consumer Cost'!M12)</f>
        <v>6.2221996639474213</v>
      </c>
      <c r="N13" s="164">
        <f>-('Consumer Cost'!N49-'Consumer Cost'!N12)</f>
        <v>6.7721529622913899</v>
      </c>
      <c r="O13" s="164">
        <f>-('Consumer Cost'!O49-'Consumer Cost'!O12)</f>
        <v>7.3196849413898022</v>
      </c>
      <c r="P13" s="164">
        <f>-('Consumer Cost'!P49-'Consumer Cost'!P12)</f>
        <v>7.8641254080704073</v>
      </c>
      <c r="Q13" s="164">
        <f>-('Consumer Cost'!Q49-'Consumer Cost'!Q12)</f>
        <v>8.4030971904358438</v>
      </c>
      <c r="R13" s="164">
        <f>-('Consumer Cost'!R49-'Consumer Cost'!R12)</f>
        <v>8.9325806695372769</v>
      </c>
      <c r="S13" s="164">
        <f>-('Consumer Cost'!S49-'Consumer Cost'!S12)</f>
        <v>9.4471906053025236</v>
      </c>
      <c r="T13" s="164">
        <f>-('Consumer Cost'!T49-'Consumer Cost'!T12)</f>
        <v>9.9406346213809549</v>
      </c>
      <c r="U13" s="164">
        <f>-('Consumer Cost'!U49-'Consumer Cost'!U12)</f>
        <v>10.406282626832031</v>
      </c>
      <c r="V13" s="164">
        <f>-('Consumer Cost'!V49-'Consumer Cost'!V12)</f>
        <v>10.837754887618086</v>
      </c>
      <c r="W13" s="164">
        <f>-('Consumer Cost'!W49-'Consumer Cost'!W12)</f>
        <v>11.229439501802091</v>
      </c>
    </row>
    <row r="14" spans="1:23">
      <c r="A14" s="9" t="s">
        <v>159</v>
      </c>
      <c r="B14" s="159">
        <f>B12+B13</f>
        <v>0</v>
      </c>
      <c r="C14" s="159">
        <f t="shared" ref="C14:W14" si="0">C12+C13</f>
        <v>0.49860211482308076</v>
      </c>
      <c r="D14" s="159">
        <f t="shared" si="0"/>
        <v>1.6863696098894247</v>
      </c>
      <c r="E14" s="159">
        <f t="shared" si="0"/>
        <v>2.8229597781981659</v>
      </c>
      <c r="F14" s="159">
        <f t="shared" si="0"/>
        <v>3.915146460626258</v>
      </c>
      <c r="G14" s="159">
        <f t="shared" si="0"/>
        <v>4.9674219057940174</v>
      </c>
      <c r="H14" s="159">
        <f t="shared" si="0"/>
        <v>6.0436764143959874</v>
      </c>
      <c r="I14" s="159">
        <f t="shared" si="0"/>
        <v>7.0359874283956181</v>
      </c>
      <c r="J14" s="159">
        <f t="shared" si="0"/>
        <v>8.0049825575638724</v>
      </c>
      <c r="K14" s="159">
        <f t="shared" si="0"/>
        <v>8.9484759358259431</v>
      </c>
      <c r="L14" s="159">
        <f t="shared" si="0"/>
        <v>9.8612897770120043</v>
      </c>
      <c r="M14" s="159">
        <f t="shared" si="0"/>
        <v>10.876760388698113</v>
      </c>
      <c r="N14" s="159">
        <f t="shared" si="0"/>
        <v>11.792733764019506</v>
      </c>
      <c r="O14" s="159">
        <f t="shared" si="0"/>
        <v>12.691847309544361</v>
      </c>
      <c r="P14" s="159">
        <f t="shared" si="0"/>
        <v>13.582004803889618</v>
      </c>
      <c r="Q14" s="159">
        <f t="shared" si="0"/>
        <v>14.44989212824931</v>
      </c>
      <c r="R14" s="159">
        <f t="shared" si="0"/>
        <v>15.407481806645198</v>
      </c>
      <c r="S14" s="159">
        <f t="shared" si="0"/>
        <v>16.226445121241618</v>
      </c>
      <c r="T14" s="159">
        <f t="shared" si="0"/>
        <v>17.003365594566613</v>
      </c>
      <c r="U14" s="159">
        <f t="shared" si="0"/>
        <v>17.742003858551161</v>
      </c>
      <c r="V14" s="159">
        <f t="shared" si="0"/>
        <v>18.435814328281431</v>
      </c>
      <c r="W14" s="159">
        <f t="shared" si="0"/>
        <v>19.056326309751924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Y10"/>
  <sheetViews>
    <sheetView workbookViewId="0"/>
  </sheetViews>
  <sheetFormatPr defaultRowHeight="15.75"/>
  <cols>
    <col min="1" max="1" width="54.7109375" style="9" customWidth="1"/>
    <col min="2" max="2" width="13.85546875" style="9" customWidth="1"/>
    <col min="3" max="5" width="12.42578125" style="9" bestFit="1" customWidth="1"/>
    <col min="6" max="23" width="14.28515625" style="9" bestFit="1" customWidth="1"/>
    <col min="24" max="16384" width="9.140625" style="9"/>
  </cols>
  <sheetData>
    <row r="1" spans="1:25">
      <c r="A1" s="148" t="str">
        <f>CONCATENATE("Segment:  ",State,", Single Family, ", SpaceHeat, ", ", TankSize,", ", StartWH, " is starting water heater")</f>
        <v>Segment:  Idaho, Single Family, Gas FAF, &lt;=55 Gallons, Electric Resistance is starting water heater</v>
      </c>
    </row>
    <row r="3" spans="1:25" ht="31.5">
      <c r="A3" s="155"/>
      <c r="B3" s="137" t="s">
        <v>148</v>
      </c>
    </row>
    <row r="4" spans="1:25">
      <c r="A4" s="154" t="s">
        <v>147</v>
      </c>
      <c r="B4" s="156">
        <f>NPV(DiscountRate,B10:W10)</f>
        <v>53.173823614633747</v>
      </c>
      <c r="D4" s="45"/>
      <c r="E4" s="45"/>
      <c r="F4" s="45"/>
      <c r="G4" s="45"/>
      <c r="H4" s="124"/>
      <c r="I4" s="45"/>
      <c r="J4" s="45"/>
      <c r="K4" s="45"/>
    </row>
    <row r="6" spans="1:25">
      <c r="A6" s="12" t="s">
        <v>144</v>
      </c>
    </row>
    <row r="7" spans="1:25">
      <c r="A7" s="155"/>
      <c r="B7" s="82">
        <f>'Net Reduction in Gas'!B10</f>
        <v>2014</v>
      </c>
      <c r="C7" s="82">
        <f>'Net Reduction in Gas'!C10</f>
        <v>2015</v>
      </c>
      <c r="D7" s="82">
        <f>'Net Reduction in Gas'!D10</f>
        <v>2016</v>
      </c>
      <c r="E7" s="82">
        <f>'Net Reduction in Gas'!E10</f>
        <v>2017</v>
      </c>
      <c r="F7" s="82">
        <f>'Net Reduction in Gas'!F10</f>
        <v>2018</v>
      </c>
      <c r="G7" s="82">
        <f>'Net Reduction in Gas'!G10</f>
        <v>2019</v>
      </c>
      <c r="H7" s="82">
        <f>'Net Reduction in Gas'!H10</f>
        <v>2020</v>
      </c>
      <c r="I7" s="82">
        <f>'Net Reduction in Gas'!I10</f>
        <v>2021</v>
      </c>
      <c r="J7" s="82">
        <f>'Net Reduction in Gas'!J10</f>
        <v>2022</v>
      </c>
      <c r="K7" s="82">
        <f>'Net Reduction in Gas'!K10</f>
        <v>2023</v>
      </c>
      <c r="L7" s="82">
        <f>'Net Reduction in Gas'!L10</f>
        <v>2024</v>
      </c>
      <c r="M7" s="82">
        <f>'Net Reduction in Gas'!M10</f>
        <v>2025</v>
      </c>
      <c r="N7" s="82">
        <f>'Net Reduction in Gas'!N10</f>
        <v>2026</v>
      </c>
      <c r="O7" s="82">
        <f>'Net Reduction in Gas'!O10</f>
        <v>2027</v>
      </c>
      <c r="P7" s="82">
        <f>'Net Reduction in Gas'!P10</f>
        <v>2028</v>
      </c>
      <c r="Q7" s="82">
        <f>'Net Reduction in Gas'!Q10</f>
        <v>2029</v>
      </c>
      <c r="R7" s="82">
        <f>'Net Reduction in Gas'!R10</f>
        <v>2030</v>
      </c>
      <c r="S7" s="82">
        <f>'Net Reduction in Gas'!S10</f>
        <v>2031</v>
      </c>
      <c r="T7" s="82">
        <f>'Net Reduction in Gas'!T10</f>
        <v>2032</v>
      </c>
      <c r="U7" s="82">
        <f>'Net Reduction in Gas'!U10</f>
        <v>2033</v>
      </c>
      <c r="V7" s="82">
        <f>'Net Reduction in Gas'!V10</f>
        <v>2034</v>
      </c>
      <c r="W7" s="93">
        <f>'Net Reduction in Gas'!W10</f>
        <v>2035</v>
      </c>
    </row>
    <row r="8" spans="1:25">
      <c r="A8" s="67" t="s">
        <v>170</v>
      </c>
      <c r="B8" s="133">
        <f>'Net Reduction in Gas'!B13</f>
        <v>0</v>
      </c>
      <c r="C8" s="133">
        <f>'Net Reduction in Gas'!C13</f>
        <v>0.11471452309125625</v>
      </c>
      <c r="D8" s="133">
        <f>'Net Reduction in Gas'!D13</f>
        <v>0.22111949568735664</v>
      </c>
      <c r="E8" s="133">
        <f>'Net Reduction in Gas'!E13</f>
        <v>0.31979442946797465</v>
      </c>
      <c r="F8" s="133">
        <f>'Net Reduction in Gas'!F13</f>
        <v>0.41126768200620323</v>
      </c>
      <c r="G8" s="133">
        <f>'Net Reduction in Gas'!G13</f>
        <v>0.49601603128727551</v>
      </c>
      <c r="H8" s="133">
        <f>'Net Reduction in Gas'!H13</f>
        <v>0.57446357726871322</v>
      </c>
      <c r="I8" s="133">
        <f>'Net Reduction in Gas'!I13</f>
        <v>0.64698034680133265</v>
      </c>
      <c r="J8" s="133">
        <f>'Net Reduction in Gas'!J13</f>
        <v>0.71388116347257058</v>
      </c>
      <c r="K8" s="133">
        <f>'Net Reduction in Gas'!K13</f>
        <v>0.77542550343066985</v>
      </c>
      <c r="L8" s="133">
        <f>'Net Reduction in Gas'!L13</f>
        <v>0.83181914262363355</v>
      </c>
      <c r="M8" s="133">
        <f>'Net Reduction in Gas'!M13</f>
        <v>0.88321835384263592</v>
      </c>
      <c r="N8" s="133">
        <f>'Net Reduction in Gas'!N13</f>
        <v>0.92973718550520656</v>
      </c>
      <c r="O8" s="133">
        <f>'Net Reduction in Gas'!O13</f>
        <v>0.97145793275850967</v>
      </c>
      <c r="P8" s="133">
        <f>'Net Reduction in Gas'!P13</f>
        <v>1.0084443378869861</v>
      </c>
      <c r="Q8" s="133">
        <f>'Net Reduction in Gas'!Q13</f>
        <v>1.0407564436856225</v>
      </c>
      <c r="R8" s="133">
        <f>'Net Reduction in Gas'!R13</f>
        <v>1.0684655341762248</v>
      </c>
      <c r="S8" s="133">
        <f>'Net Reduction in Gas'!S13</f>
        <v>1.0916673938710297</v>
      </c>
      <c r="T8" s="133">
        <f>'Net Reduction in Gas'!T13</f>
        <v>1.1104922913813926</v>
      </c>
      <c r="U8" s="133">
        <f>'Net Reduction in Gas'!U13</f>
        <v>1.12511061836183</v>
      </c>
      <c r="V8" s="133">
        <f>'Net Reduction in Gas'!V13</f>
        <v>1.135733847632787</v>
      </c>
      <c r="W8" s="133">
        <f>'Net Reduction in Gas'!W13</f>
        <v>1.1426112128393915</v>
      </c>
      <c r="X8" s="131"/>
    </row>
    <row r="9" spans="1:25">
      <c r="A9" s="67" t="s">
        <v>145</v>
      </c>
      <c r="B9" s="45">
        <f>'Wholesale Price'!B5</f>
        <v>4.3899999999999997</v>
      </c>
      <c r="C9" s="45">
        <f>'Wholesale Price'!C5</f>
        <v>4.2699999999999996</v>
      </c>
      <c r="D9" s="45">
        <f>'Wholesale Price'!D5</f>
        <v>4.2699999999999996</v>
      </c>
      <c r="E9" s="45">
        <f>'Wholesale Price'!E5</f>
        <v>4.32</v>
      </c>
      <c r="F9" s="45">
        <f>'Wholesale Price'!F5</f>
        <v>4.3899999999999997</v>
      </c>
      <c r="G9" s="45">
        <f>'Wholesale Price'!G5</f>
        <v>4.47</v>
      </c>
      <c r="H9" s="45">
        <f>'Wholesale Price'!H5</f>
        <v>4.66</v>
      </c>
      <c r="I9" s="45">
        <f>'Wholesale Price'!I5</f>
        <v>4.75</v>
      </c>
      <c r="J9" s="45">
        <f>'Wholesale Price'!J5</f>
        <v>4.8499999999999996</v>
      </c>
      <c r="K9" s="45">
        <f>'Wholesale Price'!K5</f>
        <v>4.95</v>
      </c>
      <c r="L9" s="45">
        <f>'Wholesale Price'!L5</f>
        <v>5.04</v>
      </c>
      <c r="M9" s="45">
        <f>'Wholesale Price'!M5</f>
        <v>5.27</v>
      </c>
      <c r="N9" s="45">
        <f>'Wholesale Price'!N5</f>
        <v>5.4</v>
      </c>
      <c r="O9" s="45">
        <f>'Wholesale Price'!O5</f>
        <v>5.53</v>
      </c>
      <c r="P9" s="45">
        <f>'Wholesale Price'!P5</f>
        <v>5.67</v>
      </c>
      <c r="Q9" s="45">
        <f>'Wholesale Price'!Q5</f>
        <v>5.81</v>
      </c>
      <c r="R9" s="45">
        <f>'Wholesale Price'!R5</f>
        <v>6.06</v>
      </c>
      <c r="S9" s="45">
        <f>'Wholesale Price'!S5</f>
        <v>6.21</v>
      </c>
      <c r="T9" s="45">
        <f>'Wholesale Price'!T5</f>
        <v>6.36</v>
      </c>
      <c r="U9" s="45">
        <f>'Wholesale Price'!U5</f>
        <v>6.52</v>
      </c>
      <c r="V9" s="45">
        <f>'Wholesale Price'!V5</f>
        <v>6.69</v>
      </c>
      <c r="W9" s="45">
        <f>'Wholesale Price'!W5</f>
        <v>6.85</v>
      </c>
      <c r="X9" s="45"/>
      <c r="Y9" s="45"/>
    </row>
    <row r="10" spans="1:25">
      <c r="A10" s="57" t="s">
        <v>146</v>
      </c>
      <c r="B10" s="158">
        <f>B8*B9</f>
        <v>0</v>
      </c>
      <c r="C10" s="158">
        <f>C8*C9</f>
        <v>0.48983101359966413</v>
      </c>
      <c r="D10" s="158">
        <f t="shared" ref="D10:W10" si="0">D8*D9</f>
        <v>0.94418024658501276</v>
      </c>
      <c r="E10" s="158">
        <f t="shared" si="0"/>
        <v>1.3815119353016505</v>
      </c>
      <c r="F10" s="158">
        <f t="shared" si="0"/>
        <v>1.8054651240072321</v>
      </c>
      <c r="G10" s="158">
        <f t="shared" si="0"/>
        <v>2.2171916598541213</v>
      </c>
      <c r="H10" s="158">
        <f t="shared" si="0"/>
        <v>2.6770002700722038</v>
      </c>
      <c r="I10" s="158">
        <f t="shared" si="0"/>
        <v>3.0731566473063303</v>
      </c>
      <c r="J10" s="158">
        <f t="shared" si="0"/>
        <v>3.4623236428419673</v>
      </c>
      <c r="K10" s="158">
        <f t="shared" si="0"/>
        <v>3.838356241981816</v>
      </c>
      <c r="L10" s="158">
        <f t="shared" si="0"/>
        <v>4.1923684788231128</v>
      </c>
      <c r="M10" s="158">
        <f t="shared" si="0"/>
        <v>4.6545607247506906</v>
      </c>
      <c r="N10" s="158">
        <f t="shared" si="0"/>
        <v>5.0205808017281157</v>
      </c>
      <c r="O10" s="158">
        <f t="shared" si="0"/>
        <v>5.3721623681545587</v>
      </c>
      <c r="P10" s="158">
        <f t="shared" si="0"/>
        <v>5.7178793958192111</v>
      </c>
      <c r="Q10" s="158">
        <f t="shared" si="0"/>
        <v>6.0467949378134662</v>
      </c>
      <c r="R10" s="158">
        <f t="shared" si="0"/>
        <v>6.4749011371079215</v>
      </c>
      <c r="S10" s="158">
        <f t="shared" si="0"/>
        <v>6.7792545159390949</v>
      </c>
      <c r="T10" s="158">
        <f t="shared" si="0"/>
        <v>7.0627309731856576</v>
      </c>
      <c r="U10" s="158">
        <f t="shared" si="0"/>
        <v>7.3357212317191314</v>
      </c>
      <c r="V10" s="158">
        <f t="shared" si="0"/>
        <v>7.598059440663345</v>
      </c>
      <c r="W10" s="158">
        <f t="shared" si="0"/>
        <v>7.8268868079498315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11</vt:i4>
      </vt:variant>
    </vt:vector>
  </HeadingPairs>
  <TitlesOfParts>
    <vt:vector size="35" baseType="lpstr">
      <vt:lpstr>Summary-Charts</vt:lpstr>
      <vt:lpstr>Summary-Results</vt:lpstr>
      <vt:lpstr>Input Assumptions</vt:lpstr>
      <vt:lpstr>Non-Price Factors</vt:lpstr>
      <vt:lpstr>Retail Rates</vt:lpstr>
      <vt:lpstr>Wholesale Price</vt:lpstr>
      <vt:lpstr>Inflation</vt:lpstr>
      <vt:lpstr>Total Resource Cost</vt:lpstr>
      <vt:lpstr>Utility Cost</vt:lpstr>
      <vt:lpstr>Consumer Cost</vt:lpstr>
      <vt:lpstr>Net Reduction in Gas</vt:lpstr>
      <vt:lpstr>Energy Usage</vt:lpstr>
      <vt:lpstr>Water Heater Stock</vt:lpstr>
      <vt:lpstr>Water Heaters Retired</vt:lpstr>
      <vt:lpstr>Water Heaters Purchased</vt:lpstr>
      <vt:lpstr>Average Market Share</vt:lpstr>
      <vt:lpstr>Marginal Market Share</vt:lpstr>
      <vt:lpstr>Total Allocation Weight</vt:lpstr>
      <vt:lpstr>Marginal Allocation Weight</vt:lpstr>
      <vt:lpstr>Levelized Costs</vt:lpstr>
      <vt:lpstr>Fuel Cost</vt:lpstr>
      <vt:lpstr>Device Energy Use</vt:lpstr>
      <vt:lpstr>Capital Cost</vt:lpstr>
      <vt:lpstr>O&amp;M Cost</vt:lpstr>
      <vt:lpstr>CapitalChargeRate</vt:lpstr>
      <vt:lpstr>ConvertMMBTU</vt:lpstr>
      <vt:lpstr>DiscountRate</vt:lpstr>
      <vt:lpstr>HeatRate</vt:lpstr>
      <vt:lpstr>Households</vt:lpstr>
      <vt:lpstr>Lifetime</vt:lpstr>
      <vt:lpstr>SpaceHeat</vt:lpstr>
      <vt:lpstr>StartWH</vt:lpstr>
      <vt:lpstr>State</vt:lpstr>
      <vt:lpstr>TankSize</vt:lpstr>
      <vt:lpstr>VarianceFactor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Massoud Jourabchi</cp:lastModifiedBy>
  <dcterms:created xsi:type="dcterms:W3CDTF">2014-08-12T20:22:43Z</dcterms:created>
  <dcterms:modified xsi:type="dcterms:W3CDTF">2015-01-14T18:48:36Z</dcterms:modified>
</cp:coreProperties>
</file>