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60" windowWidth="13950" windowHeight="6300" activeTab="4"/>
  </bookViews>
  <sheets>
    <sheet name="Summary-Charts" sheetId="39" r:id="rId1"/>
    <sheet name="Summary-Results" sheetId="40" r:id="rId2"/>
    <sheet name="Input Assumptions" sheetId="30" r:id="rId3"/>
    <sheet name="Non-Price Factors" sheetId="45" r:id="rId4"/>
    <sheet name="Retail Rates" sheetId="16" r:id="rId5"/>
    <sheet name="Wholesale Price" sheetId="50" r:id="rId6"/>
    <sheet name="Inflation" sheetId="37" r:id="rId7"/>
    <sheet name="Total Resource Cost" sheetId="51" r:id="rId8"/>
    <sheet name="Utility Cost" sheetId="49" r:id="rId9"/>
    <sheet name="Consumer Cost" sheetId="29" r:id="rId10"/>
    <sheet name="Net Reduction in Gas" sheetId="48" r:id="rId11"/>
    <sheet name="Energy Usage" sheetId="25" r:id="rId12"/>
    <sheet name="Water Heater Stock" sheetId="21" r:id="rId13"/>
    <sheet name="Water Heaters Retired" sheetId="34" r:id="rId14"/>
    <sheet name="Water Heaters Purchased" sheetId="33" r:id="rId15"/>
    <sheet name="Average Market Share" sheetId="46" r:id="rId16"/>
    <sheet name="Marginal Market Share" sheetId="23" r:id="rId17"/>
    <sheet name="Total Allocation Weight" sheetId="32" r:id="rId18"/>
    <sheet name="Marginal Allocation Weight" sheetId="31" r:id="rId19"/>
    <sheet name="Levelized Costs" sheetId="14" r:id="rId20"/>
    <sheet name="Fuel Cost" sheetId="15" r:id="rId21"/>
    <sheet name="Device Energy Use" sheetId="4" r:id="rId22"/>
    <sheet name="Capital Cost" sheetId="42" r:id="rId23"/>
    <sheet name="O&amp;M Cost" sheetId="43" r:id="rId24"/>
  </sheets>
  <definedNames>
    <definedName name="_Order1" hidden="1">255</definedName>
    <definedName name="CapitalChargeRate">'Input Assumptions'!$B$16</definedName>
    <definedName name="CBWorkbookPriority" hidden="1">-1631902449</definedName>
    <definedName name="ConvertMMBTU">'Input Assumptions'!$B$18</definedName>
    <definedName name="DiscountRate">'Input Assumptions'!$B$15</definedName>
    <definedName name="HeatRate">'Input Assumptions'!$B$17</definedName>
    <definedName name="Households">'Input Assumptions'!$B$13</definedName>
    <definedName name="Lifetime">'Input Assumptions'!$B$14</definedName>
    <definedName name="SpaceHeat">'Input Assumptions'!$B$10</definedName>
    <definedName name="StartWH">'Input Assumptions'!$B$11</definedName>
    <definedName name="State">'Input Assumptions'!$B$9</definedName>
    <definedName name="TankSize">'Input Assumptions'!$B$12</definedName>
    <definedName name="VarianceFactor">'Input Assumptions'!$B$19</definedName>
  </definedNames>
  <calcPr calcId="125725" calcOnSave="0"/>
</workbook>
</file>

<file path=xl/calcChain.xml><?xml version="1.0" encoding="utf-8"?>
<calcChain xmlns="http://schemas.openxmlformats.org/spreadsheetml/2006/main">
  <c r="D10" i="45"/>
  <c r="A1" i="30"/>
  <c r="E10" i="45" l="1"/>
  <c r="A1" i="43"/>
  <c r="A1" i="42"/>
  <c r="A1" i="4"/>
  <c r="A1" i="15"/>
  <c r="A1" i="14"/>
  <c r="A1" i="31"/>
  <c r="A1" i="32"/>
  <c r="A1" i="23"/>
  <c r="A1" i="46"/>
  <c r="A1" i="33"/>
  <c r="A1" i="34"/>
  <c r="A1" i="21"/>
  <c r="A1" i="25"/>
  <c r="A1" i="48"/>
  <c r="A1" i="29"/>
  <c r="A1" i="49"/>
  <c r="A1" i="51"/>
  <c r="A1" i="37"/>
  <c r="A1" i="50"/>
  <c r="A1" i="16"/>
  <c r="A1" i="45"/>
  <c r="B41" i="40"/>
  <c r="B35"/>
  <c r="B27"/>
  <c r="B19"/>
  <c r="B11"/>
  <c r="B3"/>
  <c r="A1"/>
  <c r="B57" i="39"/>
  <c r="B21"/>
  <c r="B39"/>
  <c r="B3"/>
  <c r="A1"/>
  <c r="F10" i="45" l="1"/>
  <c r="D9" i="49"/>
  <c r="E9"/>
  <c r="F9"/>
  <c r="G9"/>
  <c r="H9"/>
  <c r="I9"/>
  <c r="J9"/>
  <c r="K9"/>
  <c r="L9"/>
  <c r="M9"/>
  <c r="N9"/>
  <c r="O9"/>
  <c r="P9"/>
  <c r="Q9"/>
  <c r="R9"/>
  <c r="S9"/>
  <c r="T9"/>
  <c r="U9"/>
  <c r="V9"/>
  <c r="W9"/>
  <c r="D12" i="48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G10" i="45" l="1"/>
  <c r="B75" i="39"/>
  <c r="B45" i="40"/>
  <c r="B44"/>
  <c r="B43"/>
  <c r="B9" i="49"/>
  <c r="C9"/>
  <c r="C12" i="48"/>
  <c r="B12"/>
  <c r="C16" i="34"/>
  <c r="C17"/>
  <c r="C18"/>
  <c r="C19"/>
  <c r="C7"/>
  <c r="C8"/>
  <c r="C9"/>
  <c r="C10"/>
  <c r="B6" i="21"/>
  <c r="C6" i="34" s="1"/>
  <c r="B15" i="21"/>
  <c r="C15" i="34" s="1"/>
  <c r="H10" i="45" l="1"/>
  <c r="A25" i="30"/>
  <c r="A34"/>
  <c r="C42" i="40"/>
  <c r="I10" i="45" l="1"/>
  <c r="D20"/>
  <c r="E20"/>
  <c r="F20"/>
  <c r="G20"/>
  <c r="H20"/>
  <c r="I20"/>
  <c r="C20"/>
  <c r="B22"/>
  <c r="B23"/>
  <c r="B24"/>
  <c r="B21"/>
  <c r="B20"/>
  <c r="J10" l="1"/>
  <c r="A18"/>
  <c r="A8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K10" l="1"/>
  <c r="J20"/>
  <c r="A12" i="46"/>
  <c r="A4"/>
  <c r="C14" i="45"/>
  <c r="C13"/>
  <c r="C12"/>
  <c r="C22" s="1"/>
  <c r="C11"/>
  <c r="C23" l="1"/>
  <c r="C24"/>
  <c r="C21"/>
  <c r="L10"/>
  <c r="K20"/>
  <c r="D14"/>
  <c r="D13"/>
  <c r="D12"/>
  <c r="D22" s="1"/>
  <c r="D11"/>
  <c r="A9"/>
  <c r="A19" s="1"/>
  <c r="M10" l="1"/>
  <c r="L20"/>
  <c r="D21"/>
  <c r="D23"/>
  <c r="D24"/>
  <c r="E11"/>
  <c r="E12"/>
  <c r="E22" s="1"/>
  <c r="E13"/>
  <c r="E14"/>
  <c r="E24" l="1"/>
  <c r="E23"/>
  <c r="E21"/>
  <c r="N10"/>
  <c r="M20"/>
  <c r="F14"/>
  <c r="F13"/>
  <c r="F12"/>
  <c r="F22" s="1"/>
  <c r="F11"/>
  <c r="D9" i="42"/>
  <c r="C9"/>
  <c r="B9"/>
  <c r="D8"/>
  <c r="C8"/>
  <c r="B8"/>
  <c r="D7"/>
  <c r="C7"/>
  <c r="B7"/>
  <c r="D6"/>
  <c r="C6"/>
  <c r="B6"/>
  <c r="D5"/>
  <c r="C5"/>
  <c r="B5"/>
  <c r="C4"/>
  <c r="B4"/>
  <c r="C9" i="43"/>
  <c r="B9"/>
  <c r="C8"/>
  <c r="B8"/>
  <c r="C7"/>
  <c r="B7"/>
  <c r="C6"/>
  <c r="B6"/>
  <c r="D6" s="1"/>
  <c r="C5"/>
  <c r="B5"/>
  <c r="B4"/>
  <c r="B4" i="4"/>
  <c r="C4"/>
  <c r="B5"/>
  <c r="C5"/>
  <c r="B6"/>
  <c r="C6"/>
  <c r="B7"/>
  <c r="C7"/>
  <c r="B8"/>
  <c r="C8"/>
  <c r="B9"/>
  <c r="C9"/>
  <c r="D6"/>
  <c r="D7"/>
  <c r="D8"/>
  <c r="D9"/>
  <c r="D5"/>
  <c r="A9" i="43"/>
  <c r="A8"/>
  <c r="A7"/>
  <c r="A6"/>
  <c r="A5"/>
  <c r="A9" i="42"/>
  <c r="A8"/>
  <c r="A7"/>
  <c r="A6"/>
  <c r="A5"/>
  <c r="O10" i="45" l="1"/>
  <c r="N20"/>
  <c r="F21"/>
  <c r="F23"/>
  <c r="F24"/>
  <c r="D5" i="43"/>
  <c r="B31" i="29" s="1"/>
  <c r="D9" i="43"/>
  <c r="B72" i="29" s="1"/>
  <c r="E6" i="42"/>
  <c r="B23" i="29" s="1"/>
  <c r="D8" i="43"/>
  <c r="B71" i="29" s="1"/>
  <c r="B69"/>
  <c r="B32"/>
  <c r="G11" i="45"/>
  <c r="G12"/>
  <c r="G22" s="1"/>
  <c r="G13"/>
  <c r="G14"/>
  <c r="E8" i="42"/>
  <c r="E5"/>
  <c r="E9"/>
  <c r="D7" i="43"/>
  <c r="E7" i="42"/>
  <c r="G21" i="45" l="1"/>
  <c r="G24"/>
  <c r="G23"/>
  <c r="P10"/>
  <c r="O20"/>
  <c r="B60" i="29"/>
  <c r="B35"/>
  <c r="B68"/>
  <c r="B34"/>
  <c r="B25"/>
  <c r="B62"/>
  <c r="B59"/>
  <c r="B22"/>
  <c r="B26"/>
  <c r="B63"/>
  <c r="B24"/>
  <c r="B61"/>
  <c r="B70"/>
  <c r="B33"/>
  <c r="H14" i="45"/>
  <c r="H13"/>
  <c r="H12"/>
  <c r="H22" s="1"/>
  <c r="H11"/>
  <c r="E9" i="4"/>
  <c r="A9"/>
  <c r="E8"/>
  <c r="A8"/>
  <c r="E7"/>
  <c r="A7"/>
  <c r="E6"/>
  <c r="A6"/>
  <c r="E5"/>
  <c r="A5"/>
  <c r="E4"/>
  <c r="A4" i="15"/>
  <c r="A4" i="14"/>
  <c r="A4" i="31"/>
  <c r="A4" i="32"/>
  <c r="A12" i="23"/>
  <c r="A4"/>
  <c r="W13" i="33"/>
  <c r="V13"/>
  <c r="V57" i="29" s="1"/>
  <c r="V48" s="1"/>
  <c r="U13" i="33"/>
  <c r="U57" i="29" s="1"/>
  <c r="U48" s="1"/>
  <c r="T13" i="33"/>
  <c r="T57" i="29" s="1"/>
  <c r="T48" s="1"/>
  <c r="S13" i="33"/>
  <c r="S57" i="29" s="1"/>
  <c r="S48" s="1"/>
  <c r="R13" i="33"/>
  <c r="R57" i="29" s="1"/>
  <c r="R48" s="1"/>
  <c r="Q13" i="33"/>
  <c r="Q57" i="29" s="1"/>
  <c r="Q48" s="1"/>
  <c r="P13" i="33"/>
  <c r="O13"/>
  <c r="O57" i="29" s="1"/>
  <c r="O48" s="1"/>
  <c r="N13" i="33"/>
  <c r="N57" i="29" s="1"/>
  <c r="N48" s="1"/>
  <c r="M13" i="33"/>
  <c r="M57" i="29" s="1"/>
  <c r="M48" s="1"/>
  <c r="L13" i="33"/>
  <c r="L57" i="29" s="1"/>
  <c r="L48" s="1"/>
  <c r="K13" i="33"/>
  <c r="K57" i="29" s="1"/>
  <c r="K48" s="1"/>
  <c r="J13" i="33"/>
  <c r="J57" i="29" s="1"/>
  <c r="J48" s="1"/>
  <c r="I13" i="33"/>
  <c r="I57" i="29" s="1"/>
  <c r="I48" s="1"/>
  <c r="H13" i="33"/>
  <c r="H57" i="29" s="1"/>
  <c r="H48" s="1"/>
  <c r="G13" i="33"/>
  <c r="G57" i="29" s="1"/>
  <c r="G48" s="1"/>
  <c r="F13" i="33"/>
  <c r="F57" i="29" s="1"/>
  <c r="F48" s="1"/>
  <c r="E13" i="33"/>
  <c r="E57" i="29" s="1"/>
  <c r="E48" s="1"/>
  <c r="D13" i="33"/>
  <c r="D57" i="29" s="1"/>
  <c r="D48" s="1"/>
  <c r="C13" i="33"/>
  <c r="C57" i="29" s="1"/>
  <c r="C48" s="1"/>
  <c r="B13" i="33"/>
  <c r="B57" i="29" s="1"/>
  <c r="B48" s="1"/>
  <c r="A13" i="33"/>
  <c r="A57" i="29" s="1"/>
  <c r="A48" s="1"/>
  <c r="W4" i="33"/>
  <c r="W20" i="29" s="1"/>
  <c r="W11" s="1"/>
  <c r="V4" i="33"/>
  <c r="V20" i="29" s="1"/>
  <c r="V11" s="1"/>
  <c r="U4" i="33"/>
  <c r="U20" i="29" s="1"/>
  <c r="U11" s="1"/>
  <c r="T4" i="33"/>
  <c r="T20" i="29" s="1"/>
  <c r="T11" s="1"/>
  <c r="S4" i="33"/>
  <c r="S20" i="29" s="1"/>
  <c r="S11" s="1"/>
  <c r="R4" i="33"/>
  <c r="R20" i="29" s="1"/>
  <c r="R11" s="1"/>
  <c r="Q4" i="33"/>
  <c r="Q20" i="29" s="1"/>
  <c r="Q11" s="1"/>
  <c r="P4" i="33"/>
  <c r="P20" i="29" s="1"/>
  <c r="P11" s="1"/>
  <c r="O4" i="33"/>
  <c r="O20" i="29" s="1"/>
  <c r="O11" s="1"/>
  <c r="N4" i="33"/>
  <c r="N20" i="29" s="1"/>
  <c r="N11" s="1"/>
  <c r="M4" i="33"/>
  <c r="M20" i="29" s="1"/>
  <c r="M11" s="1"/>
  <c r="L4" i="33"/>
  <c r="L20" i="29" s="1"/>
  <c r="L11" s="1"/>
  <c r="K4" i="33"/>
  <c r="K20" i="29" s="1"/>
  <c r="K11" s="1"/>
  <c r="J4" i="33"/>
  <c r="J20" i="29" s="1"/>
  <c r="J11" s="1"/>
  <c r="I4" i="33"/>
  <c r="I20" i="29" s="1"/>
  <c r="I11" s="1"/>
  <c r="H4" i="33"/>
  <c r="H20" i="29" s="1"/>
  <c r="H11" s="1"/>
  <c r="G4" i="33"/>
  <c r="G20" i="29" s="1"/>
  <c r="G11" s="1"/>
  <c r="F4" i="33"/>
  <c r="F20" i="29" s="1"/>
  <c r="F11" s="1"/>
  <c r="E4" i="33"/>
  <c r="E20" i="29" s="1"/>
  <c r="E11" s="1"/>
  <c r="D4" i="33"/>
  <c r="D20" i="29" s="1"/>
  <c r="D11" s="1"/>
  <c r="C4" i="33"/>
  <c r="C20" i="29" s="1"/>
  <c r="C11" s="1"/>
  <c r="B4" i="33"/>
  <c r="B20" i="29" s="1"/>
  <c r="B11" s="1"/>
  <c r="A4" i="33"/>
  <c r="A20" i="29" s="1"/>
  <c r="A11" s="1"/>
  <c r="W13" i="34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13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A4"/>
  <c r="A13" i="21"/>
  <c r="A66" i="29" s="1"/>
  <c r="A4" i="21"/>
  <c r="W62" i="25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A62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53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44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35"/>
  <c r="W25"/>
  <c r="W75" i="29" s="1"/>
  <c r="V25" i="25"/>
  <c r="V38" i="29" s="1"/>
  <c r="U25" i="25"/>
  <c r="U75" i="29" s="1"/>
  <c r="T25" i="25"/>
  <c r="T38" i="29" s="1"/>
  <c r="S25" i="25"/>
  <c r="R25"/>
  <c r="R38" i="29" s="1"/>
  <c r="Q25" i="25"/>
  <c r="P25"/>
  <c r="O25"/>
  <c r="O75" i="29" s="1"/>
  <c r="N25" i="25"/>
  <c r="M25"/>
  <c r="L25"/>
  <c r="L75" i="29" s="1"/>
  <c r="K25" i="25"/>
  <c r="K38" i="29" s="1"/>
  <c r="J25" i="25"/>
  <c r="J75" i="29" s="1"/>
  <c r="I25" i="25"/>
  <c r="H25"/>
  <c r="G25"/>
  <c r="G75" i="29" s="1"/>
  <c r="F25" i="25"/>
  <c r="F75" i="29" s="1"/>
  <c r="E25" i="25"/>
  <c r="D25"/>
  <c r="D38" i="29" s="1"/>
  <c r="C25" i="25"/>
  <c r="B25"/>
  <c r="B75" i="29" s="1"/>
  <c r="A25" i="25"/>
  <c r="A75" i="29" s="1"/>
  <c r="W16" i="25"/>
  <c r="W4" s="1"/>
  <c r="V16"/>
  <c r="V4" s="1"/>
  <c r="U16"/>
  <c r="U4" s="1"/>
  <c r="T16"/>
  <c r="T4" s="1"/>
  <c r="S16"/>
  <c r="S4" s="1"/>
  <c r="R16"/>
  <c r="R4" s="1"/>
  <c r="Q16"/>
  <c r="Q4" s="1"/>
  <c r="P16"/>
  <c r="P4" s="1"/>
  <c r="O16"/>
  <c r="O4" s="1"/>
  <c r="N16"/>
  <c r="N4" s="1"/>
  <c r="N5" s="1"/>
  <c r="N10" i="48" s="1"/>
  <c r="N7" i="49" s="1"/>
  <c r="N11" i="51" s="1"/>
  <c r="M16" i="25"/>
  <c r="M4" s="1"/>
  <c r="L16"/>
  <c r="L4" s="1"/>
  <c r="K16"/>
  <c r="K4" s="1"/>
  <c r="J16"/>
  <c r="J4" s="1"/>
  <c r="I16"/>
  <c r="I4" s="1"/>
  <c r="H16"/>
  <c r="H4" s="1"/>
  <c r="G16"/>
  <c r="G4" s="1"/>
  <c r="G5" s="1"/>
  <c r="G10" i="48" s="1"/>
  <c r="G7" i="49" s="1"/>
  <c r="G11" i="51" s="1"/>
  <c r="F16" i="25"/>
  <c r="F4" s="1"/>
  <c r="E16"/>
  <c r="E4" s="1"/>
  <c r="D16"/>
  <c r="D4" s="1"/>
  <c r="C16"/>
  <c r="C4" s="1"/>
  <c r="B16"/>
  <c r="B4" s="1"/>
  <c r="A16"/>
  <c r="W66" i="29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W57"/>
  <c r="W48" s="1"/>
  <c r="P57"/>
  <c r="P48" s="1"/>
  <c r="A4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W4" i="15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B4" i="14" s="1"/>
  <c r="B12" i="46" s="1"/>
  <c r="A3" i="16"/>
  <c r="H24" i="45" l="1"/>
  <c r="Q10"/>
  <c r="P20"/>
  <c r="H21"/>
  <c r="H23"/>
  <c r="A29" i="29"/>
  <c r="A13" i="45"/>
  <c r="A23" s="1"/>
  <c r="A8" i="46"/>
  <c r="B24" i="40" s="1"/>
  <c r="A16" i="46"/>
  <c r="B32" i="40" s="1"/>
  <c r="A12" i="45"/>
  <c r="A22" s="1"/>
  <c r="A15" i="46"/>
  <c r="B31" i="40" s="1"/>
  <c r="A7" i="46"/>
  <c r="B23" i="40" s="1"/>
  <c r="A10" i="45"/>
  <c r="A20" s="1"/>
  <c r="A13" i="46"/>
  <c r="B29" i="40" s="1"/>
  <c r="A5" i="46"/>
  <c r="B21" i="40" s="1"/>
  <c r="A11" i="45"/>
  <c r="A21" s="1"/>
  <c r="A14" i="46"/>
  <c r="B30" i="40" s="1"/>
  <c r="A6" i="46"/>
  <c r="B22" i="40" s="1"/>
  <c r="A14" i="45"/>
  <c r="A24" s="1"/>
  <c r="A9" i="46"/>
  <c r="B25" i="40" s="1"/>
  <c r="A17" i="46"/>
  <c r="B33" i="40" s="1"/>
  <c r="A21" i="25"/>
  <c r="A34" i="29" s="1"/>
  <c r="B21"/>
  <c r="A38"/>
  <c r="I11" i="45"/>
  <c r="I12"/>
  <c r="I22" s="1"/>
  <c r="I13"/>
  <c r="I14"/>
  <c r="B4" i="31"/>
  <c r="B4" i="23" s="1"/>
  <c r="B12"/>
  <c r="L5" i="15"/>
  <c r="E5"/>
  <c r="E5" i="14" s="1"/>
  <c r="E5" i="31" s="1"/>
  <c r="M5" i="15"/>
  <c r="U5"/>
  <c r="U5" i="14" s="1"/>
  <c r="V4"/>
  <c r="V4" i="31" s="1"/>
  <c r="P4" i="14"/>
  <c r="P12" i="46" s="1"/>
  <c r="I4" i="14"/>
  <c r="Q4"/>
  <c r="Q12" i="46" s="1"/>
  <c r="G4" i="14"/>
  <c r="J4"/>
  <c r="J12" i="46" s="1"/>
  <c r="R4" i="14"/>
  <c r="U4"/>
  <c r="F4"/>
  <c r="H4"/>
  <c r="M10" i="25"/>
  <c r="M4" i="48" s="1"/>
  <c r="B38" i="29"/>
  <c r="U38"/>
  <c r="T10" i="25"/>
  <c r="T4" i="48" s="1"/>
  <c r="B5" i="25"/>
  <c r="B10" i="48" s="1"/>
  <c r="B7" i="49" s="1"/>
  <c r="B11" i="51" s="1"/>
  <c r="J38" i="29"/>
  <c r="A49" i="25"/>
  <c r="A6" i="15"/>
  <c r="A20" i="25"/>
  <c r="A33" i="29" s="1"/>
  <c r="A58" i="25"/>
  <c r="A67"/>
  <c r="I5" i="15"/>
  <c r="I5" i="14" s="1"/>
  <c r="I5" i="31" s="1"/>
  <c r="A18" i="21"/>
  <c r="A18" i="34" s="1"/>
  <c r="A7" i="21"/>
  <c r="A7" i="33" s="1"/>
  <c r="A23" i="29" s="1"/>
  <c r="A14" s="1"/>
  <c r="A8" i="23"/>
  <c r="B8" i="40" s="1"/>
  <c r="A16" i="23"/>
  <c r="A30" i="25"/>
  <c r="A43" i="29" s="1"/>
  <c r="A19" i="25"/>
  <c r="A32" i="29" s="1"/>
  <c r="A40" i="25"/>
  <c r="A9" i="21"/>
  <c r="A9" i="33" s="1"/>
  <c r="A25" i="29" s="1"/>
  <c r="A16" s="1"/>
  <c r="A15" i="23"/>
  <c r="A16" i="21"/>
  <c r="A69" i="29" s="1"/>
  <c r="J5" i="15"/>
  <c r="J5" i="14" s="1"/>
  <c r="J5" i="31" s="1"/>
  <c r="Q5" i="15"/>
  <c r="Q5" i="14" s="1"/>
  <c r="G38" i="29"/>
  <c r="F38"/>
  <c r="A28" i="25"/>
  <c r="A38"/>
  <c r="A6" i="23"/>
  <c r="A6" i="14"/>
  <c r="A56" i="25"/>
  <c r="A14" i="23"/>
  <c r="A47" i="25"/>
  <c r="R75" i="29"/>
  <c r="A65" i="25"/>
  <c r="O38" i="29"/>
  <c r="W38"/>
  <c r="V75"/>
  <c r="D5" i="15"/>
  <c r="D5" i="14" s="1"/>
  <c r="D5" i="31" s="1"/>
  <c r="U5" i="25"/>
  <c r="U10" i="48" s="1"/>
  <c r="U7" i="49" s="1"/>
  <c r="U11" i="51" s="1"/>
  <c r="U10" i="25"/>
  <c r="U4" i="48" s="1"/>
  <c r="K75" i="29"/>
  <c r="A41" i="25"/>
  <c r="L38" i="29"/>
  <c r="N4" i="14"/>
  <c r="A9"/>
  <c r="D5" i="25"/>
  <c r="D10" i="48" s="1"/>
  <c r="D7" i="49" s="1"/>
  <c r="D11" i="51" s="1"/>
  <c r="F10" i="25"/>
  <c r="F4" i="48" s="1"/>
  <c r="R5" i="15"/>
  <c r="R5" i="14" s="1"/>
  <c r="R10" i="25"/>
  <c r="R4" i="48" s="1"/>
  <c r="B5" i="15"/>
  <c r="T5"/>
  <c r="T5" i="14" s="1"/>
  <c r="J5" i="25"/>
  <c r="J10" i="48" s="1"/>
  <c r="J7" i="49" s="1"/>
  <c r="J11" i="51" s="1"/>
  <c r="J10" i="25"/>
  <c r="J4" i="48" s="1"/>
  <c r="D4" i="14"/>
  <c r="L4"/>
  <c r="L12" i="46" s="1"/>
  <c r="T4" i="14"/>
  <c r="A15" i="21"/>
  <c r="A27" i="25"/>
  <c r="A18"/>
  <c r="A31" i="29" s="1"/>
  <c r="A5" i="15"/>
  <c r="A5" i="14"/>
  <c r="A5" i="23"/>
  <c r="B5" i="40" s="1"/>
  <c r="A64" i="25"/>
  <c r="A13" i="23"/>
  <c r="A46" i="25"/>
  <c r="A17" i="23"/>
  <c r="A22" i="25"/>
  <c r="A35" i="29" s="1"/>
  <c r="A10" i="21"/>
  <c r="A10" i="33" s="1"/>
  <c r="A26" i="29" s="1"/>
  <c r="A17" s="1"/>
  <c r="A19" i="21"/>
  <c r="A68" i="25"/>
  <c r="A59"/>
  <c r="A9" i="15"/>
  <c r="A9" i="23"/>
  <c r="W4" i="14"/>
  <c r="D75" i="29"/>
  <c r="R5" i="25"/>
  <c r="R10" i="48" s="1"/>
  <c r="R7" i="49" s="1"/>
  <c r="R11" i="51" s="1"/>
  <c r="B10" i="25"/>
  <c r="B4" i="48" s="1"/>
  <c r="C75" i="29"/>
  <c r="C38"/>
  <c r="S75"/>
  <c r="S38"/>
  <c r="A55" i="25"/>
  <c r="A50"/>
  <c r="F5"/>
  <c r="F10" i="48" s="1"/>
  <c r="F7" i="49" s="1"/>
  <c r="F11" i="51" s="1"/>
  <c r="O4" i="14"/>
  <c r="I38" i="29"/>
  <c r="I75"/>
  <c r="A6" i="21"/>
  <c r="A6" i="33" s="1"/>
  <c r="A22" i="29" s="1"/>
  <c r="A13" s="1"/>
  <c r="A37" i="25"/>
  <c r="A7" i="23"/>
  <c r="A57" i="25"/>
  <c r="A48"/>
  <c r="A39"/>
  <c r="A29"/>
  <c r="A17" i="21"/>
  <c r="A17" i="33" s="1"/>
  <c r="A61" i="29" s="1"/>
  <c r="A52" s="1"/>
  <c r="V10" i="25"/>
  <c r="V4" i="48" s="1"/>
  <c r="A66" i="25"/>
  <c r="T75" i="29"/>
  <c r="Q10" i="25"/>
  <c r="Q4" i="48" s="1"/>
  <c r="P75" i="29"/>
  <c r="P38"/>
  <c r="A31" i="25"/>
  <c r="M4" i="14"/>
  <c r="E4"/>
  <c r="W10" i="25"/>
  <c r="W4" i="48" s="1"/>
  <c r="W5" i="25"/>
  <c r="W10" i="48" s="1"/>
  <c r="W7" i="49" s="1"/>
  <c r="W11" i="51" s="1"/>
  <c r="G10" i="25"/>
  <c r="G4" i="48" s="1"/>
  <c r="H75" i="29"/>
  <c r="H38"/>
  <c r="U8" i="15"/>
  <c r="U8" i="14" s="1"/>
  <c r="O8" i="15"/>
  <c r="O8" i="14" s="1"/>
  <c r="H8" i="15"/>
  <c r="H8" i="14" s="1"/>
  <c r="T8" i="15"/>
  <c r="T8" i="14" s="1"/>
  <c r="P8" i="15"/>
  <c r="P8" i="14" s="1"/>
  <c r="G8" i="15"/>
  <c r="G8" i="14" s="1"/>
  <c r="E5" i="25"/>
  <c r="E10" i="48" s="1"/>
  <c r="E7" i="49" s="1"/>
  <c r="E11" i="51" s="1"/>
  <c r="E10" i="25"/>
  <c r="E4" i="48" s="1"/>
  <c r="Q5" i="25"/>
  <c r="Q10" i="48" s="1"/>
  <c r="Q7" i="49" s="1"/>
  <c r="Q11" i="51" s="1"/>
  <c r="H10" i="25"/>
  <c r="H4" i="48" s="1"/>
  <c r="H5" i="25"/>
  <c r="H10" i="48" s="1"/>
  <c r="H7" i="49" s="1"/>
  <c r="H11" i="51" s="1"/>
  <c r="I10" i="25"/>
  <c r="I4" i="48" s="1"/>
  <c r="I5" i="25"/>
  <c r="I10" i="48" s="1"/>
  <c r="I7" i="49" s="1"/>
  <c r="I11" i="51" s="1"/>
  <c r="P5" i="25"/>
  <c r="P10" i="48" s="1"/>
  <c r="P7" i="49" s="1"/>
  <c r="P11" i="51" s="1"/>
  <c r="P10" i="25"/>
  <c r="P4" i="48" s="1"/>
  <c r="L5" i="25"/>
  <c r="L10" i="48" s="1"/>
  <c r="L7" i="49" s="1"/>
  <c r="L11" i="51" s="1"/>
  <c r="L10" i="25"/>
  <c r="L4" i="48" s="1"/>
  <c r="T5" i="25"/>
  <c r="T10" i="48" s="1"/>
  <c r="T7" i="49" s="1"/>
  <c r="T11" i="51" s="1"/>
  <c r="O10" i="25"/>
  <c r="O4" i="48" s="1"/>
  <c r="T9" i="15"/>
  <c r="T9" i="14" s="1"/>
  <c r="L9" i="15"/>
  <c r="L9" i="14" s="1"/>
  <c r="D9" i="15"/>
  <c r="D9" i="14" s="1"/>
  <c r="S9" i="15"/>
  <c r="S9" i="14" s="1"/>
  <c r="K9" i="15"/>
  <c r="K9" i="14" s="1"/>
  <c r="C9" i="15"/>
  <c r="C9" i="14" s="1"/>
  <c r="R9" i="15"/>
  <c r="R9" i="14" s="1"/>
  <c r="J9" i="15"/>
  <c r="J9" i="14" s="1"/>
  <c r="B9" i="15"/>
  <c r="W9"/>
  <c r="W9" i="14" s="1"/>
  <c r="O9" i="15"/>
  <c r="O9" i="14" s="1"/>
  <c r="G9" i="15"/>
  <c r="G9" i="14" s="1"/>
  <c r="M9" i="15"/>
  <c r="M9" i="14" s="1"/>
  <c r="I9" i="15"/>
  <c r="I9" i="14" s="1"/>
  <c r="H9" i="15"/>
  <c r="H9" i="14" s="1"/>
  <c r="F9" i="15"/>
  <c r="F9" i="14" s="1"/>
  <c r="E9" i="15"/>
  <c r="E9" i="14" s="1"/>
  <c r="Q9" i="15"/>
  <c r="Q9" i="14" s="1"/>
  <c r="V9" i="15"/>
  <c r="V9" i="14" s="1"/>
  <c r="U9" i="15"/>
  <c r="U9" i="14" s="1"/>
  <c r="P9" i="15"/>
  <c r="P9" i="14" s="1"/>
  <c r="N9" i="15"/>
  <c r="N9" i="14" s="1"/>
  <c r="S10" i="25"/>
  <c r="S4" i="48" s="1"/>
  <c r="S5" i="25"/>
  <c r="S10" i="48" s="1"/>
  <c r="S7" i="49" s="1"/>
  <c r="S11" i="51" s="1"/>
  <c r="E75" i="29"/>
  <c r="E38"/>
  <c r="M38"/>
  <c r="M75"/>
  <c r="O5" i="25"/>
  <c r="O10" i="48" s="1"/>
  <c r="O7" i="49" s="1"/>
  <c r="O11" i="51" s="1"/>
  <c r="C10" i="25"/>
  <c r="C4" i="48" s="1"/>
  <c r="C5" i="25"/>
  <c r="C10" i="48" s="1"/>
  <c r="C7" i="49" s="1"/>
  <c r="C11" i="51" s="1"/>
  <c r="K10" i="25"/>
  <c r="K4" i="48" s="1"/>
  <c r="K5" i="25"/>
  <c r="K10" i="48" s="1"/>
  <c r="K7" i="49" s="1"/>
  <c r="K11" i="51" s="1"/>
  <c r="D10" i="25"/>
  <c r="D4" i="48" s="1"/>
  <c r="N38" i="29"/>
  <c r="N75"/>
  <c r="N10" i="25"/>
  <c r="N4" i="48" s="1"/>
  <c r="V5" i="25"/>
  <c r="V10" i="48" s="1"/>
  <c r="V7" i="49" s="1"/>
  <c r="V11" i="51" s="1"/>
  <c r="Q38" i="29"/>
  <c r="Q75"/>
  <c r="C4" i="14"/>
  <c r="S4"/>
  <c r="M5" i="25"/>
  <c r="M10" i="48" s="1"/>
  <c r="M7" i="49" s="1"/>
  <c r="M11" i="51" s="1"/>
  <c r="K4" i="14"/>
  <c r="A8" i="15"/>
  <c r="A7"/>
  <c r="A8" i="21"/>
  <c r="S8" i="15"/>
  <c r="S8" i="14" s="1"/>
  <c r="K8" i="15"/>
  <c r="K8" i="14" s="1"/>
  <c r="C8" i="15"/>
  <c r="C8" i="14" s="1"/>
  <c r="R8" i="15"/>
  <c r="R8" i="14" s="1"/>
  <c r="J8" i="15"/>
  <c r="J8" i="14" s="1"/>
  <c r="B8" i="15"/>
  <c r="Q8"/>
  <c r="Q8" i="14" s="1"/>
  <c r="I8" i="15"/>
  <c r="I8" i="14" s="1"/>
  <c r="V8" i="15"/>
  <c r="V8" i="14" s="1"/>
  <c r="N8" i="15"/>
  <c r="N8" i="14" s="1"/>
  <c r="F8" i="15"/>
  <c r="F8" i="14" s="1"/>
  <c r="M8" i="15"/>
  <c r="M8" i="14" s="1"/>
  <c r="L8" i="15"/>
  <c r="L8" i="14" s="1"/>
  <c r="A7"/>
  <c r="A8"/>
  <c r="D8" i="15"/>
  <c r="D8" i="14" s="1"/>
  <c r="W8" i="15"/>
  <c r="W8" i="14" s="1"/>
  <c r="E8" i="15"/>
  <c r="E8" i="14" s="1"/>
  <c r="P5" i="15"/>
  <c r="P5" i="14" s="1"/>
  <c r="P5" i="31" s="1"/>
  <c r="H5" i="15"/>
  <c r="H5" i="14" s="1"/>
  <c r="H5" i="31" s="1"/>
  <c r="W5" i="15"/>
  <c r="W5" i="14" s="1"/>
  <c r="O5" i="15"/>
  <c r="O5" i="14" s="1"/>
  <c r="O5" i="31" s="1"/>
  <c r="G5" i="15"/>
  <c r="G5" i="14" s="1"/>
  <c r="G5" i="31" s="1"/>
  <c r="V5" i="15"/>
  <c r="V5" i="14" s="1"/>
  <c r="N5" i="15"/>
  <c r="N5" i="14" s="1"/>
  <c r="N5" i="31" s="1"/>
  <c r="F5" i="15"/>
  <c r="F5" i="14" s="1"/>
  <c r="F5" i="31" s="1"/>
  <c r="S5" i="15"/>
  <c r="S5" i="14" s="1"/>
  <c r="K5" i="15"/>
  <c r="K5" i="14" s="1"/>
  <c r="K5" i="31" s="1"/>
  <c r="C5" i="15"/>
  <c r="C5" i="14" s="1"/>
  <c r="C5" i="31" s="1"/>
  <c r="C9" l="1"/>
  <c r="D8"/>
  <c r="H9"/>
  <c r="H8"/>
  <c r="G9"/>
  <c r="F8"/>
  <c r="C8"/>
  <c r="D9"/>
  <c r="E8"/>
  <c r="E9"/>
  <c r="G8"/>
  <c r="F9"/>
  <c r="I24" i="45"/>
  <c r="I9" i="31"/>
  <c r="I23" i="45"/>
  <c r="I8" i="31"/>
  <c r="I21" i="45"/>
  <c r="R10"/>
  <c r="Q5" i="31"/>
  <c r="Q20" i="45"/>
  <c r="L5" i="14"/>
  <c r="L5" i="31" s="1"/>
  <c r="B8" i="14"/>
  <c r="B9"/>
  <c r="M5"/>
  <c r="M5" i="31" s="1"/>
  <c r="B5" i="14"/>
  <c r="B5" i="31" s="1"/>
  <c r="J13" i="45"/>
  <c r="J14"/>
  <c r="J12"/>
  <c r="J22" s="1"/>
  <c r="J11"/>
  <c r="V4" i="46"/>
  <c r="U12" i="23"/>
  <c r="U12" i="46"/>
  <c r="R12" i="23"/>
  <c r="R12" i="46"/>
  <c r="O12" i="23"/>
  <c r="O12" i="46"/>
  <c r="G12" i="23"/>
  <c r="G12" i="46"/>
  <c r="M12" i="23"/>
  <c r="M12" i="46"/>
  <c r="D12" i="23"/>
  <c r="D12" i="46"/>
  <c r="S12" i="23"/>
  <c r="S12" i="46"/>
  <c r="N12" i="23"/>
  <c r="N12" i="46"/>
  <c r="C12" i="23"/>
  <c r="C12" i="46"/>
  <c r="E12" i="23"/>
  <c r="E12" i="46"/>
  <c r="I12" i="23"/>
  <c r="I12" i="46"/>
  <c r="K12" i="23"/>
  <c r="K12" i="46"/>
  <c r="W12" i="23"/>
  <c r="W12" i="46"/>
  <c r="T12" i="23"/>
  <c r="T12" i="46"/>
  <c r="H12" i="23"/>
  <c r="H12" i="46"/>
  <c r="B4"/>
  <c r="F12" i="23"/>
  <c r="F12" i="46"/>
  <c r="V12" i="23"/>
  <c r="V12" i="46"/>
  <c r="G4" i="31"/>
  <c r="U4"/>
  <c r="U4" i="23" s="1"/>
  <c r="A7" i="34"/>
  <c r="L4" i="31"/>
  <c r="L12" i="23"/>
  <c r="J4" i="31"/>
  <c r="J12" i="23"/>
  <c r="Q4" i="31"/>
  <c r="Q12" i="23"/>
  <c r="P4" i="31"/>
  <c r="P12" i="23"/>
  <c r="F4" i="31"/>
  <c r="H4"/>
  <c r="I4"/>
  <c r="R4"/>
  <c r="A16" i="34"/>
  <c r="A18" i="33"/>
  <c r="A62" i="29" s="1"/>
  <c r="A53" s="1"/>
  <c r="A71"/>
  <c r="A16" i="33"/>
  <c r="A60" i="29" s="1"/>
  <c r="A51" s="1"/>
  <c r="A70"/>
  <c r="A9" i="34"/>
  <c r="A80" i="29"/>
  <c r="B13" i="40"/>
  <c r="B14"/>
  <c r="B16"/>
  <c r="B15"/>
  <c r="B17"/>
  <c r="A5" i="32"/>
  <c r="A5" i="31" s="1"/>
  <c r="A8" i="32"/>
  <c r="A8" i="31" s="1"/>
  <c r="B4" i="32"/>
  <c r="A17" i="34"/>
  <c r="V4" i="23"/>
  <c r="A6" i="32"/>
  <c r="A6" i="31" s="1"/>
  <c r="B6" i="40"/>
  <c r="A78" i="29"/>
  <c r="A41"/>
  <c r="N4" i="31"/>
  <c r="A6" i="34"/>
  <c r="A10"/>
  <c r="A72" i="29"/>
  <c r="A19" i="34"/>
  <c r="A19" i="33"/>
  <c r="A63" i="29" s="1"/>
  <c r="A54" s="1"/>
  <c r="D4" i="31"/>
  <c r="M4"/>
  <c r="W4"/>
  <c r="A77" i="29"/>
  <c r="A40"/>
  <c r="A81"/>
  <c r="A44"/>
  <c r="O4" i="31"/>
  <c r="A9" i="32"/>
  <c r="A9" i="31" s="1"/>
  <c r="B9" i="40"/>
  <c r="A15" i="33"/>
  <c r="A59" i="29" s="1"/>
  <c r="A50" s="1"/>
  <c r="A68"/>
  <c r="A67" s="1"/>
  <c r="A15" i="34"/>
  <c r="T4" i="31"/>
  <c r="E4"/>
  <c r="A7" i="32"/>
  <c r="A7" i="31" s="1"/>
  <c r="B7" i="40"/>
  <c r="A79" i="29"/>
  <c r="A42"/>
  <c r="K4" i="31"/>
  <c r="A8" i="34"/>
  <c r="A8" i="33"/>
  <c r="A24" i="29" s="1"/>
  <c r="A15" s="1"/>
  <c r="Q6" i="15"/>
  <c r="Q6" i="14" s="1"/>
  <c r="Q13" s="1"/>
  <c r="I6" i="15"/>
  <c r="I6" i="14" s="1"/>
  <c r="I13" s="1"/>
  <c r="P6" i="15"/>
  <c r="P6" i="14" s="1"/>
  <c r="P13" s="1"/>
  <c r="H6" i="15"/>
  <c r="H6" i="14" s="1"/>
  <c r="W6" i="15"/>
  <c r="W6" i="14" s="1"/>
  <c r="W13" s="1"/>
  <c r="O6" i="15"/>
  <c r="O6" i="14" s="1"/>
  <c r="O13" s="1"/>
  <c r="G6" i="15"/>
  <c r="G6" i="14" s="1"/>
  <c r="T6" i="15"/>
  <c r="T6" i="14" s="1"/>
  <c r="T13" s="1"/>
  <c r="L6" i="15"/>
  <c r="L6" i="14" s="1"/>
  <c r="L13" s="1"/>
  <c r="D6" i="15"/>
  <c r="D6" i="14" s="1"/>
  <c r="S6" i="15"/>
  <c r="S6" i="14" s="1"/>
  <c r="S13" s="1"/>
  <c r="C6" i="15"/>
  <c r="C6" i="14" s="1"/>
  <c r="R6" i="15"/>
  <c r="R6" i="14" s="1"/>
  <c r="R13" s="1"/>
  <c r="B6" i="15"/>
  <c r="M6"/>
  <c r="M6" i="14" s="1"/>
  <c r="M13" s="1"/>
  <c r="K6" i="15"/>
  <c r="K6" i="14" s="1"/>
  <c r="K13" s="1"/>
  <c r="J6" i="15"/>
  <c r="J6" i="14" s="1"/>
  <c r="J13" s="1"/>
  <c r="V6" i="15"/>
  <c r="V6" i="14" s="1"/>
  <c r="V13" s="1"/>
  <c r="N6" i="15"/>
  <c r="N6" i="14" s="1"/>
  <c r="N13" s="1"/>
  <c r="U6" i="15"/>
  <c r="U6" i="14" s="1"/>
  <c r="U13" s="1"/>
  <c r="F6" i="15"/>
  <c r="F6" i="14" s="1"/>
  <c r="E6" i="15"/>
  <c r="E6" i="14" s="1"/>
  <c r="S4" i="31"/>
  <c r="R7" i="15"/>
  <c r="R7" i="14" s="1"/>
  <c r="R7" i="31" s="1"/>
  <c r="J7" i="15"/>
  <c r="J7" i="14" s="1"/>
  <c r="J7" i="31" s="1"/>
  <c r="B7" i="15"/>
  <c r="Q7"/>
  <c r="Q7" i="14" s="1"/>
  <c r="Q7" i="31" s="1"/>
  <c r="I7" i="15"/>
  <c r="I7" i="14" s="1"/>
  <c r="I7" i="31" s="1"/>
  <c r="P7" i="15"/>
  <c r="P7" i="14" s="1"/>
  <c r="P7" i="31" s="1"/>
  <c r="H7" i="15"/>
  <c r="H7" i="14" s="1"/>
  <c r="H7" i="31" s="1"/>
  <c r="U7" i="15"/>
  <c r="U7" i="14" s="1"/>
  <c r="U7" i="31" s="1"/>
  <c r="M7" i="15"/>
  <c r="M7" i="14" s="1"/>
  <c r="E7" i="15"/>
  <c r="E7" i="14" s="1"/>
  <c r="E7" i="31" s="1"/>
  <c r="T7" i="15"/>
  <c r="T7" i="14" s="1"/>
  <c r="T7" i="31" s="1"/>
  <c r="D7" i="15"/>
  <c r="D7" i="14" s="1"/>
  <c r="D7" i="31" s="1"/>
  <c r="S7" i="15"/>
  <c r="S7" i="14" s="1"/>
  <c r="S7" i="31" s="1"/>
  <c r="C7" i="15"/>
  <c r="C7" i="14" s="1"/>
  <c r="C7" i="31" s="1"/>
  <c r="F7" i="15"/>
  <c r="F7" i="14" s="1"/>
  <c r="F7" i="31" s="1"/>
  <c r="W7" i="15"/>
  <c r="W7" i="14" s="1"/>
  <c r="W7" i="31" s="1"/>
  <c r="V7" i="15"/>
  <c r="V7" i="14" s="1"/>
  <c r="V7" i="31" s="1"/>
  <c r="L7" i="15"/>
  <c r="L7" i="14" s="1"/>
  <c r="N7" i="15"/>
  <c r="N7" i="14" s="1"/>
  <c r="N7" i="31" s="1"/>
  <c r="O7" i="15"/>
  <c r="O7" i="14" s="1"/>
  <c r="O7" i="31" s="1"/>
  <c r="K7" i="15"/>
  <c r="K7" i="14" s="1"/>
  <c r="K7" i="31" s="1"/>
  <c r="G7" i="15"/>
  <c r="G7" i="14" s="1"/>
  <c r="G7" i="31" s="1"/>
  <c r="C4"/>
  <c r="L7" l="1"/>
  <c r="M7"/>
  <c r="G13" i="14"/>
  <c r="G6" i="31"/>
  <c r="I6"/>
  <c r="B8"/>
  <c r="E13" i="14"/>
  <c r="E6" i="31"/>
  <c r="C13" i="14"/>
  <c r="C6" i="31"/>
  <c r="H13" i="14"/>
  <c r="H6" i="31"/>
  <c r="D13" i="14"/>
  <c r="D6" i="31"/>
  <c r="B9"/>
  <c r="F13" i="14"/>
  <c r="F6" i="31"/>
  <c r="J24" i="45"/>
  <c r="J9" i="31"/>
  <c r="J23" i="45"/>
  <c r="J8" i="31"/>
  <c r="S10" i="45"/>
  <c r="R5" i="31"/>
  <c r="R20" i="45"/>
  <c r="J21"/>
  <c r="J6" i="31"/>
  <c r="B7" i="14"/>
  <c r="B7" i="31" s="1"/>
  <c r="B6" i="14"/>
  <c r="K11" i="45"/>
  <c r="K12"/>
  <c r="K22" s="1"/>
  <c r="K14"/>
  <c r="K9" i="31" s="1"/>
  <c r="K13" i="45"/>
  <c r="K8" i="31" s="1"/>
  <c r="W4" i="46"/>
  <c r="I4"/>
  <c r="Q4" i="23"/>
  <c r="Q4" i="32" s="1"/>
  <c r="Q4" i="46"/>
  <c r="J4"/>
  <c r="U4"/>
  <c r="E4"/>
  <c r="G4"/>
  <c r="K4"/>
  <c r="G4" i="23"/>
  <c r="G4" i="32" s="1"/>
  <c r="F4" i="46"/>
  <c r="L4"/>
  <c r="C4"/>
  <c r="S4"/>
  <c r="T4"/>
  <c r="H4"/>
  <c r="O4"/>
  <c r="M4"/>
  <c r="N4"/>
  <c r="P4"/>
  <c r="R4"/>
  <c r="D4"/>
  <c r="P4" i="23"/>
  <c r="L4"/>
  <c r="L4" i="32" s="1"/>
  <c r="I4" i="23"/>
  <c r="I4" i="32" s="1"/>
  <c r="R4" i="23"/>
  <c r="R4" i="32" s="1"/>
  <c r="J4" i="23"/>
  <c r="H4"/>
  <c r="H4" i="32" s="1"/>
  <c r="F4" i="23"/>
  <c r="F4" i="32" s="1"/>
  <c r="V4"/>
  <c r="U4"/>
  <c r="S4" i="23"/>
  <c r="W4"/>
  <c r="D4"/>
  <c r="E4"/>
  <c r="O4"/>
  <c r="C4"/>
  <c r="T4"/>
  <c r="M4"/>
  <c r="K4"/>
  <c r="N4"/>
  <c r="B6" i="31" l="1"/>
  <c r="B9" i="32" s="1"/>
  <c r="B9" i="23" s="1"/>
  <c r="B13" i="14"/>
  <c r="T10" i="45"/>
  <c r="S5" i="31"/>
  <c r="S20" i="45"/>
  <c r="K21"/>
  <c r="K6" i="31"/>
  <c r="K24" i="45"/>
  <c r="K23"/>
  <c r="P4" i="32"/>
  <c r="L13" i="45"/>
  <c r="L8" i="31" s="1"/>
  <c r="L14" i="45"/>
  <c r="L9" i="31" s="1"/>
  <c r="L12" i="45"/>
  <c r="L11"/>
  <c r="L6" i="31" s="1"/>
  <c r="J4" i="32"/>
  <c r="I16" i="23"/>
  <c r="O17"/>
  <c r="R15"/>
  <c r="N16"/>
  <c r="H17"/>
  <c r="V15"/>
  <c r="W16"/>
  <c r="P13"/>
  <c r="C15"/>
  <c r="C17" i="33" s="1"/>
  <c r="C61" i="29" s="1"/>
  <c r="M15" i="23"/>
  <c r="D7" i="32"/>
  <c r="D7" i="23" s="1"/>
  <c r="U14"/>
  <c r="S15"/>
  <c r="L15"/>
  <c r="F14"/>
  <c r="K15"/>
  <c r="J14"/>
  <c r="E15"/>
  <c r="F6" i="32"/>
  <c r="F6" i="23" s="1"/>
  <c r="G15"/>
  <c r="E4" i="32"/>
  <c r="T4"/>
  <c r="N4"/>
  <c r="C4"/>
  <c r="D4"/>
  <c r="S4"/>
  <c r="K4"/>
  <c r="O4"/>
  <c r="W4"/>
  <c r="M4"/>
  <c r="B6" l="1"/>
  <c r="B6" i="23" s="1"/>
  <c r="C6" i="40" s="1"/>
  <c r="B7" i="32"/>
  <c r="B7" i="23" s="1"/>
  <c r="C7" i="40" s="1"/>
  <c r="B8" i="32"/>
  <c r="B8" i="23" s="1"/>
  <c r="C8" i="40" s="1"/>
  <c r="B5" i="32"/>
  <c r="B5" i="23" s="1"/>
  <c r="U10" i="45"/>
  <c r="T5" i="31"/>
  <c r="T20" i="45"/>
  <c r="L23"/>
  <c r="L21"/>
  <c r="L22"/>
  <c r="L24"/>
  <c r="M14"/>
  <c r="M9" i="31" s="1"/>
  <c r="M11" i="45"/>
  <c r="M6" i="31" s="1"/>
  <c r="M13" i="45"/>
  <c r="M8" i="31" s="1"/>
  <c r="M12" i="45"/>
  <c r="C7" i="32"/>
  <c r="C7" i="23" s="1"/>
  <c r="C8" i="33" s="1"/>
  <c r="C24" i="29" s="1"/>
  <c r="C9" i="40"/>
  <c r="C5"/>
  <c r="C17" i="23"/>
  <c r="C19" i="33" s="1"/>
  <c r="C63" i="29" s="1"/>
  <c r="C16" i="23"/>
  <c r="C18" i="33" s="1"/>
  <c r="C62" i="29" s="1"/>
  <c r="C13" i="23"/>
  <c r="C15" i="33" s="1"/>
  <c r="C59" i="29" s="1"/>
  <c r="C14" i="23"/>
  <c r="C16" i="33" s="1"/>
  <c r="C60" i="29" s="1"/>
  <c r="O14" i="23"/>
  <c r="O15"/>
  <c r="R17"/>
  <c r="P14"/>
  <c r="O13"/>
  <c r="C8" i="32"/>
  <c r="C8" i="23" s="1"/>
  <c r="C5" i="32"/>
  <c r="C5" i="23" s="1"/>
  <c r="I13"/>
  <c r="I17"/>
  <c r="I15"/>
  <c r="I14"/>
  <c r="P17"/>
  <c r="N17"/>
  <c r="R14"/>
  <c r="O16"/>
  <c r="R13"/>
  <c r="C6" i="32"/>
  <c r="C6" i="23" s="1"/>
  <c r="C7" i="33" s="1"/>
  <c r="C23" i="29" s="1"/>
  <c r="R16" i="23"/>
  <c r="C9" i="32"/>
  <c r="C9" i="23" s="1"/>
  <c r="C10" i="33" s="1"/>
  <c r="C26" i="29" s="1"/>
  <c r="N13" i="23"/>
  <c r="E8" i="32"/>
  <c r="E8" i="23" s="1"/>
  <c r="D8" i="32"/>
  <c r="D8" i="23" s="1"/>
  <c r="F15"/>
  <c r="V17"/>
  <c r="H13"/>
  <c r="D9" i="32"/>
  <c r="D9" i="23" s="1"/>
  <c r="U15"/>
  <c r="N15"/>
  <c r="H16"/>
  <c r="V13"/>
  <c r="H14"/>
  <c r="N14"/>
  <c r="H15"/>
  <c r="V16"/>
  <c r="V14"/>
  <c r="P15"/>
  <c r="P16"/>
  <c r="W15"/>
  <c r="F7" i="32"/>
  <c r="F7" i="23" s="1"/>
  <c r="D5" i="32"/>
  <c r="D5" i="23" s="1"/>
  <c r="W13"/>
  <c r="F9" i="32"/>
  <c r="F9" i="23" s="1"/>
  <c r="D6" i="32"/>
  <c r="D6" i="23" s="1"/>
  <c r="W14"/>
  <c r="W17"/>
  <c r="E5" i="32"/>
  <c r="E5" i="23" s="1"/>
  <c r="K14"/>
  <c r="E7" i="32"/>
  <c r="E7" i="23" s="1"/>
  <c r="E6" i="32"/>
  <c r="E6" i="23" s="1"/>
  <c r="E9" i="32"/>
  <c r="E9" i="23" s="1"/>
  <c r="D16"/>
  <c r="D13"/>
  <c r="D17"/>
  <c r="Q17"/>
  <c r="Q13"/>
  <c r="Q16"/>
  <c r="G17"/>
  <c r="G16"/>
  <c r="G13"/>
  <c r="K17"/>
  <c r="K16"/>
  <c r="K13"/>
  <c r="G14"/>
  <c r="T13"/>
  <c r="T17"/>
  <c r="T16"/>
  <c r="L13"/>
  <c r="L17"/>
  <c r="L16"/>
  <c r="E13"/>
  <c r="E17"/>
  <c r="E16"/>
  <c r="Q15"/>
  <c r="F13"/>
  <c r="F16"/>
  <c r="F17"/>
  <c r="S13"/>
  <c r="S17"/>
  <c r="S16"/>
  <c r="D15"/>
  <c r="T15"/>
  <c r="D14"/>
  <c r="M14"/>
  <c r="F5" i="32"/>
  <c r="F5" i="23" s="1"/>
  <c r="E14"/>
  <c r="M13"/>
  <c r="M16"/>
  <c r="M17"/>
  <c r="J16"/>
  <c r="J17"/>
  <c r="J13"/>
  <c r="L14"/>
  <c r="Q14"/>
  <c r="F8" i="32"/>
  <c r="F8" i="23" s="1"/>
  <c r="S14"/>
  <c r="U13"/>
  <c r="U17"/>
  <c r="U16"/>
  <c r="J15"/>
  <c r="T14"/>
  <c r="G8" i="32"/>
  <c r="G8" i="23" s="1"/>
  <c r="G6" i="32"/>
  <c r="G6" i="23" s="1"/>
  <c r="G5" i="32"/>
  <c r="G5" i="23" s="1"/>
  <c r="G9" i="32"/>
  <c r="G9" i="23" s="1"/>
  <c r="G7" i="32"/>
  <c r="G7" i="23" s="1"/>
  <c r="V10" i="45" l="1"/>
  <c r="U5" i="31"/>
  <c r="U20" i="45"/>
  <c r="M22"/>
  <c r="M23"/>
  <c r="M21"/>
  <c r="M24"/>
  <c r="C58" i="29"/>
  <c r="N12" i="45"/>
  <c r="N13"/>
  <c r="N8" i="31" s="1"/>
  <c r="N11" i="45"/>
  <c r="N6" i="31" s="1"/>
  <c r="N14" i="45"/>
  <c r="N9" i="31" s="1"/>
  <c r="C14" i="33"/>
  <c r="C6"/>
  <c r="C22" i="29" s="1"/>
  <c r="C9" i="33"/>
  <c r="C25" i="29" s="1"/>
  <c r="H9" i="32"/>
  <c r="H9" i="23" s="1"/>
  <c r="H8" i="32"/>
  <c r="H8" i="23" s="1"/>
  <c r="H6" i="32"/>
  <c r="H6" i="23" s="1"/>
  <c r="H7" i="32"/>
  <c r="H7" i="23" s="1"/>
  <c r="H5" i="32"/>
  <c r="H5" i="23" s="1"/>
  <c r="W10" i="45" l="1"/>
  <c r="V5" i="31"/>
  <c r="V20" i="45"/>
  <c r="N24"/>
  <c r="N21"/>
  <c r="N23"/>
  <c r="N22"/>
  <c r="C21" i="29"/>
  <c r="O14" i="45"/>
  <c r="O9" i="31" s="1"/>
  <c r="O11" i="45"/>
  <c r="O6" i="31" s="1"/>
  <c r="O13" i="45"/>
  <c r="O8" i="31" s="1"/>
  <c r="O12" i="45"/>
  <c r="C5" i="33"/>
  <c r="B14" i="34"/>
  <c r="B5"/>
  <c r="I9" i="32"/>
  <c r="I9" i="23" s="1"/>
  <c r="I6" i="32"/>
  <c r="I6" i="23" s="1"/>
  <c r="I8" i="32"/>
  <c r="I8" i="23" s="1"/>
  <c r="I7" i="32"/>
  <c r="I7" i="23" s="1"/>
  <c r="I5" i="32"/>
  <c r="I5" i="23" s="1"/>
  <c r="W5" i="31" l="1"/>
  <c r="W20" i="45"/>
  <c r="O22"/>
  <c r="O23"/>
  <c r="O21"/>
  <c r="O24"/>
  <c r="P12"/>
  <c r="P13"/>
  <c r="P8" i="31" s="1"/>
  <c r="P11" i="45"/>
  <c r="P6" i="31" s="1"/>
  <c r="P14" i="45"/>
  <c r="P9" i="31" s="1"/>
  <c r="B58" i="29"/>
  <c r="B14" i="33"/>
  <c r="B5"/>
  <c r="J8" i="32"/>
  <c r="J8" i="23" s="1"/>
  <c r="J9" i="32"/>
  <c r="J9" i="23" s="1"/>
  <c r="J5" i="32"/>
  <c r="J5" i="23" s="1"/>
  <c r="J7" i="32"/>
  <c r="J7" i="23" s="1"/>
  <c r="J6" i="32"/>
  <c r="J6" i="23" s="1"/>
  <c r="P22" i="45" l="1"/>
  <c r="Q14"/>
  <c r="Q9" i="31" s="1"/>
  <c r="P24" i="45"/>
  <c r="Q11"/>
  <c r="Q6" i="31" s="1"/>
  <c r="P21" i="45"/>
  <c r="Q13"/>
  <c r="Q8" i="31" s="1"/>
  <c r="P23" i="45"/>
  <c r="Q12"/>
  <c r="B67" i="25"/>
  <c r="B50"/>
  <c r="B27"/>
  <c r="B77" i="29" s="1"/>
  <c r="B64" i="25"/>
  <c r="B46"/>
  <c r="B29"/>
  <c r="B48"/>
  <c r="B66"/>
  <c r="B30"/>
  <c r="B80" i="29" s="1"/>
  <c r="B28" i="25"/>
  <c r="B78" i="29" s="1"/>
  <c r="B65" i="25"/>
  <c r="B47"/>
  <c r="B49"/>
  <c r="B31"/>
  <c r="B81" i="29" s="1"/>
  <c r="B68" i="25"/>
  <c r="B14" i="21"/>
  <c r="B41" i="25"/>
  <c r="B22"/>
  <c r="B44" i="29" s="1"/>
  <c r="B17" s="1"/>
  <c r="B59" i="25"/>
  <c r="B56"/>
  <c r="B38"/>
  <c r="B19"/>
  <c r="B41" i="29" s="1"/>
  <c r="B14" s="1"/>
  <c r="B55" i="25"/>
  <c r="B37"/>
  <c r="B18"/>
  <c r="B40" i="29" s="1"/>
  <c r="B13" s="1"/>
  <c r="B5" i="21"/>
  <c r="B40" i="25"/>
  <c r="B58"/>
  <c r="B21"/>
  <c r="B43" i="29" s="1"/>
  <c r="B16" s="1"/>
  <c r="B20" i="25"/>
  <c r="B42" i="29" s="1"/>
  <c r="B15" s="1"/>
  <c r="B57" i="25"/>
  <c r="B39"/>
  <c r="K6" i="32"/>
  <c r="K6" i="23" s="1"/>
  <c r="K8" i="32"/>
  <c r="K8" i="23" s="1"/>
  <c r="K7" i="32"/>
  <c r="K7" i="23" s="1"/>
  <c r="K9" i="32"/>
  <c r="K9" i="23" s="1"/>
  <c r="K5" i="32"/>
  <c r="K5" i="23" s="1"/>
  <c r="R12" i="45" l="1"/>
  <c r="Q22"/>
  <c r="B79" i="29"/>
  <c r="B52" s="1"/>
  <c r="B14" i="46"/>
  <c r="B15"/>
  <c r="B16"/>
  <c r="B17"/>
  <c r="B13"/>
  <c r="B8"/>
  <c r="C16" i="40" s="1"/>
  <c r="B9" i="46"/>
  <c r="C17" i="40" s="1"/>
  <c r="B6" i="46"/>
  <c r="C14" i="40" s="1"/>
  <c r="B7" i="46"/>
  <c r="C15" i="40" s="1"/>
  <c r="B5" i="46"/>
  <c r="C13" i="40" s="1"/>
  <c r="R13" i="45"/>
  <c r="R8" i="31" s="1"/>
  <c r="Q23" i="45"/>
  <c r="Q21"/>
  <c r="R11"/>
  <c r="Q24"/>
  <c r="R14"/>
  <c r="R9" i="31" s="1"/>
  <c r="C15" i="21"/>
  <c r="C16"/>
  <c r="B54" i="29"/>
  <c r="B53"/>
  <c r="B67"/>
  <c r="C14" i="34"/>
  <c r="C19" i="21"/>
  <c r="B7" i="25"/>
  <c r="B36"/>
  <c r="B63"/>
  <c r="B45"/>
  <c r="B30" i="29"/>
  <c r="B26" i="25"/>
  <c r="B51" i="29"/>
  <c r="B50"/>
  <c r="B17" i="25"/>
  <c r="B6"/>
  <c r="B54"/>
  <c r="C5" i="34"/>
  <c r="L7" i="32"/>
  <c r="L7" i="23" s="1"/>
  <c r="L6" i="32"/>
  <c r="L6" i="23" s="1"/>
  <c r="L9" i="32"/>
  <c r="L9" i="23" s="1"/>
  <c r="L8" i="32"/>
  <c r="L8" i="23" s="1"/>
  <c r="L5" i="32"/>
  <c r="L5" i="23" s="1"/>
  <c r="R21" i="45" l="1"/>
  <c r="R6" i="31"/>
  <c r="C69" i="29"/>
  <c r="D16" i="34"/>
  <c r="C68" i="29"/>
  <c r="D15" i="34"/>
  <c r="C72" i="29"/>
  <c r="D19" i="34"/>
  <c r="S13" i="45"/>
  <c r="R23"/>
  <c r="S14"/>
  <c r="S9" i="31" s="1"/>
  <c r="S11" i="45"/>
  <c r="S6" i="31" s="1"/>
  <c r="S12" i="45"/>
  <c r="R22"/>
  <c r="B11" i="25"/>
  <c r="B76" i="29"/>
  <c r="R24" i="45"/>
  <c r="B12" i="25"/>
  <c r="B12" i="29"/>
  <c r="C17" i="21"/>
  <c r="C18"/>
  <c r="B49" i="29"/>
  <c r="C64" i="25"/>
  <c r="C46"/>
  <c r="C27"/>
  <c r="C77" i="29" s="1"/>
  <c r="C65" i="25"/>
  <c r="C28"/>
  <c r="C78" i="29" s="1"/>
  <c r="C47" i="25"/>
  <c r="C50"/>
  <c r="C68"/>
  <c r="C31"/>
  <c r="C81" i="29" s="1"/>
  <c r="B39"/>
  <c r="C6" i="21"/>
  <c r="C10"/>
  <c r="C9"/>
  <c r="C7"/>
  <c r="B8" i="25"/>
  <c r="C8" i="21"/>
  <c r="M6" i="32"/>
  <c r="M6" i="23" s="1"/>
  <c r="M7" i="32"/>
  <c r="M7" i="23" s="1"/>
  <c r="M9" i="32"/>
  <c r="M9" i="23" s="1"/>
  <c r="M5" i="32"/>
  <c r="M5" i="23" s="1"/>
  <c r="M8" i="32"/>
  <c r="M8" i="23" s="1"/>
  <c r="S23" i="45" l="1"/>
  <c r="S8" i="31"/>
  <c r="B13" i="51"/>
  <c r="B11" i="48"/>
  <c r="B13" s="1"/>
  <c r="C34" i="29"/>
  <c r="D9" i="34"/>
  <c r="C35" i="29"/>
  <c r="D10" i="34"/>
  <c r="C31" i="29"/>
  <c r="D6" i="34"/>
  <c r="C33" i="29"/>
  <c r="D8" i="34"/>
  <c r="C71" i="29"/>
  <c r="D18" i="34"/>
  <c r="C32" i="29"/>
  <c r="D7" i="34"/>
  <c r="C70" i="29"/>
  <c r="D17" i="34"/>
  <c r="T12" i="45"/>
  <c r="S22"/>
  <c r="T11"/>
  <c r="T6" i="31" s="1"/>
  <c r="S21" i="45"/>
  <c r="T14"/>
  <c r="T9" i="31" s="1"/>
  <c r="S24" i="45"/>
  <c r="T13"/>
  <c r="T8" i="31" s="1"/>
  <c r="B13" i="25"/>
  <c r="B5" i="48" s="1"/>
  <c r="C29" i="25"/>
  <c r="C79" i="29" s="1"/>
  <c r="C66" i="25"/>
  <c r="C49"/>
  <c r="C48"/>
  <c r="C30"/>
  <c r="C80" i="29" s="1"/>
  <c r="C67" i="25"/>
  <c r="C14" i="21"/>
  <c r="C51" i="29"/>
  <c r="C5" i="21"/>
  <c r="C7" i="46" s="1"/>
  <c r="C57" i="25"/>
  <c r="C39"/>
  <c r="C20"/>
  <c r="C42" i="29" s="1"/>
  <c r="C59" i="25"/>
  <c r="C22"/>
  <c r="C44" i="29" s="1"/>
  <c r="C41" i="25"/>
  <c r="C54" i="29"/>
  <c r="C56" i="25"/>
  <c r="C19"/>
  <c r="C41" i="29" s="1"/>
  <c r="C38" i="25"/>
  <c r="C21"/>
  <c r="C43" i="29" s="1"/>
  <c r="C40" i="25"/>
  <c r="C58"/>
  <c r="C55"/>
  <c r="C18"/>
  <c r="C40" i="29" s="1"/>
  <c r="C37" i="25"/>
  <c r="N5" i="32"/>
  <c r="N5" i="23" s="1"/>
  <c r="N7" i="32"/>
  <c r="N7" i="23" s="1"/>
  <c r="N9" i="32"/>
  <c r="N9" i="23" s="1"/>
  <c r="N6" i="32"/>
  <c r="N6" i="23" s="1"/>
  <c r="N8" i="32"/>
  <c r="N8" i="23" s="1"/>
  <c r="T21" i="45" l="1"/>
  <c r="B8" i="49"/>
  <c r="B10" s="1"/>
  <c r="B12" i="51" s="1"/>
  <c r="B14" s="1"/>
  <c r="B6" i="48"/>
  <c r="B7" s="1"/>
  <c r="C67" i="29"/>
  <c r="C16"/>
  <c r="C17"/>
  <c r="C14"/>
  <c r="C30"/>
  <c r="C15"/>
  <c r="U13" i="45"/>
  <c r="U8" i="31" s="1"/>
  <c r="U12" i="45"/>
  <c r="T22"/>
  <c r="U14"/>
  <c r="U9" i="31" s="1"/>
  <c r="T23" i="45"/>
  <c r="T24"/>
  <c r="U11"/>
  <c r="C76" i="29"/>
  <c r="C39"/>
  <c r="C13"/>
  <c r="C23" i="40"/>
  <c r="U23" i="45"/>
  <c r="C8" i="46"/>
  <c r="C9"/>
  <c r="C5"/>
  <c r="C6"/>
  <c r="C63" i="25"/>
  <c r="C14" i="46"/>
  <c r="C30" i="40" s="1"/>
  <c r="C13" i="46"/>
  <c r="C29" i="40" s="1"/>
  <c r="C17" i="46"/>
  <c r="C33" i="40" s="1"/>
  <c r="C16" i="46"/>
  <c r="C32" i="40" s="1"/>
  <c r="C15" i="46"/>
  <c r="C31" i="40" s="1"/>
  <c r="D15" i="33"/>
  <c r="D59" i="29" s="1"/>
  <c r="D18" i="33"/>
  <c r="D62" i="29" s="1"/>
  <c r="C52"/>
  <c r="D16" i="33"/>
  <c r="D60" i="29" s="1"/>
  <c r="D14" i="34"/>
  <c r="D17" i="33"/>
  <c r="D61" i="29" s="1"/>
  <c r="D19" i="33"/>
  <c r="D63" i="29" s="1"/>
  <c r="C26" i="25"/>
  <c r="C45"/>
  <c r="C53" i="29"/>
  <c r="C7" i="25"/>
  <c r="C36"/>
  <c r="C54"/>
  <c r="C17"/>
  <c r="C6"/>
  <c r="D6" i="33"/>
  <c r="D22" i="29" s="1"/>
  <c r="D10" i="33"/>
  <c r="D26" i="29" s="1"/>
  <c r="D9" i="33"/>
  <c r="D25" i="29" s="1"/>
  <c r="D8" i="33"/>
  <c r="D24" i="29" s="1"/>
  <c r="D7" i="33"/>
  <c r="D23" i="29" s="1"/>
  <c r="C50"/>
  <c r="D5" i="34"/>
  <c r="O5" i="32"/>
  <c r="O5" i="23" s="1"/>
  <c r="O9" i="32"/>
  <c r="O9" i="23" s="1"/>
  <c r="O7" i="32"/>
  <c r="O7" i="23" s="1"/>
  <c r="O8" i="32"/>
  <c r="O8" i="23" s="1"/>
  <c r="O6" i="32"/>
  <c r="O6" i="23" s="1"/>
  <c r="U21" i="45" l="1"/>
  <c r="U6" i="31"/>
  <c r="V14" i="45"/>
  <c r="V9" i="31" s="1"/>
  <c r="U24" i="45"/>
  <c r="V12"/>
  <c r="U22"/>
  <c r="V11"/>
  <c r="V6" i="31" s="1"/>
  <c r="V13" i="45"/>
  <c r="V8" i="31" s="1"/>
  <c r="C11" i="25"/>
  <c r="D58" i="29"/>
  <c r="D21"/>
  <c r="C24" i="40"/>
  <c r="C25"/>
  <c r="C22"/>
  <c r="C21"/>
  <c r="C12" i="25"/>
  <c r="D15" i="21"/>
  <c r="E15" i="34" s="1"/>
  <c r="D18" i="21"/>
  <c r="E18" i="34" s="1"/>
  <c r="D16" i="21"/>
  <c r="D19"/>
  <c r="D14" i="33"/>
  <c r="D17" i="21"/>
  <c r="C12" i="29"/>
  <c r="C49"/>
  <c r="D8" i="21"/>
  <c r="D9"/>
  <c r="C8" i="25"/>
  <c r="C11" i="48" s="1"/>
  <c r="D10" i="21"/>
  <c r="D7"/>
  <c r="D6"/>
  <c r="D5" i="33"/>
  <c r="P5" i="32"/>
  <c r="P5" i="23" s="1"/>
  <c r="P9" i="32"/>
  <c r="P9" i="23" s="1"/>
  <c r="P8" i="32"/>
  <c r="P8" i="23" s="1"/>
  <c r="P6" i="32"/>
  <c r="P6" i="23" s="1"/>
  <c r="P7" i="32"/>
  <c r="P7" i="23" s="1"/>
  <c r="C13" i="48" l="1"/>
  <c r="C8" i="49" s="1"/>
  <c r="C10" s="1"/>
  <c r="V23" i="45"/>
  <c r="V24"/>
  <c r="C13" i="51"/>
  <c r="D34" i="29"/>
  <c r="E9" i="34"/>
  <c r="D33" i="29"/>
  <c r="E8" i="34"/>
  <c r="D31" i="29"/>
  <c r="E6" i="34"/>
  <c r="D32" i="29"/>
  <c r="E7" i="34"/>
  <c r="D35" i="29"/>
  <c r="E10" i="34"/>
  <c r="D70" i="29"/>
  <c r="E17" i="34"/>
  <c r="D72" i="29"/>
  <c r="E19" i="34"/>
  <c r="D69" i="29"/>
  <c r="E16" i="34"/>
  <c r="W11" i="45"/>
  <c r="W6" i="31" s="1"/>
  <c r="V21" i="45"/>
  <c r="W12"/>
  <c r="V22"/>
  <c r="W13"/>
  <c r="W8" i="31" s="1"/>
  <c r="W14" i="45"/>
  <c r="W9" i="31" s="1"/>
  <c r="C13" i="25"/>
  <c r="C5" i="48" s="1"/>
  <c r="C37" i="40" s="1"/>
  <c r="D49" i="25"/>
  <c r="D71" i="29"/>
  <c r="D64" i="25"/>
  <c r="D68" i="29"/>
  <c r="D27" i="25"/>
  <c r="D77" i="29" s="1"/>
  <c r="D46" i="25"/>
  <c r="D30"/>
  <c r="D80" i="29" s="1"/>
  <c r="D67" i="25"/>
  <c r="D47"/>
  <c r="D28"/>
  <c r="D78" i="29" s="1"/>
  <c r="D65" i="25"/>
  <c r="D29"/>
  <c r="D79" i="29" s="1"/>
  <c r="D31" i="25"/>
  <c r="D81" i="29" s="1"/>
  <c r="D50" i="25"/>
  <c r="D68"/>
  <c r="D66"/>
  <c r="D14" i="21"/>
  <c r="D13" i="46" s="1"/>
  <c r="D48" i="25"/>
  <c r="D56"/>
  <c r="D19"/>
  <c r="D41" i="29" s="1"/>
  <c r="D14" s="1"/>
  <c r="D38" i="25"/>
  <c r="D22"/>
  <c r="D44" i="29" s="1"/>
  <c r="D59" i="25"/>
  <c r="D41"/>
  <c r="D20"/>
  <c r="D42" i="29" s="1"/>
  <c r="D57" i="25"/>
  <c r="D39"/>
  <c r="D55"/>
  <c r="D37"/>
  <c r="D18"/>
  <c r="D40" i="29" s="1"/>
  <c r="D5" i="21"/>
  <c r="D9" i="46" s="1"/>
  <c r="D21" i="25"/>
  <c r="D43" i="29" s="1"/>
  <c r="D40" i="25"/>
  <c r="D58"/>
  <c r="Q5" i="32"/>
  <c r="Q5" i="23" s="1"/>
  <c r="Q9" i="32"/>
  <c r="Q9" i="23" s="1"/>
  <c r="Q6" i="32"/>
  <c r="Q6" i="23" s="1"/>
  <c r="Q7" i="32"/>
  <c r="Q7" i="23" s="1"/>
  <c r="Q8" i="32"/>
  <c r="Q8" i="23" s="1"/>
  <c r="C6" i="48" l="1"/>
  <c r="W21" i="45"/>
  <c r="W24"/>
  <c r="D17" i="29"/>
  <c r="D16"/>
  <c r="D15"/>
  <c r="D30"/>
  <c r="D13"/>
  <c r="W22" i="45"/>
  <c r="W23"/>
  <c r="D67" i="29"/>
  <c r="D76"/>
  <c r="D39"/>
  <c r="D52"/>
  <c r="D5" i="46"/>
  <c r="D54" i="29"/>
  <c r="D16" i="46"/>
  <c r="D7"/>
  <c r="D53" i="29"/>
  <c r="D15" i="46"/>
  <c r="D6"/>
  <c r="D8"/>
  <c r="D51" i="29"/>
  <c r="D17" i="46"/>
  <c r="D14"/>
  <c r="E16" i="33"/>
  <c r="E60" i="29" s="1"/>
  <c r="D45" i="25"/>
  <c r="D26"/>
  <c r="D63"/>
  <c r="E17" i="33"/>
  <c r="E61" i="29" s="1"/>
  <c r="E15" i="33"/>
  <c r="E59" i="29" s="1"/>
  <c r="D7" i="25"/>
  <c r="E19" i="33"/>
  <c r="E63" i="29" s="1"/>
  <c r="E14" i="34"/>
  <c r="E18" i="33"/>
  <c r="E62" i="29" s="1"/>
  <c r="D36" i="25"/>
  <c r="D54"/>
  <c r="D17"/>
  <c r="D6"/>
  <c r="E10" i="33"/>
  <c r="E26" i="29" s="1"/>
  <c r="E9" i="33"/>
  <c r="E25" i="29" s="1"/>
  <c r="E8" i="33"/>
  <c r="E24" i="29" s="1"/>
  <c r="E7" i="33"/>
  <c r="E23" i="29" s="1"/>
  <c r="E5" i="34"/>
  <c r="E6" i="33"/>
  <c r="E22" i="29" s="1"/>
  <c r="D50"/>
  <c r="R5" i="32"/>
  <c r="R5" i="23" s="1"/>
  <c r="R8" i="32"/>
  <c r="R8" i="23" s="1"/>
  <c r="R7" i="32"/>
  <c r="R7" i="23" s="1"/>
  <c r="R9" i="32"/>
  <c r="R9" i="23" s="1"/>
  <c r="R6" i="32"/>
  <c r="R6" i="23" s="1"/>
  <c r="C7" i="48" l="1"/>
  <c r="C39" i="40" s="1"/>
  <c r="C38"/>
  <c r="C12" i="51"/>
  <c r="C14" s="1"/>
  <c r="D11" i="25"/>
  <c r="E58" i="29"/>
  <c r="E21"/>
  <c r="D12" i="25"/>
  <c r="D12" i="29"/>
  <c r="D49"/>
  <c r="E16" i="21"/>
  <c r="E17"/>
  <c r="E15"/>
  <c r="E19"/>
  <c r="E18"/>
  <c r="E14" i="33"/>
  <c r="E6" i="21"/>
  <c r="D8" i="25"/>
  <c r="D11" i="48" s="1"/>
  <c r="E9" i="21"/>
  <c r="E5" i="33"/>
  <c r="E7" i="21"/>
  <c r="E10"/>
  <c r="E8"/>
  <c r="S9" i="32"/>
  <c r="S9" i="23" s="1"/>
  <c r="S7" i="32"/>
  <c r="S7" i="23" s="1"/>
  <c r="S5" i="32"/>
  <c r="S5" i="23" s="1"/>
  <c r="S8" i="32"/>
  <c r="S8" i="23" s="1"/>
  <c r="S6" i="32"/>
  <c r="S6" i="23" s="1"/>
  <c r="D13" i="48" l="1"/>
  <c r="D6" s="1"/>
  <c r="D13" i="51"/>
  <c r="E71" i="29"/>
  <c r="F18" i="34"/>
  <c r="E72" i="29"/>
  <c r="F19" i="34"/>
  <c r="E68" i="29"/>
  <c r="F15" i="34"/>
  <c r="E70" i="29"/>
  <c r="F17" i="34"/>
  <c r="E69" i="29"/>
  <c r="F16" i="34"/>
  <c r="E31" i="29"/>
  <c r="F6" i="34"/>
  <c r="E33" i="29"/>
  <c r="F8" i="34"/>
  <c r="E35" i="29"/>
  <c r="F10" i="34"/>
  <c r="E32" i="29"/>
  <c r="F7" i="34"/>
  <c r="E34" i="29"/>
  <c r="F9" i="34"/>
  <c r="D13" i="25"/>
  <c r="D5" i="48" s="1"/>
  <c r="E47" i="25"/>
  <c r="E65"/>
  <c r="E28"/>
  <c r="E78" i="29" s="1"/>
  <c r="E29" i="25"/>
  <c r="E79" i="29" s="1"/>
  <c r="E30" i="25"/>
  <c r="E80" i="29" s="1"/>
  <c r="E48" i="25"/>
  <c r="E66"/>
  <c r="E49"/>
  <c r="E67"/>
  <c r="E64"/>
  <c r="E46"/>
  <c r="E27"/>
  <c r="E77" i="29" s="1"/>
  <c r="E31" i="25"/>
  <c r="E81" i="29" s="1"/>
  <c r="E50" i="25"/>
  <c r="E68"/>
  <c r="E14" i="21"/>
  <c r="E16" i="46" s="1"/>
  <c r="E37" i="25"/>
  <c r="E18"/>
  <c r="E40" i="29" s="1"/>
  <c r="E55" i="25"/>
  <c r="E58"/>
  <c r="E5" i="21"/>
  <c r="E5" i="46" s="1"/>
  <c r="E21" i="25"/>
  <c r="E43" i="29" s="1"/>
  <c r="E40" i="25"/>
  <c r="E22"/>
  <c r="E44" i="29" s="1"/>
  <c r="E41" i="25"/>
  <c r="E59"/>
  <c r="E38"/>
  <c r="E56"/>
  <c r="E19"/>
  <c r="E41" i="29" s="1"/>
  <c r="E20" i="25"/>
  <c r="E42" i="29" s="1"/>
  <c r="E39" i="25"/>
  <c r="E57"/>
  <c r="T8" i="32"/>
  <c r="T8" i="23" s="1"/>
  <c r="T5" i="32"/>
  <c r="T5" i="23" s="1"/>
  <c r="T6" i="32"/>
  <c r="T6" i="23" s="1"/>
  <c r="T9" i="32"/>
  <c r="T9" i="23" s="1"/>
  <c r="T7" i="32"/>
  <c r="T7" i="23" s="1"/>
  <c r="D8" i="49" l="1"/>
  <c r="D10" s="1"/>
  <c r="D7" i="48"/>
  <c r="E13" i="29"/>
  <c r="E16"/>
  <c r="E67"/>
  <c r="E17"/>
  <c r="E30"/>
  <c r="E14"/>
  <c r="E15"/>
  <c r="E76"/>
  <c r="E39"/>
  <c r="E54"/>
  <c r="E6" i="46"/>
  <c r="E53" i="29"/>
  <c r="E9" i="46"/>
  <c r="E7"/>
  <c r="E52" i="29"/>
  <c r="E8" i="46"/>
  <c r="E14"/>
  <c r="E51" i="29"/>
  <c r="E15" i="46"/>
  <c r="E13"/>
  <c r="E17"/>
  <c r="E45" i="25"/>
  <c r="F18" i="33"/>
  <c r="F62" i="29" s="1"/>
  <c r="F19" i="33"/>
  <c r="F63" i="29" s="1"/>
  <c r="F17" i="33"/>
  <c r="F61" i="29" s="1"/>
  <c r="E63" i="25"/>
  <c r="F16" i="33"/>
  <c r="F60" i="29" s="1"/>
  <c r="F14" i="34"/>
  <c r="F15" i="33"/>
  <c r="F59" i="29" s="1"/>
  <c r="E7" i="25"/>
  <c r="E26"/>
  <c r="F10" i="33"/>
  <c r="F26" i="29" s="1"/>
  <c r="E36" i="25"/>
  <c r="E54"/>
  <c r="F6" i="33"/>
  <c r="F22" i="29" s="1"/>
  <c r="F5" i="34"/>
  <c r="E17" i="25"/>
  <c r="F9" i="33"/>
  <c r="F25" i="29" s="1"/>
  <c r="F7" i="33"/>
  <c r="F23" i="29" s="1"/>
  <c r="F8" i="33"/>
  <c r="F24" i="29" s="1"/>
  <c r="E6" i="25"/>
  <c r="E50" i="29"/>
  <c r="U9" i="32"/>
  <c r="U9" i="23" s="1"/>
  <c r="U6" i="32"/>
  <c r="U6" i="23" s="1"/>
  <c r="U8" i="32"/>
  <c r="U8" i="23" s="1"/>
  <c r="U5" i="32"/>
  <c r="U5" i="23" s="1"/>
  <c r="U7" i="32"/>
  <c r="U7" i="23" s="1"/>
  <c r="D12" i="51" l="1"/>
  <c r="D14" s="1"/>
  <c r="E11" i="25"/>
  <c r="F58" i="29"/>
  <c r="F21"/>
  <c r="E12" i="25"/>
  <c r="E49" i="29"/>
  <c r="E12"/>
  <c r="F18" i="21"/>
  <c r="G18" i="34" s="1"/>
  <c r="F16" i="21"/>
  <c r="F15"/>
  <c r="F19"/>
  <c r="F17"/>
  <c r="F14" i="33"/>
  <c r="F10" i="21"/>
  <c r="F9"/>
  <c r="F5" i="33"/>
  <c r="F8" i="21"/>
  <c r="E8" i="25"/>
  <c r="E11" i="48" s="1"/>
  <c r="F7" i="21"/>
  <c r="F6"/>
  <c r="V6" i="32"/>
  <c r="V6" i="23" s="1"/>
  <c r="V8" i="32"/>
  <c r="V8" i="23" s="1"/>
  <c r="V7" i="32"/>
  <c r="V7" i="23" s="1"/>
  <c r="V5" i="32"/>
  <c r="V5" i="23" s="1"/>
  <c r="V9" i="32"/>
  <c r="V9" i="23" s="1"/>
  <c r="E13" i="48" l="1"/>
  <c r="E8" i="49" s="1"/>
  <c r="E10" s="1"/>
  <c r="E13" i="51"/>
  <c r="F70" i="29"/>
  <c r="G17" i="34"/>
  <c r="F72" i="29"/>
  <c r="G19" i="34"/>
  <c r="F68" i="29"/>
  <c r="G15" i="34"/>
  <c r="F69" i="29"/>
  <c r="G16" i="34"/>
  <c r="F35" i="29"/>
  <c r="G10" i="34"/>
  <c r="F31" i="29"/>
  <c r="G6" i="34"/>
  <c r="F32" i="29"/>
  <c r="G7" i="34"/>
  <c r="F33" i="29"/>
  <c r="G8" i="34"/>
  <c r="F34" i="29"/>
  <c r="G9" i="34"/>
  <c r="E13" i="25"/>
  <c r="E5" i="48" s="1"/>
  <c r="F49" i="25"/>
  <c r="F71" i="29"/>
  <c r="F67" i="25"/>
  <c r="F28"/>
  <c r="F78" i="29" s="1"/>
  <c r="F47" i="25"/>
  <c r="F30"/>
  <c r="F80" i="29" s="1"/>
  <c r="F65" i="25"/>
  <c r="F27"/>
  <c r="F77" i="29" s="1"/>
  <c r="F64" i="25"/>
  <c r="F46"/>
  <c r="F50"/>
  <c r="F14" i="21"/>
  <c r="F15" i="46" s="1"/>
  <c r="F31" i="25"/>
  <c r="F81" i="29" s="1"/>
  <c r="F68" i="25"/>
  <c r="F29"/>
  <c r="F79" i="29" s="1"/>
  <c r="F48" i="25"/>
  <c r="F66"/>
  <c r="F41"/>
  <c r="F22"/>
  <c r="F44" i="29" s="1"/>
  <c r="F59" i="25"/>
  <c r="F38"/>
  <c r="F58"/>
  <c r="F21"/>
  <c r="F43" i="29" s="1"/>
  <c r="F40" i="25"/>
  <c r="F56"/>
  <c r="F18"/>
  <c r="F40" i="29" s="1"/>
  <c r="F55" i="25"/>
  <c r="F5" i="21"/>
  <c r="F5" i="46" s="1"/>
  <c r="F37" i="25"/>
  <c r="F19"/>
  <c r="F41" i="29" s="1"/>
  <c r="F20" i="25"/>
  <c r="F42" i="29" s="1"/>
  <c r="F39" i="25"/>
  <c r="F57"/>
  <c r="W9" i="32"/>
  <c r="W9" i="23" s="1"/>
  <c r="W8" i="32"/>
  <c r="W8" i="23" s="1"/>
  <c r="W6" i="32"/>
  <c r="W6" i="23" s="1"/>
  <c r="W7" i="32"/>
  <c r="W7" i="23" s="1"/>
  <c r="W5" i="32"/>
  <c r="W5" i="23" s="1"/>
  <c r="E6" i="48" l="1"/>
  <c r="E7" s="1"/>
  <c r="F16" i="29"/>
  <c r="E12" i="51"/>
  <c r="E14" s="1"/>
  <c r="F17" i="29"/>
  <c r="F15"/>
  <c r="F30"/>
  <c r="F67"/>
  <c r="F14"/>
  <c r="F76"/>
  <c r="F39"/>
  <c r="F13"/>
  <c r="F14" i="46"/>
  <c r="F51" i="29"/>
  <c r="F17" i="46"/>
  <c r="F7"/>
  <c r="F53" i="29"/>
  <c r="F9" i="46"/>
  <c r="F6"/>
  <c r="F52" i="29"/>
  <c r="F13" i="46"/>
  <c r="F8"/>
  <c r="F54" i="29"/>
  <c r="F16" i="46"/>
  <c r="G14" i="34"/>
  <c r="F63" i="25"/>
  <c r="F45"/>
  <c r="G17" i="33"/>
  <c r="G61" i="29" s="1"/>
  <c r="G16" i="33"/>
  <c r="G60" i="29" s="1"/>
  <c r="G18" i="33"/>
  <c r="G62" i="29" s="1"/>
  <c r="G19" i="33"/>
  <c r="G63" i="29" s="1"/>
  <c r="G15" i="33"/>
  <c r="G59" i="29" s="1"/>
  <c r="F26" i="25"/>
  <c r="F7"/>
  <c r="G5" i="34"/>
  <c r="D7" i="40"/>
  <c r="D6"/>
  <c r="E5"/>
  <c r="D8"/>
  <c r="D9"/>
  <c r="D5"/>
  <c r="E8"/>
  <c r="E7"/>
  <c r="E6"/>
  <c r="E9"/>
  <c r="G9" i="33"/>
  <c r="G25" i="29" s="1"/>
  <c r="F36" i="25"/>
  <c r="G8" i="33"/>
  <c r="G24" i="29" s="1"/>
  <c r="G6" i="33"/>
  <c r="G22" i="29" s="1"/>
  <c r="F17" i="25"/>
  <c r="G7" i="33"/>
  <c r="G23" i="29" s="1"/>
  <c r="G10" i="33"/>
  <c r="G26" i="29" s="1"/>
  <c r="F6" i="25"/>
  <c r="F54"/>
  <c r="F50" i="29"/>
  <c r="F11" i="25" l="1"/>
  <c r="G58" i="29"/>
  <c r="G21"/>
  <c r="F12" i="25"/>
  <c r="F49" i="29"/>
  <c r="G16" i="21"/>
  <c r="G17"/>
  <c r="G19"/>
  <c r="G14" i="33"/>
  <c r="G18" i="21"/>
  <c r="G15"/>
  <c r="F8" i="40"/>
  <c r="F9"/>
  <c r="F12" i="29"/>
  <c r="F5" i="40"/>
  <c r="F6"/>
  <c r="F7"/>
  <c r="G6" i="21"/>
  <c r="G8"/>
  <c r="G9"/>
  <c r="G10"/>
  <c r="G7"/>
  <c r="F8" i="25"/>
  <c r="F11" i="48" s="1"/>
  <c r="G5" i="33"/>
  <c r="F13" i="48" l="1"/>
  <c r="F8" i="49" s="1"/>
  <c r="F10" s="1"/>
  <c r="F13" i="51"/>
  <c r="G68" i="29"/>
  <c r="H15" i="34"/>
  <c r="G71" i="29"/>
  <c r="H18" i="34"/>
  <c r="G72" i="29"/>
  <c r="H19" i="34"/>
  <c r="G70" i="29"/>
  <c r="H17" i="34"/>
  <c r="G69" i="29"/>
  <c r="H16" i="34"/>
  <c r="G35" i="29"/>
  <c r="H10" i="34"/>
  <c r="G34" i="29"/>
  <c r="H9" i="34"/>
  <c r="G33" i="29"/>
  <c r="H8" i="34"/>
  <c r="G31" i="29"/>
  <c r="H6" i="34"/>
  <c r="G32" i="29"/>
  <c r="H7" i="34"/>
  <c r="F13" i="25"/>
  <c r="F5" i="48" s="1"/>
  <c r="G21" i="25"/>
  <c r="G43" i="29" s="1"/>
  <c r="G28" i="25"/>
  <c r="G78" i="29" s="1"/>
  <c r="G47" i="25"/>
  <c r="G65"/>
  <c r="G67"/>
  <c r="G29"/>
  <c r="G79" i="29" s="1"/>
  <c r="G66" i="25"/>
  <c r="G30"/>
  <c r="G80" i="29" s="1"/>
  <c r="G49" i="25"/>
  <c r="G48"/>
  <c r="G68"/>
  <c r="G64"/>
  <c r="G31"/>
  <c r="G81" i="29" s="1"/>
  <c r="G50" i="25"/>
  <c r="G27"/>
  <c r="G77" i="29" s="1"/>
  <c r="G46" i="25"/>
  <c r="G14" i="21"/>
  <c r="G17" i="46" s="1"/>
  <c r="G40" i="25"/>
  <c r="G58"/>
  <c r="G39"/>
  <c r="G18"/>
  <c r="G40" i="29" s="1"/>
  <c r="G22" i="25"/>
  <c r="G44" i="29" s="1"/>
  <c r="G37" i="25"/>
  <c r="G57"/>
  <c r="G20"/>
  <c r="G42" i="29" s="1"/>
  <c r="G55" i="25"/>
  <c r="G56"/>
  <c r="G41"/>
  <c r="G59"/>
  <c r="G5" i="21"/>
  <c r="G7" i="46" s="1"/>
  <c r="G19" i="25"/>
  <c r="G41" i="29" s="1"/>
  <c r="G38" i="25"/>
  <c r="F6" i="48" l="1"/>
  <c r="F7" s="1"/>
  <c r="G67" i="29"/>
  <c r="G17"/>
  <c r="G16"/>
  <c r="G30"/>
  <c r="G13"/>
  <c r="G15"/>
  <c r="G76"/>
  <c r="G39"/>
  <c r="G14"/>
  <c r="G53"/>
  <c r="G16" i="46"/>
  <c r="G6"/>
  <c r="G15"/>
  <c r="G9"/>
  <c r="G13"/>
  <c r="G5"/>
  <c r="G54" i="29"/>
  <c r="G52"/>
  <c r="G8" i="46"/>
  <c r="G51" i="29"/>
  <c r="G14" i="46"/>
  <c r="G63" i="25"/>
  <c r="G26"/>
  <c r="H14" i="34"/>
  <c r="G45" i="25"/>
  <c r="H16" i="33"/>
  <c r="H60" i="29" s="1"/>
  <c r="H15" i="33"/>
  <c r="H19"/>
  <c r="H63" i="29" s="1"/>
  <c r="H18" i="33"/>
  <c r="H62" i="29" s="1"/>
  <c r="G7" i="25"/>
  <c r="H17" i="33"/>
  <c r="H61" i="29" s="1"/>
  <c r="G54" i="25"/>
  <c r="H9" i="33"/>
  <c r="H25" i="29" s="1"/>
  <c r="H5" i="34"/>
  <c r="G36" i="25"/>
  <c r="G17"/>
  <c r="G6"/>
  <c r="H8" i="33"/>
  <c r="H24" i="29" s="1"/>
  <c r="H7" i="33"/>
  <c r="H23" i="29" s="1"/>
  <c r="H6" i="33"/>
  <c r="H22" i="29" s="1"/>
  <c r="H10" i="33"/>
  <c r="H26" i="29" s="1"/>
  <c r="G50"/>
  <c r="F12" i="51" l="1"/>
  <c r="F14" s="1"/>
  <c r="G11" i="25"/>
  <c r="H15" i="21"/>
  <c r="H59" i="29"/>
  <c r="H58" s="1"/>
  <c r="H21"/>
  <c r="G12" i="25"/>
  <c r="G49" i="29"/>
  <c r="H16" i="21"/>
  <c r="H19"/>
  <c r="H17"/>
  <c r="H14" i="33"/>
  <c r="H18" i="21"/>
  <c r="G12" i="29"/>
  <c r="H9" i="21"/>
  <c r="H5" i="33"/>
  <c r="H6" i="21"/>
  <c r="H10"/>
  <c r="H7"/>
  <c r="H8"/>
  <c r="G8" i="25"/>
  <c r="G11" i="48" s="1"/>
  <c r="G13" l="1"/>
  <c r="G6" s="1"/>
  <c r="G13" i="51"/>
  <c r="H71" i="29"/>
  <c r="I18" i="34"/>
  <c r="H68" i="29"/>
  <c r="I15" i="34"/>
  <c r="H70" i="29"/>
  <c r="I17" i="34"/>
  <c r="H72" i="29"/>
  <c r="I19" i="34"/>
  <c r="H69" i="29"/>
  <c r="I16" i="34"/>
  <c r="H34" i="29"/>
  <c r="I9" i="34"/>
  <c r="H33" i="29"/>
  <c r="I8" i="34"/>
  <c r="H32" i="29"/>
  <c r="I7" i="34"/>
  <c r="H35" i="29"/>
  <c r="I10" i="34"/>
  <c r="H31" i="29"/>
  <c r="I6" i="34"/>
  <c r="G13" i="25"/>
  <c r="G5" i="48" s="1"/>
  <c r="H64" i="25"/>
  <c r="H27"/>
  <c r="H77" i="29" s="1"/>
  <c r="H46" i="25"/>
  <c r="H21"/>
  <c r="H43" i="29" s="1"/>
  <c r="H47" i="25"/>
  <c r="H65"/>
  <c r="H28"/>
  <c r="H78" i="29" s="1"/>
  <c r="H49" i="25"/>
  <c r="H30"/>
  <c r="H80" i="29" s="1"/>
  <c r="H67" i="25"/>
  <c r="H29"/>
  <c r="H79" i="29" s="1"/>
  <c r="H66" i="25"/>
  <c r="H50"/>
  <c r="H68"/>
  <c r="H31"/>
  <c r="H81" i="29" s="1"/>
  <c r="H14" i="21"/>
  <c r="H13" i="46" s="1"/>
  <c r="D29" i="40" s="1"/>
  <c r="H48" i="25"/>
  <c r="H40"/>
  <c r="H58"/>
  <c r="H39"/>
  <c r="H56"/>
  <c r="H41"/>
  <c r="H18"/>
  <c r="H40" i="29" s="1"/>
  <c r="H55" i="25"/>
  <c r="H38"/>
  <c r="H19"/>
  <c r="H41" i="29" s="1"/>
  <c r="H20" i="25"/>
  <c r="H42" i="29" s="1"/>
  <c r="H5" i="21"/>
  <c r="H7" i="46" s="1"/>
  <c r="H57" i="25"/>
  <c r="H22"/>
  <c r="H44" i="29" s="1"/>
  <c r="H59" i="25"/>
  <c r="H37"/>
  <c r="G8" i="49" l="1"/>
  <c r="G10" s="1"/>
  <c r="G7" i="48"/>
  <c r="H16" i="29"/>
  <c r="H30"/>
  <c r="H50"/>
  <c r="H14"/>
  <c r="H67"/>
  <c r="H15"/>
  <c r="H17"/>
  <c r="H76"/>
  <c r="H39"/>
  <c r="H13"/>
  <c r="H14" i="46"/>
  <c r="D30" i="40" s="1"/>
  <c r="D23"/>
  <c r="H5" i="46"/>
  <c r="H54" i="29"/>
  <c r="H53"/>
  <c r="H16" i="46"/>
  <c r="D32" i="40" s="1"/>
  <c r="H8" i="46"/>
  <c r="H6"/>
  <c r="H17"/>
  <c r="D33" i="40" s="1"/>
  <c r="H9" i="46"/>
  <c r="H52" i="29"/>
  <c r="H15" i="46"/>
  <c r="D31" i="40" s="1"/>
  <c r="H45" i="25"/>
  <c r="I19" i="33"/>
  <c r="I63" i="29" s="1"/>
  <c r="H26" i="25"/>
  <c r="H63"/>
  <c r="H7"/>
  <c r="I17" i="33"/>
  <c r="I61" i="29" s="1"/>
  <c r="I15" i="33"/>
  <c r="I59" i="29" s="1"/>
  <c r="I16" i="33"/>
  <c r="I60" i="29" s="1"/>
  <c r="I14" i="34"/>
  <c r="I18" i="33"/>
  <c r="I62" i="29" s="1"/>
  <c r="H36" i="25"/>
  <c r="H17"/>
  <c r="H54"/>
  <c r="I7" i="33"/>
  <c r="I23" i="29" s="1"/>
  <c r="H6" i="25"/>
  <c r="I5" i="34"/>
  <c r="I10" i="33"/>
  <c r="I26" i="29" s="1"/>
  <c r="I9" i="33"/>
  <c r="I25" i="29" s="1"/>
  <c r="I8" i="33"/>
  <c r="I24" i="29" s="1"/>
  <c r="I6" i="33"/>
  <c r="I22" i="29" s="1"/>
  <c r="H51"/>
  <c r="G12" i="51" l="1"/>
  <c r="G14" s="1"/>
  <c r="H11" i="25"/>
  <c r="I58" i="29"/>
  <c r="I21"/>
  <c r="D25" i="40"/>
  <c r="D22"/>
  <c r="D24"/>
  <c r="D21"/>
  <c r="H12" i="25"/>
  <c r="H49" i="29"/>
  <c r="I16" i="21"/>
  <c r="I19"/>
  <c r="I17"/>
  <c r="I15"/>
  <c r="I18"/>
  <c r="I14" i="33"/>
  <c r="H12" i="29"/>
  <c r="I10" i="21"/>
  <c r="I7"/>
  <c r="H8" i="25"/>
  <c r="H11" i="48" s="1"/>
  <c r="I6" i="21"/>
  <c r="I5" i="33"/>
  <c r="I9" i="21"/>
  <c r="I8"/>
  <c r="H13" i="48" l="1"/>
  <c r="H8" i="49" s="1"/>
  <c r="H10" s="1"/>
  <c r="H13" i="51"/>
  <c r="I70" i="29"/>
  <c r="J17" i="34"/>
  <c r="I72" i="29"/>
  <c r="J19" i="34"/>
  <c r="I69" i="29"/>
  <c r="J16" i="34"/>
  <c r="I71" i="29"/>
  <c r="J18" i="34"/>
  <c r="I68" i="29"/>
  <c r="J15" i="34"/>
  <c r="I31" i="29"/>
  <c r="J6" i="34"/>
  <c r="I32" i="29"/>
  <c r="J7" i="34"/>
  <c r="I35" i="29"/>
  <c r="J10" i="34"/>
  <c r="I33" i="29"/>
  <c r="J8" i="34"/>
  <c r="I34" i="29"/>
  <c r="J9" i="34"/>
  <c r="H13" i="25"/>
  <c r="H5" i="48" s="1"/>
  <c r="D37" i="40" s="1"/>
  <c r="I68" i="25"/>
  <c r="I65"/>
  <c r="I47"/>
  <c r="I28"/>
  <c r="I78" i="29" s="1"/>
  <c r="I46" i="25"/>
  <c r="I50"/>
  <c r="I48"/>
  <c r="I31"/>
  <c r="I81" i="29" s="1"/>
  <c r="I29" i="25"/>
  <c r="I79" i="29" s="1"/>
  <c r="I67" i="25"/>
  <c r="I66"/>
  <c r="I30"/>
  <c r="I80" i="29" s="1"/>
  <c r="I49" i="25"/>
  <c r="I27"/>
  <c r="I77" i="29" s="1"/>
  <c r="I64" i="25"/>
  <c r="I14" i="21"/>
  <c r="I17" i="46" s="1"/>
  <c r="I38" i="25"/>
  <c r="I55"/>
  <c r="I22"/>
  <c r="I44" i="29" s="1"/>
  <c r="I59" i="25"/>
  <c r="I41"/>
  <c r="I37"/>
  <c r="I56"/>
  <c r="I19"/>
  <c r="I41" i="29" s="1"/>
  <c r="I18" i="25"/>
  <c r="I40" i="29" s="1"/>
  <c r="I21" i="25"/>
  <c r="I43" i="29" s="1"/>
  <c r="I5" i="21"/>
  <c r="I6" i="46" s="1"/>
  <c r="I40" i="25"/>
  <c r="I58"/>
  <c r="I57"/>
  <c r="I39"/>
  <c r="I20"/>
  <c r="I42" i="29" s="1"/>
  <c r="H6" i="48" l="1"/>
  <c r="H12" i="51"/>
  <c r="H14" s="1"/>
  <c r="I16" i="29"/>
  <c r="I13"/>
  <c r="I30"/>
  <c r="I67"/>
  <c r="I14"/>
  <c r="I15"/>
  <c r="I76"/>
  <c r="I39"/>
  <c r="I17"/>
  <c r="I14" i="46"/>
  <c r="I52" i="29"/>
  <c r="I53"/>
  <c r="I8" i="46"/>
  <c r="I5"/>
  <c r="I7"/>
  <c r="I9"/>
  <c r="I51" i="29"/>
  <c r="I13" i="46"/>
  <c r="I16"/>
  <c r="I15"/>
  <c r="J18" i="33"/>
  <c r="J62" i="29" s="1"/>
  <c r="I45" i="25"/>
  <c r="I54" i="29"/>
  <c r="J16" i="33"/>
  <c r="J60" i="29" s="1"/>
  <c r="J14" i="34"/>
  <c r="J15" i="33"/>
  <c r="J59" i="29" s="1"/>
  <c r="I63" i="25"/>
  <c r="I26"/>
  <c r="I7"/>
  <c r="J17" i="33"/>
  <c r="J61" i="29" s="1"/>
  <c r="J19" i="33"/>
  <c r="J63" i="29" s="1"/>
  <c r="J10" i="33"/>
  <c r="J26" i="29" s="1"/>
  <c r="J6" i="33"/>
  <c r="J22" i="29" s="1"/>
  <c r="J8" i="33"/>
  <c r="J24" i="29" s="1"/>
  <c r="J5" i="34"/>
  <c r="I36" i="25"/>
  <c r="I54"/>
  <c r="I6"/>
  <c r="I17"/>
  <c r="J7" i="33"/>
  <c r="J23" i="29" s="1"/>
  <c r="J9" i="33"/>
  <c r="J25" i="29" s="1"/>
  <c r="I50"/>
  <c r="H7" i="48" l="1"/>
  <c r="D39" i="40" s="1"/>
  <c r="D38"/>
  <c r="I11" i="25"/>
  <c r="J58" i="29"/>
  <c r="J21"/>
  <c r="I12" i="25"/>
  <c r="J19" i="21"/>
  <c r="I49" i="29"/>
  <c r="J18" i="21"/>
  <c r="J16"/>
  <c r="J15"/>
  <c r="J17"/>
  <c r="J14" i="33"/>
  <c r="I12" i="29"/>
  <c r="J10" i="21"/>
  <c r="J6"/>
  <c r="J9"/>
  <c r="J8"/>
  <c r="I8" i="25"/>
  <c r="I11" i="48" s="1"/>
  <c r="J7" i="21"/>
  <c r="J5" i="33"/>
  <c r="I13" i="48" l="1"/>
  <c r="I8" i="49" s="1"/>
  <c r="I10" s="1"/>
  <c r="I13" i="51"/>
  <c r="J70" i="29"/>
  <c r="K17" i="34"/>
  <c r="J68" i="29"/>
  <c r="K15" i="34"/>
  <c r="J69" i="29"/>
  <c r="K16" i="34"/>
  <c r="J71" i="29"/>
  <c r="K18" i="34"/>
  <c r="J72" i="29"/>
  <c r="K19" i="34"/>
  <c r="J32" i="29"/>
  <c r="K7" i="34"/>
  <c r="J33" i="29"/>
  <c r="K8" i="34"/>
  <c r="J34" i="29"/>
  <c r="K9" i="34"/>
  <c r="J31" i="29"/>
  <c r="K6" i="34"/>
  <c r="J35" i="29"/>
  <c r="K10" i="34"/>
  <c r="I13" i="25"/>
  <c r="I5" i="48" s="1"/>
  <c r="J31" i="25"/>
  <c r="J81" i="29" s="1"/>
  <c r="J50" i="25"/>
  <c r="J68"/>
  <c r="J28"/>
  <c r="J78" i="29" s="1"/>
  <c r="J47" i="25"/>
  <c r="J65"/>
  <c r="J67"/>
  <c r="J30"/>
  <c r="J80" i="29" s="1"/>
  <c r="J49" i="25"/>
  <c r="J46"/>
  <c r="J64"/>
  <c r="J27"/>
  <c r="J77" i="29" s="1"/>
  <c r="J48" i="25"/>
  <c r="J29"/>
  <c r="J79" i="29" s="1"/>
  <c r="J14" i="21"/>
  <c r="J16" i="46" s="1"/>
  <c r="J66" i="25"/>
  <c r="J41"/>
  <c r="J22"/>
  <c r="J44" i="29" s="1"/>
  <c r="J59" i="25"/>
  <c r="J20"/>
  <c r="J42" i="29" s="1"/>
  <c r="J58" i="25"/>
  <c r="J19"/>
  <c r="J41" i="29" s="1"/>
  <c r="J21" i="25"/>
  <c r="J43" i="29" s="1"/>
  <c r="J55" i="25"/>
  <c r="J40"/>
  <c r="J18"/>
  <c r="J40" i="29" s="1"/>
  <c r="J37" i="25"/>
  <c r="J39"/>
  <c r="J57"/>
  <c r="J56"/>
  <c r="J5" i="21"/>
  <c r="J7" i="46" s="1"/>
  <c r="J38" i="25"/>
  <c r="I6" i="48" l="1"/>
  <c r="I7" s="1"/>
  <c r="I12" i="51"/>
  <c r="I14" s="1"/>
  <c r="J30" i="29"/>
  <c r="J14"/>
  <c r="J17"/>
  <c r="J67"/>
  <c r="J16"/>
  <c r="J15"/>
  <c r="J76"/>
  <c r="J39"/>
  <c r="J13"/>
  <c r="J51"/>
  <c r="J53"/>
  <c r="J6" i="46"/>
  <c r="J52" i="29"/>
  <c r="J54"/>
  <c r="J9" i="46"/>
  <c r="J14"/>
  <c r="J5"/>
  <c r="J8"/>
  <c r="J13"/>
  <c r="J17"/>
  <c r="J15"/>
  <c r="K19" i="33"/>
  <c r="K63" i="29" s="1"/>
  <c r="J63" i="25"/>
  <c r="J45"/>
  <c r="K17" i="33"/>
  <c r="K61" i="29" s="1"/>
  <c r="K14" i="34"/>
  <c r="K18" i="33"/>
  <c r="K62" i="29" s="1"/>
  <c r="K15" i="33"/>
  <c r="K59" i="29" s="1"/>
  <c r="K16" i="33"/>
  <c r="K60" i="29" s="1"/>
  <c r="J26" i="25"/>
  <c r="J7"/>
  <c r="J6"/>
  <c r="K7" i="33"/>
  <c r="K23" i="29" s="1"/>
  <c r="J36" i="25"/>
  <c r="J17"/>
  <c r="J54"/>
  <c r="K10" i="33"/>
  <c r="K26" i="29" s="1"/>
  <c r="K5" i="34"/>
  <c r="K8" i="33"/>
  <c r="K24" i="29" s="1"/>
  <c r="K6" i="33"/>
  <c r="K22" i="29" s="1"/>
  <c r="K9" i="33"/>
  <c r="K25" i="29" s="1"/>
  <c r="J50"/>
  <c r="J11" i="25" l="1"/>
  <c r="K58" i="29"/>
  <c r="K21"/>
  <c r="J12" i="25"/>
  <c r="J49" i="29"/>
  <c r="K19" i="21"/>
  <c r="L19" i="34" s="1"/>
  <c r="K15" i="21"/>
  <c r="K17"/>
  <c r="K14" i="33"/>
  <c r="K16" i="21"/>
  <c r="K18"/>
  <c r="J8" i="25"/>
  <c r="J11" i="48" s="1"/>
  <c r="K6" i="21"/>
  <c r="K8"/>
  <c r="K7"/>
  <c r="J12" i="29"/>
  <c r="K10" i="21"/>
  <c r="K5" i="33"/>
  <c r="K9" i="21"/>
  <c r="J13" i="48" l="1"/>
  <c r="J8" i="49" s="1"/>
  <c r="J10" s="1"/>
  <c r="J13" i="51"/>
  <c r="K71" i="29"/>
  <c r="L18" i="34"/>
  <c r="K69" i="29"/>
  <c r="L16" i="34"/>
  <c r="K70" i="29"/>
  <c r="L17" i="34"/>
  <c r="K68" i="29"/>
  <c r="L15" i="34"/>
  <c r="K34" i="29"/>
  <c r="L9" i="34"/>
  <c r="K35" i="29"/>
  <c r="L10" i="34"/>
  <c r="K32" i="29"/>
  <c r="L7" i="34"/>
  <c r="K33" i="29"/>
  <c r="L8" i="34"/>
  <c r="K31" i="29"/>
  <c r="L6" i="34"/>
  <c r="J13" i="25"/>
  <c r="J5" i="48" s="1"/>
  <c r="K31" i="25"/>
  <c r="K81" i="29" s="1"/>
  <c r="K72"/>
  <c r="K59" i="25"/>
  <c r="K68"/>
  <c r="K29"/>
  <c r="K79" i="29" s="1"/>
  <c r="K46" i="25"/>
  <c r="K27"/>
  <c r="K77" i="29" s="1"/>
  <c r="K50" i="25"/>
  <c r="K67"/>
  <c r="K30"/>
  <c r="K66"/>
  <c r="K14" i="21"/>
  <c r="K16" i="46" s="1"/>
  <c r="K28" i="25"/>
  <c r="K78" i="29" s="1"/>
  <c r="K64" i="25"/>
  <c r="K48"/>
  <c r="K65"/>
  <c r="K47"/>
  <c r="K49"/>
  <c r="K57"/>
  <c r="K56"/>
  <c r="K38"/>
  <c r="K19"/>
  <c r="K41" i="29" s="1"/>
  <c r="K39" i="25"/>
  <c r="K18"/>
  <c r="K40" i="29" s="1"/>
  <c r="K55" i="25"/>
  <c r="K37"/>
  <c r="K22"/>
  <c r="K44" i="29" s="1"/>
  <c r="K20" i="25"/>
  <c r="K42" i="29" s="1"/>
  <c r="K41" i="25"/>
  <c r="K5" i="21"/>
  <c r="K5" i="46" s="1"/>
  <c r="K21" i="25"/>
  <c r="K43" i="29" s="1"/>
  <c r="K58" i="25"/>
  <c r="K40"/>
  <c r="J6" i="48" l="1"/>
  <c r="J7" s="1"/>
  <c r="K13" i="29"/>
  <c r="K16"/>
  <c r="J12" i="51"/>
  <c r="J14" s="1"/>
  <c r="K30" i="29"/>
  <c r="K15"/>
  <c r="K17"/>
  <c r="K67"/>
  <c r="K14"/>
  <c r="K54"/>
  <c r="K80"/>
  <c r="K76" s="1"/>
  <c r="K39"/>
  <c r="K51"/>
  <c r="K13" i="46"/>
  <c r="K6"/>
  <c r="K7"/>
  <c r="K9"/>
  <c r="K15"/>
  <c r="K8"/>
  <c r="K14"/>
  <c r="K17"/>
  <c r="K52" i="29"/>
  <c r="K26" i="25"/>
  <c r="K63"/>
  <c r="K7"/>
  <c r="L15" i="33"/>
  <c r="L59" i="29" s="1"/>
  <c r="L14" i="34"/>
  <c r="L19" i="33"/>
  <c r="L63" i="29" s="1"/>
  <c r="L17" i="33"/>
  <c r="L61" i="29" s="1"/>
  <c r="K45" i="25"/>
  <c r="L16" i="33"/>
  <c r="L60" i="29" s="1"/>
  <c r="L18" i="33"/>
  <c r="L62" i="29" s="1"/>
  <c r="K54" i="25"/>
  <c r="L6" i="33"/>
  <c r="L22" i="29" s="1"/>
  <c r="K36" i="25"/>
  <c r="L8" i="33"/>
  <c r="L24" i="29" s="1"/>
  <c r="L5" i="34"/>
  <c r="L10" i="33"/>
  <c r="L26" i="29" s="1"/>
  <c r="L9" i="33"/>
  <c r="L25" i="29" s="1"/>
  <c r="K6" i="25"/>
  <c r="K17"/>
  <c r="L7" i="33"/>
  <c r="L23" i="29" s="1"/>
  <c r="K11" i="25" l="1"/>
  <c r="K53" i="29"/>
  <c r="L58"/>
  <c r="L21"/>
  <c r="K12" i="25"/>
  <c r="L18" i="21"/>
  <c r="L15"/>
  <c r="L16"/>
  <c r="K50" i="29"/>
  <c r="L17" i="21"/>
  <c r="L19"/>
  <c r="L14" i="33"/>
  <c r="K12" i="29"/>
  <c r="L8" i="21"/>
  <c r="L9"/>
  <c r="L6"/>
  <c r="L5" i="33"/>
  <c r="K8" i="25"/>
  <c r="K11" i="48" s="1"/>
  <c r="L10" i="21"/>
  <c r="L7"/>
  <c r="K13" i="48" l="1"/>
  <c r="K6" s="1"/>
  <c r="L69" i="29"/>
  <c r="M16" i="34"/>
  <c r="L68" i="29"/>
  <c r="M15" i="34"/>
  <c r="L71" i="29"/>
  <c r="M18" i="34"/>
  <c r="L72" i="29"/>
  <c r="M19" i="34"/>
  <c r="L70" i="29"/>
  <c r="M17" i="34"/>
  <c r="L34" i="29"/>
  <c r="M9" i="34"/>
  <c r="L32" i="29"/>
  <c r="M7" i="34"/>
  <c r="L35" i="29"/>
  <c r="M10" i="34"/>
  <c r="L31" i="29"/>
  <c r="M6" i="34"/>
  <c r="L33" i="29"/>
  <c r="M8" i="34"/>
  <c r="K13" i="25"/>
  <c r="K5" i="48" s="1"/>
  <c r="K49" i="29"/>
  <c r="K13" i="51" s="1"/>
  <c r="L49" i="25"/>
  <c r="L67"/>
  <c r="L30"/>
  <c r="L80" i="29" s="1"/>
  <c r="L64" i="25"/>
  <c r="L65"/>
  <c r="L28"/>
  <c r="L78" i="29" s="1"/>
  <c r="L27" i="25"/>
  <c r="L77" i="29" s="1"/>
  <c r="L46" i="25"/>
  <c r="L47"/>
  <c r="L50"/>
  <c r="L29"/>
  <c r="L79" i="29" s="1"/>
  <c r="L14" i="21"/>
  <c r="L15" i="46" s="1"/>
  <c r="L48" i="25"/>
  <c r="L68"/>
  <c r="L66"/>
  <c r="L31"/>
  <c r="L81" i="29" s="1"/>
  <c r="L55" i="25"/>
  <c r="L57"/>
  <c r="L37"/>
  <c r="L39"/>
  <c r="L20"/>
  <c r="L42" i="29" s="1"/>
  <c r="L15" s="1"/>
  <c r="L18" i="25"/>
  <c r="L40" i="29" s="1"/>
  <c r="L21" i="25"/>
  <c r="L43" i="29" s="1"/>
  <c r="L58" i="25"/>
  <c r="L40"/>
  <c r="L56"/>
  <c r="L59"/>
  <c r="L41"/>
  <c r="L22"/>
  <c r="L44" i="29" s="1"/>
  <c r="L5" i="21"/>
  <c r="L7" i="46" s="1"/>
  <c r="L38" i="25"/>
  <c r="L19"/>
  <c r="L41" i="29" s="1"/>
  <c r="K8" i="49" l="1"/>
  <c r="K10" s="1"/>
  <c r="K12" i="51" s="1"/>
  <c r="K14" s="1"/>
  <c r="L17" i="29"/>
  <c r="K7" i="48"/>
  <c r="L16" i="29"/>
  <c r="L67"/>
  <c r="L14"/>
  <c r="L30"/>
  <c r="L76"/>
  <c r="L39"/>
  <c r="L13"/>
  <c r="L52"/>
  <c r="L13" i="46"/>
  <c r="L9"/>
  <c r="L6"/>
  <c r="L17"/>
  <c r="L5"/>
  <c r="L8"/>
  <c r="L53" i="29"/>
  <c r="L54"/>
  <c r="L14" i="46"/>
  <c r="L16"/>
  <c r="L51" i="29"/>
  <c r="L45" i="25"/>
  <c r="L63"/>
  <c r="M17" i="33"/>
  <c r="M61" i="29" s="1"/>
  <c r="M16" i="33"/>
  <c r="M60" i="29" s="1"/>
  <c r="L7" i="25"/>
  <c r="M19" i="33"/>
  <c r="M63" i="29" s="1"/>
  <c r="M14" i="34"/>
  <c r="M18" i="33"/>
  <c r="M62" i="29" s="1"/>
  <c r="M15" i="33"/>
  <c r="M59" i="29" s="1"/>
  <c r="L26" i="25"/>
  <c r="M5" i="34"/>
  <c r="L54" i="25"/>
  <c r="M8" i="33"/>
  <c r="M24" i="29" s="1"/>
  <c r="M10" i="33"/>
  <c r="M26" i="29" s="1"/>
  <c r="M9" i="33"/>
  <c r="M25" i="29" s="1"/>
  <c r="M7" i="33"/>
  <c r="M23" i="29" s="1"/>
  <c r="M6" i="33"/>
  <c r="M22" i="29" s="1"/>
  <c r="L36" i="25"/>
  <c r="L6"/>
  <c r="L17"/>
  <c r="L50" i="29"/>
  <c r="L11" i="25" l="1"/>
  <c r="M58" i="29"/>
  <c r="M21"/>
  <c r="L12" i="25"/>
  <c r="L49" i="29"/>
  <c r="M16" i="21"/>
  <c r="N16" i="34" s="1"/>
  <c r="M19" i="21"/>
  <c r="M17"/>
  <c r="M18"/>
  <c r="M15"/>
  <c r="M14" i="33"/>
  <c r="L12" i="29"/>
  <c r="M9" i="21"/>
  <c r="M10"/>
  <c r="M6"/>
  <c r="M7"/>
  <c r="M8"/>
  <c r="M5" i="33"/>
  <c r="L8" i="25"/>
  <c r="L11" i="48" s="1"/>
  <c r="L13" l="1"/>
  <c r="L6" s="1"/>
  <c r="L13" i="51"/>
  <c r="M68" i="29"/>
  <c r="N15" i="34"/>
  <c r="M71" i="29"/>
  <c r="N18" i="34"/>
  <c r="M70" i="29"/>
  <c r="N17" i="34"/>
  <c r="M72" i="29"/>
  <c r="N19" i="34"/>
  <c r="M34" i="29"/>
  <c r="N9" i="34"/>
  <c r="M33" i="29"/>
  <c r="N8" i="34"/>
  <c r="M32" i="29"/>
  <c r="N7" i="34"/>
  <c r="M31" i="29"/>
  <c r="N6" i="34"/>
  <c r="M35" i="29"/>
  <c r="N10" i="34"/>
  <c r="L13" i="25"/>
  <c r="L5" i="48" s="1"/>
  <c r="M47" i="25"/>
  <c r="M69" i="29"/>
  <c r="M65" i="25"/>
  <c r="M28"/>
  <c r="M78" i="29" s="1"/>
  <c r="M27" i="25"/>
  <c r="M77" i="29" s="1"/>
  <c r="M68" i="25"/>
  <c r="M31"/>
  <c r="M50"/>
  <c r="M67"/>
  <c r="M30"/>
  <c r="M80" i="29" s="1"/>
  <c r="M66" i="25"/>
  <c r="M29"/>
  <c r="M48"/>
  <c r="M22"/>
  <c r="M44" i="29" s="1"/>
  <c r="M17" s="1"/>
  <c r="M46" i="25"/>
  <c r="M49"/>
  <c r="M14" i="21"/>
  <c r="M15" i="46" s="1"/>
  <c r="E31" i="40" s="1"/>
  <c r="M64" i="25"/>
  <c r="M59"/>
  <c r="M41"/>
  <c r="M40"/>
  <c r="M58"/>
  <c r="M39"/>
  <c r="M5" i="21"/>
  <c r="M6" i="46" s="1"/>
  <c r="M57" i="25"/>
  <c r="M20"/>
  <c r="M42" i="29" s="1"/>
  <c r="M21" i="25"/>
  <c r="M43" i="29" s="1"/>
  <c r="M37" i="25"/>
  <c r="M55"/>
  <c r="M18"/>
  <c r="M40" i="29" s="1"/>
  <c r="M19" i="25"/>
  <c r="M41" i="29" s="1"/>
  <c r="M56" i="25"/>
  <c r="M38"/>
  <c r="L8" i="49" l="1"/>
  <c r="L10" s="1"/>
  <c r="L12" i="51" s="1"/>
  <c r="L14" s="1"/>
  <c r="L7" i="48"/>
  <c r="M15" i="29"/>
  <c r="M16"/>
  <c r="M67"/>
  <c r="M30"/>
  <c r="M14"/>
  <c r="M13"/>
  <c r="M81"/>
  <c r="M54" s="1"/>
  <c r="M79"/>
  <c r="M52" s="1"/>
  <c r="M39"/>
  <c r="E22" i="40"/>
  <c r="M51" i="29"/>
  <c r="M5" i="46"/>
  <c r="M8"/>
  <c r="M9"/>
  <c r="M7"/>
  <c r="M16"/>
  <c r="E32" i="40" s="1"/>
  <c r="M13" i="46"/>
  <c r="E29" i="40" s="1"/>
  <c r="M17" i="46"/>
  <c r="E33" i="40" s="1"/>
  <c r="M53" i="29"/>
  <c r="M14" i="46"/>
  <c r="E30" i="40" s="1"/>
  <c r="N17" i="33"/>
  <c r="N61" i="29" s="1"/>
  <c r="M45" i="25"/>
  <c r="N15" i="33"/>
  <c r="N59" i="29" s="1"/>
  <c r="N18" i="33"/>
  <c r="N62" i="29" s="1"/>
  <c r="M63" i="25"/>
  <c r="M26"/>
  <c r="N14" i="34"/>
  <c r="M7" i="25"/>
  <c r="N16" i="33"/>
  <c r="N60" i="29" s="1"/>
  <c r="N19" i="33"/>
  <c r="N63" i="29" s="1"/>
  <c r="N6" i="33"/>
  <c r="M36" i="25"/>
  <c r="N10" i="33"/>
  <c r="N26" i="29" s="1"/>
  <c r="N7" i="33"/>
  <c r="N23" i="29" s="1"/>
  <c r="M54" i="25"/>
  <c r="N8" i="33"/>
  <c r="N24" i="29" s="1"/>
  <c r="N5" i="34"/>
  <c r="N9" i="33"/>
  <c r="N25" i="29" s="1"/>
  <c r="M6" i="25"/>
  <c r="M17"/>
  <c r="M50" i="29"/>
  <c r="M11" i="25" l="1"/>
  <c r="N17" i="21"/>
  <c r="M76" i="29"/>
  <c r="N58"/>
  <c r="N6" i="21"/>
  <c r="N22" i="29"/>
  <c r="M49"/>
  <c r="E23" i="40"/>
  <c r="E25"/>
  <c r="E24"/>
  <c r="E21"/>
  <c r="M12" i="25"/>
  <c r="M12" i="29"/>
  <c r="N19" i="21"/>
  <c r="N15"/>
  <c r="N16"/>
  <c r="M8" i="25"/>
  <c r="M11" i="48" s="1"/>
  <c r="N18" i="21"/>
  <c r="N14" i="33"/>
  <c r="N10" i="21"/>
  <c r="N7"/>
  <c r="N8"/>
  <c r="N9"/>
  <c r="N5" i="33"/>
  <c r="M13" i="48" l="1"/>
  <c r="M6" s="1"/>
  <c r="M13" i="51"/>
  <c r="N72" i="29"/>
  <c r="O19" i="34"/>
  <c r="N71" i="29"/>
  <c r="O18" i="34"/>
  <c r="N70" i="29"/>
  <c r="O17" i="34"/>
  <c r="N69" i="29"/>
  <c r="O16" i="34"/>
  <c r="N68" i="29"/>
  <c r="O15" i="34"/>
  <c r="N33" i="29"/>
  <c r="O8" i="34"/>
  <c r="N32" i="29"/>
  <c r="O7" i="34"/>
  <c r="N31" i="29"/>
  <c r="O6" i="34"/>
  <c r="N35" i="29"/>
  <c r="O10" i="34"/>
  <c r="N34" i="29"/>
  <c r="O9" i="34"/>
  <c r="M13" i="25"/>
  <c r="M5" i="48" s="1"/>
  <c r="E37" i="40" s="1"/>
  <c r="N55" i="25"/>
  <c r="N18"/>
  <c r="N40" i="29" s="1"/>
  <c r="N48" i="25"/>
  <c r="N66"/>
  <c r="N29"/>
  <c r="N79" i="29" s="1"/>
  <c r="N37" i="25"/>
  <c r="N21" i="29"/>
  <c r="N67" i="25"/>
  <c r="N27"/>
  <c r="N77" i="29" s="1"/>
  <c r="N49" i="25"/>
  <c r="N64"/>
  <c r="N46"/>
  <c r="N50"/>
  <c r="N31"/>
  <c r="N81" i="29" s="1"/>
  <c r="N68" i="25"/>
  <c r="N47"/>
  <c r="N65"/>
  <c r="N14" i="21"/>
  <c r="N15" i="46" s="1"/>
  <c r="N28" i="25"/>
  <c r="N78" i="29" s="1"/>
  <c r="N30" i="25"/>
  <c r="N80" i="29" s="1"/>
  <c r="N22" i="25"/>
  <c r="N44" i="29" s="1"/>
  <c r="N59" i="25"/>
  <c r="N41"/>
  <c r="N56"/>
  <c r="N19"/>
  <c r="N41" i="29" s="1"/>
  <c r="N38" i="25"/>
  <c r="N21"/>
  <c r="N43" i="29" s="1"/>
  <c r="N39" i="25"/>
  <c r="N20"/>
  <c r="N42" i="29" s="1"/>
  <c r="N5" i="21"/>
  <c r="N5" i="46" s="1"/>
  <c r="N57" i="25"/>
  <c r="N40"/>
  <c r="N58"/>
  <c r="M8" i="49" l="1"/>
  <c r="M10" s="1"/>
  <c r="M12" i="51" s="1"/>
  <c r="M14" s="1"/>
  <c r="N52" i="29"/>
  <c r="N16"/>
  <c r="N15"/>
  <c r="N30"/>
  <c r="N67"/>
  <c r="N14"/>
  <c r="N17"/>
  <c r="N13"/>
  <c r="N76"/>
  <c r="N39"/>
  <c r="N54"/>
  <c r="N6" i="46"/>
  <c r="N7"/>
  <c r="N8"/>
  <c r="N51" i="29"/>
  <c r="N9" i="46"/>
  <c r="N17"/>
  <c r="N16"/>
  <c r="N53" i="29"/>
  <c r="N14" i="46"/>
  <c r="N13"/>
  <c r="O17" i="33"/>
  <c r="O61" i="29" s="1"/>
  <c r="N7" i="25"/>
  <c r="N45"/>
  <c r="N63"/>
  <c r="O15" i="33"/>
  <c r="O59" i="29" s="1"/>
  <c r="N26" i="25"/>
  <c r="O19" i="33"/>
  <c r="O63" i="29" s="1"/>
  <c r="O14" i="34"/>
  <c r="O16" i="33"/>
  <c r="O60" i="29" s="1"/>
  <c r="O18" i="33"/>
  <c r="O62" i="29" s="1"/>
  <c r="O7" i="33"/>
  <c r="O23" i="29" s="1"/>
  <c r="N54" i="25"/>
  <c r="N36"/>
  <c r="O5" i="34"/>
  <c r="N17" i="25"/>
  <c r="O8" i="33"/>
  <c r="O24" i="29" s="1"/>
  <c r="N6" i="25"/>
  <c r="O6" i="33"/>
  <c r="O22" i="29" s="1"/>
  <c r="O10" i="33"/>
  <c r="O26" i="29" s="1"/>
  <c r="O9" i="33"/>
  <c r="O25" i="29" s="1"/>
  <c r="N50"/>
  <c r="M7" i="48" l="1"/>
  <c r="E39" i="40" s="1"/>
  <c r="E38"/>
  <c r="N11" i="25"/>
  <c r="O17" i="21"/>
  <c r="O58" i="29"/>
  <c r="O21"/>
  <c r="N12" i="25"/>
  <c r="N12" i="29"/>
  <c r="N49"/>
  <c r="O18" i="21"/>
  <c r="P18" i="34" s="1"/>
  <c r="O16" i="21"/>
  <c r="O19"/>
  <c r="O15"/>
  <c r="O14" i="33"/>
  <c r="O8" i="21"/>
  <c r="O7"/>
  <c r="O10"/>
  <c r="N8" i="25"/>
  <c r="N11" i="48" s="1"/>
  <c r="O6" i="21"/>
  <c r="O5" i="33"/>
  <c r="O9" i="21"/>
  <c r="N13" i="48" l="1"/>
  <c r="N8" i="49" s="1"/>
  <c r="N10" s="1"/>
  <c r="N13" i="51"/>
  <c r="O68" i="29"/>
  <c r="P15" i="34"/>
  <c r="O72" i="29"/>
  <c r="P19" i="34"/>
  <c r="O70" i="29"/>
  <c r="P17" i="34"/>
  <c r="O69" i="29"/>
  <c r="P16" i="34"/>
  <c r="O33" i="29"/>
  <c r="P8" i="34"/>
  <c r="O34" i="29"/>
  <c r="P9" i="34"/>
  <c r="O31" i="29"/>
  <c r="P6" i="34"/>
  <c r="O35" i="29"/>
  <c r="P10" i="34"/>
  <c r="O32" i="29"/>
  <c r="P7" i="34"/>
  <c r="N13" i="25"/>
  <c r="N5" i="48" s="1"/>
  <c r="O29" i="25"/>
  <c r="O79" i="29" s="1"/>
  <c r="O48" i="25"/>
  <c r="O66"/>
  <c r="O30"/>
  <c r="O80" i="29" s="1"/>
  <c r="O71"/>
  <c r="O49" i="25"/>
  <c r="O67"/>
  <c r="O31"/>
  <c r="O81" i="29" s="1"/>
  <c r="O68" i="25"/>
  <c r="O50"/>
  <c r="O46"/>
  <c r="O65"/>
  <c r="O47"/>
  <c r="O28"/>
  <c r="O78" i="29" s="1"/>
  <c r="O14" i="21"/>
  <c r="O15" i="46" s="1"/>
  <c r="O27" i="25"/>
  <c r="O77" i="29" s="1"/>
  <c r="O64" i="25"/>
  <c r="O39"/>
  <c r="O20"/>
  <c r="O42" i="29" s="1"/>
  <c r="O57" i="25"/>
  <c r="O38"/>
  <c r="O56"/>
  <c r="O19"/>
  <c r="O41" i="29" s="1"/>
  <c r="O55" i="25"/>
  <c r="O37"/>
  <c r="O22"/>
  <c r="O44" i="29" s="1"/>
  <c r="O59" i="25"/>
  <c r="O41"/>
  <c r="O18"/>
  <c r="O40" i="29" s="1"/>
  <c r="O58" i="25"/>
  <c r="O40"/>
  <c r="O5" i="21"/>
  <c r="O5" i="46" s="1"/>
  <c r="O21" i="25"/>
  <c r="O43" i="29" s="1"/>
  <c r="O16" l="1"/>
  <c r="N6" i="48"/>
  <c r="N7" s="1"/>
  <c r="N12" i="51"/>
  <c r="N14" s="1"/>
  <c r="O52" i="29"/>
  <c r="O15"/>
  <c r="O30"/>
  <c r="O13"/>
  <c r="O67"/>
  <c r="O17"/>
  <c r="O53"/>
  <c r="O76"/>
  <c r="O39"/>
  <c r="O14"/>
  <c r="O54"/>
  <c r="O51"/>
  <c r="O13" i="46"/>
  <c r="O6"/>
  <c r="O9"/>
  <c r="O7"/>
  <c r="O8"/>
  <c r="O16"/>
  <c r="O17"/>
  <c r="O14"/>
  <c r="P17" i="33"/>
  <c r="P61" i="29" s="1"/>
  <c r="O45" i="25"/>
  <c r="O63"/>
  <c r="O26"/>
  <c r="O7"/>
  <c r="P18" i="33"/>
  <c r="P62" i="29" s="1"/>
  <c r="P14" i="34"/>
  <c r="P15" i="33"/>
  <c r="P59" i="29" s="1"/>
  <c r="P16" i="33"/>
  <c r="P60" i="29" s="1"/>
  <c r="P19" i="33"/>
  <c r="P63" i="29" s="1"/>
  <c r="P7" i="33"/>
  <c r="P23" i="29" s="1"/>
  <c r="P9" i="33"/>
  <c r="P25" i="29" s="1"/>
  <c r="P6" i="33"/>
  <c r="P22" i="29" s="1"/>
  <c r="O36" i="25"/>
  <c r="O54"/>
  <c r="P5" i="34"/>
  <c r="O17" i="25"/>
  <c r="P10" i="33"/>
  <c r="P26" i="29" s="1"/>
  <c r="O6" i="25"/>
  <c r="P8" i="33"/>
  <c r="P24" i="29" s="1"/>
  <c r="O50"/>
  <c r="O11" i="25" l="1"/>
  <c r="P58" i="29"/>
  <c r="P21"/>
  <c r="O12" i="25"/>
  <c r="O49" i="29"/>
  <c r="O12"/>
  <c r="P17" i="21"/>
  <c r="Q17" i="34" s="1"/>
  <c r="P18" i="21"/>
  <c r="P14" i="33"/>
  <c r="P16" i="21"/>
  <c r="P19"/>
  <c r="P15"/>
  <c r="P7"/>
  <c r="P9"/>
  <c r="P6"/>
  <c r="P10"/>
  <c r="P8"/>
  <c r="O8" i="25"/>
  <c r="O11" i="48" s="1"/>
  <c r="P5" i="33"/>
  <c r="O13" i="48" l="1"/>
  <c r="O8" i="49" s="1"/>
  <c r="O10" s="1"/>
  <c r="O13" i="51"/>
  <c r="P68" i="29"/>
  <c r="Q15" i="34"/>
  <c r="P69" i="29"/>
  <c r="Q16" i="34"/>
  <c r="P71" i="29"/>
  <c r="Q18" i="34"/>
  <c r="P72" i="29"/>
  <c r="Q19" i="34"/>
  <c r="P34" i="29"/>
  <c r="Q9" i="34"/>
  <c r="P32" i="29"/>
  <c r="Q7" i="34"/>
  <c r="P33" i="29"/>
  <c r="Q8" i="34"/>
  <c r="P35" i="29"/>
  <c r="Q10" i="34"/>
  <c r="P31" i="29"/>
  <c r="Q6" i="34"/>
  <c r="O13" i="25"/>
  <c r="O5" i="48" s="1"/>
  <c r="P29" i="25"/>
  <c r="P79" i="29" s="1"/>
  <c r="P70"/>
  <c r="P48" i="25"/>
  <c r="P66"/>
  <c r="P67"/>
  <c r="P49"/>
  <c r="P30"/>
  <c r="P80" i="29" s="1"/>
  <c r="P31" i="25"/>
  <c r="P81" i="29" s="1"/>
  <c r="P64" i="25"/>
  <c r="P46"/>
  <c r="P68"/>
  <c r="P47"/>
  <c r="P14" i="21"/>
  <c r="P14" i="46" s="1"/>
  <c r="P65" i="25"/>
  <c r="P28"/>
  <c r="P78" i="29" s="1"/>
  <c r="P27" i="25"/>
  <c r="P77" i="29" s="1"/>
  <c r="P50" i="25"/>
  <c r="P19"/>
  <c r="P41" i="29" s="1"/>
  <c r="P56" i="25"/>
  <c r="P38"/>
  <c r="P20"/>
  <c r="P42" i="29" s="1"/>
  <c r="P57" i="25"/>
  <c r="P59"/>
  <c r="P41"/>
  <c r="P40"/>
  <c r="P58"/>
  <c r="P21"/>
  <c r="P43" i="29" s="1"/>
  <c r="P22" i="25"/>
  <c r="P44" i="29" s="1"/>
  <c r="P39" i="25"/>
  <c r="P55"/>
  <c r="P5" i="21"/>
  <c r="P6" i="46" s="1"/>
  <c r="P18" i="25"/>
  <c r="P40" i="29" s="1"/>
  <c r="P37" i="25"/>
  <c r="O6" i="48" l="1"/>
  <c r="O7" s="1"/>
  <c r="P13" i="29"/>
  <c r="O12" i="51"/>
  <c r="O14" s="1"/>
  <c r="P16" i="29"/>
  <c r="P30"/>
  <c r="P17"/>
  <c r="P14"/>
  <c r="P67"/>
  <c r="P15"/>
  <c r="P52"/>
  <c r="P76"/>
  <c r="P39"/>
  <c r="P8" i="46"/>
  <c r="P5"/>
  <c r="P9"/>
  <c r="P51" i="29"/>
  <c r="P17" i="46"/>
  <c r="P54" i="29"/>
  <c r="P7" i="46"/>
  <c r="P53" i="29"/>
  <c r="P16" i="46"/>
  <c r="P13"/>
  <c r="P15"/>
  <c r="P7" i="25"/>
  <c r="P63"/>
  <c r="Q18" i="33"/>
  <c r="Q62" i="29" s="1"/>
  <c r="Q15" i="33"/>
  <c r="Q59" i="29" s="1"/>
  <c r="P45" i="25"/>
  <c r="Q14" i="34"/>
  <c r="Q17" i="33"/>
  <c r="Q61" i="29" s="1"/>
  <c r="P26" i="25"/>
  <c r="Q16" i="33"/>
  <c r="Q60" i="29" s="1"/>
  <c r="Q19" i="33"/>
  <c r="Q63" i="29" s="1"/>
  <c r="Q7" i="33"/>
  <c r="Q23" i="29" s="1"/>
  <c r="Q10" i="33"/>
  <c r="Q26" i="29" s="1"/>
  <c r="P36" i="25"/>
  <c r="Q9" i="33"/>
  <c r="Q25" i="29" s="1"/>
  <c r="Q6" i="33"/>
  <c r="Q22" i="29" s="1"/>
  <c r="Q5" i="34"/>
  <c r="Q8" i="33"/>
  <c r="Q24" i="29" s="1"/>
  <c r="P6" i="25"/>
  <c r="P54"/>
  <c r="P17"/>
  <c r="P50" i="29"/>
  <c r="P11" i="25" l="1"/>
  <c r="Q58" i="29"/>
  <c r="Q21"/>
  <c r="P12" i="25"/>
  <c r="P12" i="29"/>
  <c r="P49"/>
  <c r="Q15" i="21"/>
  <c r="R15" i="34" s="1"/>
  <c r="Q18" i="21"/>
  <c r="R18" i="34" s="1"/>
  <c r="Q14" i="33"/>
  <c r="Q16" i="21"/>
  <c r="Q17"/>
  <c r="Q19"/>
  <c r="Q7"/>
  <c r="Q6"/>
  <c r="Q10"/>
  <c r="Q9"/>
  <c r="Q5" i="33"/>
  <c r="P8" i="25"/>
  <c r="P11" i="48" s="1"/>
  <c r="Q8" i="21"/>
  <c r="P13" i="48" l="1"/>
  <c r="P6" s="1"/>
  <c r="P13" i="51"/>
  <c r="Q72" i="29"/>
  <c r="R19" i="34"/>
  <c r="Q70" i="29"/>
  <c r="R17" i="34"/>
  <c r="Q69" i="29"/>
  <c r="R16" i="34"/>
  <c r="Q32" i="29"/>
  <c r="R7" i="34"/>
  <c r="Q35" i="29"/>
  <c r="R10" i="34"/>
  <c r="Q33" i="29"/>
  <c r="R8" i="34"/>
  <c r="Q34" i="29"/>
  <c r="R9" i="34"/>
  <c r="Q31" i="29"/>
  <c r="R6" i="34"/>
  <c r="P13" i="25"/>
  <c r="P5" i="48" s="1"/>
  <c r="Q49" i="25"/>
  <c r="Q71" i="29"/>
  <c r="Q46" i="25"/>
  <c r="Q68" i="29"/>
  <c r="Q64" i="25"/>
  <c r="Q67"/>
  <c r="Q27"/>
  <c r="Q77" i="29" s="1"/>
  <c r="Q30" i="25"/>
  <c r="Q80" i="29" s="1"/>
  <c r="Q65" i="25"/>
  <c r="Q28"/>
  <c r="Q78" i="29" s="1"/>
  <c r="Q47" i="25"/>
  <c r="Q50"/>
  <c r="Q31"/>
  <c r="Q68"/>
  <c r="Q14" i="21"/>
  <c r="Q15" i="46" s="1"/>
  <c r="Q29" i="25"/>
  <c r="Q79" i="29" s="1"/>
  <c r="Q48" i="25"/>
  <c r="Q66"/>
  <c r="Q18"/>
  <c r="Q40" i="29" s="1"/>
  <c r="Q41" i="25"/>
  <c r="Q56"/>
  <c r="Q22"/>
  <c r="Q44" i="29" s="1"/>
  <c r="Q59" i="25"/>
  <c r="Q39"/>
  <c r="Q57"/>
  <c r="Q55"/>
  <c r="Q40"/>
  <c r="Q38"/>
  <c r="Q19"/>
  <c r="Q41" i="29" s="1"/>
  <c r="Q21" i="25"/>
  <c r="Q43" i="29" s="1"/>
  <c r="Q58" i="25"/>
  <c r="Q37"/>
  <c r="Q20"/>
  <c r="Q42" i="29" s="1"/>
  <c r="Q5" i="21"/>
  <c r="Q8" i="46" s="1"/>
  <c r="P8" i="49" l="1"/>
  <c r="P10" s="1"/>
  <c r="P12" i="51" s="1"/>
  <c r="P14" s="1"/>
  <c r="P7" i="48"/>
  <c r="Q15" i="29"/>
  <c r="Q14"/>
  <c r="Q13"/>
  <c r="Q30"/>
  <c r="Q16"/>
  <c r="Q67"/>
  <c r="Q81"/>
  <c r="Q76" s="1"/>
  <c r="Q39"/>
  <c r="Q17"/>
  <c r="Q7" i="46"/>
  <c r="Q5"/>
  <c r="Q9"/>
  <c r="Q52" i="29"/>
  <c r="Q51"/>
  <c r="Q17" i="46"/>
  <c r="Q6"/>
  <c r="Q53" i="29"/>
  <c r="Q16" i="46"/>
  <c r="Q14"/>
  <c r="Q13"/>
  <c r="R14" i="34"/>
  <c r="Q63" i="25"/>
  <c r="R18" i="33"/>
  <c r="R62" i="29" s="1"/>
  <c r="R17" i="33"/>
  <c r="R61" i="29" s="1"/>
  <c r="Q45" i="25"/>
  <c r="R19" i="33"/>
  <c r="R63" i="29" s="1"/>
  <c r="R16" i="33"/>
  <c r="R60" i="29" s="1"/>
  <c r="Q7" i="25"/>
  <c r="Q26"/>
  <c r="R15" i="33"/>
  <c r="R59" i="29" s="1"/>
  <c r="R9" i="33"/>
  <c r="R25" i="29" s="1"/>
  <c r="Q17" i="25"/>
  <c r="Q54"/>
  <c r="R8" i="33"/>
  <c r="R24" i="29" s="1"/>
  <c r="R7" i="33"/>
  <c r="R23" i="29" s="1"/>
  <c r="R5" i="34"/>
  <c r="R10" i="33"/>
  <c r="R26" i="29" s="1"/>
  <c r="R6" i="33"/>
  <c r="R22" i="29" s="1"/>
  <c r="Q36" i="25"/>
  <c r="Q6"/>
  <c r="Q50" i="29"/>
  <c r="Q12" l="1"/>
  <c r="Q11" i="25"/>
  <c r="R58" i="29"/>
  <c r="Q54"/>
  <c r="Q49" s="1"/>
  <c r="R21"/>
  <c r="Q12" i="25"/>
  <c r="R17" i="21"/>
  <c r="S17" i="34" s="1"/>
  <c r="R16" i="21"/>
  <c r="R18"/>
  <c r="Q8" i="25"/>
  <c r="Q11" i="48" s="1"/>
  <c r="R19" i="21"/>
  <c r="R15"/>
  <c r="R14" i="33"/>
  <c r="R9" i="21"/>
  <c r="R8"/>
  <c r="R7"/>
  <c r="R10"/>
  <c r="R5" i="33"/>
  <c r="R6" i="21"/>
  <c r="Q13" i="48" l="1"/>
  <c r="Q6" s="1"/>
  <c r="Q13" i="51"/>
  <c r="R68" i="29"/>
  <c r="S15" i="34"/>
  <c r="R72" i="29"/>
  <c r="S19" i="34"/>
  <c r="R71" i="29"/>
  <c r="S18" i="34"/>
  <c r="R69" i="29"/>
  <c r="S16" i="34"/>
  <c r="R34" i="29"/>
  <c r="S9" i="34"/>
  <c r="R31" i="29"/>
  <c r="S6" i="34"/>
  <c r="R35" i="29"/>
  <c r="S10" i="34"/>
  <c r="R32" i="29"/>
  <c r="S7" i="34"/>
  <c r="R33" i="29"/>
  <c r="S8" i="34"/>
  <c r="Q13" i="25"/>
  <c r="Q5" i="48" s="1"/>
  <c r="R66" i="25"/>
  <c r="R70" i="29"/>
  <c r="R29" i="25"/>
  <c r="R79" i="29" s="1"/>
  <c r="R48" i="25"/>
  <c r="R47"/>
  <c r="R28"/>
  <c r="R65"/>
  <c r="R30"/>
  <c r="R80" i="29" s="1"/>
  <c r="R49" i="25"/>
  <c r="R67"/>
  <c r="R68"/>
  <c r="R50"/>
  <c r="R31"/>
  <c r="R81" i="29" s="1"/>
  <c r="R38" i="25"/>
  <c r="R27"/>
  <c r="R77" i="29" s="1"/>
  <c r="R64" i="25"/>
  <c r="R14" i="21"/>
  <c r="R17" i="46" s="1"/>
  <c r="F33" i="40" s="1"/>
  <c r="R46" i="25"/>
  <c r="R56"/>
  <c r="R22"/>
  <c r="R44" i="29" s="1"/>
  <c r="R19" i="25"/>
  <c r="R41" i="29" s="1"/>
  <c r="R58" i="25"/>
  <c r="R40"/>
  <c r="R21"/>
  <c r="R43" i="29" s="1"/>
  <c r="R41" i="25"/>
  <c r="R37"/>
  <c r="R59"/>
  <c r="R57"/>
  <c r="R39"/>
  <c r="R20"/>
  <c r="R42" i="29" s="1"/>
  <c r="R15" s="1"/>
  <c r="R18" i="25"/>
  <c r="R40" i="29" s="1"/>
  <c r="R55" i="25"/>
  <c r="R5" i="21"/>
  <c r="R9" i="46" s="1"/>
  <c r="Q8" i="49" l="1"/>
  <c r="Q10" s="1"/>
  <c r="Q12" i="51" s="1"/>
  <c r="Q14" s="1"/>
  <c r="R16" i="29"/>
  <c r="Q7" i="48"/>
  <c r="R13" i="29"/>
  <c r="R67"/>
  <c r="R30"/>
  <c r="R17"/>
  <c r="R14"/>
  <c r="R78"/>
  <c r="R51" s="1"/>
  <c r="R39"/>
  <c r="R52"/>
  <c r="F25" i="40"/>
  <c r="R54" i="29"/>
  <c r="R7" i="46"/>
  <c r="R6"/>
  <c r="R5"/>
  <c r="R13"/>
  <c r="F29" i="40" s="1"/>
  <c r="R8" i="46"/>
  <c r="R14"/>
  <c r="F30" i="40" s="1"/>
  <c r="R16" i="46"/>
  <c r="F32" i="40" s="1"/>
  <c r="R15" i="46"/>
  <c r="F31" i="40" s="1"/>
  <c r="R53" i="29"/>
  <c r="S17" i="33"/>
  <c r="S61" i="29" s="1"/>
  <c r="R45" i="25"/>
  <c r="R63"/>
  <c r="S18" i="33"/>
  <c r="S62" i="29" s="1"/>
  <c r="S16" i="33"/>
  <c r="S60" i="29" s="1"/>
  <c r="R26" i="25"/>
  <c r="S15" i="33"/>
  <c r="S59" i="29" s="1"/>
  <c r="S19" i="33"/>
  <c r="S63" i="29" s="1"/>
  <c r="S14" i="34"/>
  <c r="R7" i="25"/>
  <c r="S10" i="33"/>
  <c r="S26" i="29" s="1"/>
  <c r="R17" i="25"/>
  <c r="R36"/>
  <c r="R6"/>
  <c r="R54"/>
  <c r="S5" i="34"/>
  <c r="S7" i="33"/>
  <c r="S23" i="29" s="1"/>
  <c r="S9" i="33"/>
  <c r="S25" i="29" s="1"/>
  <c r="S8" i="33"/>
  <c r="S24" i="29" s="1"/>
  <c r="S6" i="33"/>
  <c r="S22" i="29" s="1"/>
  <c r="R11" i="25" l="1"/>
  <c r="S58" i="29"/>
  <c r="R76"/>
  <c r="S21"/>
  <c r="F24" i="40"/>
  <c r="F21"/>
  <c r="F22"/>
  <c r="R12" i="29"/>
  <c r="F23" i="40"/>
  <c r="R12" i="25"/>
  <c r="S19" i="21"/>
  <c r="T19" i="34" s="1"/>
  <c r="S15" i="21"/>
  <c r="T15" i="34" s="1"/>
  <c r="S18" i="21"/>
  <c r="S17"/>
  <c r="S14" i="33"/>
  <c r="S16" i="21"/>
  <c r="R50" i="29"/>
  <c r="R49" s="1"/>
  <c r="R8" i="25"/>
  <c r="R11" i="48" s="1"/>
  <c r="S7" i="21"/>
  <c r="S10"/>
  <c r="S9"/>
  <c r="S6"/>
  <c r="S5" i="33"/>
  <c r="S8" i="21"/>
  <c r="R13" i="48" l="1"/>
  <c r="R8" i="49" s="1"/>
  <c r="R10" s="1"/>
  <c r="R13" i="51"/>
  <c r="S71" i="29"/>
  <c r="T18" i="34"/>
  <c r="S69" i="29"/>
  <c r="T16" i="34"/>
  <c r="S70" i="29"/>
  <c r="T17" i="34"/>
  <c r="S34" i="29"/>
  <c r="T9" i="34"/>
  <c r="S35" i="29"/>
  <c r="T10" i="34"/>
  <c r="S32" i="29"/>
  <c r="T7" i="34"/>
  <c r="S33" i="29"/>
  <c r="T8" i="34"/>
  <c r="S31" i="29"/>
  <c r="T6" i="34"/>
  <c r="R13" i="25"/>
  <c r="R5" i="48" s="1"/>
  <c r="F37" i="40" s="1"/>
  <c r="S27" i="25"/>
  <c r="S77" i="29" s="1"/>
  <c r="S68"/>
  <c r="S31" i="25"/>
  <c r="S81" i="29" s="1"/>
  <c r="S72"/>
  <c r="S68" i="25"/>
  <c r="S50"/>
  <c r="S64"/>
  <c r="S28"/>
  <c r="S78" i="29" s="1"/>
  <c r="S46" i="25"/>
  <c r="S49"/>
  <c r="S66"/>
  <c r="S29"/>
  <c r="S79" i="29" s="1"/>
  <c r="S67" i="25"/>
  <c r="S48"/>
  <c r="S30"/>
  <c r="S80" i="29" s="1"/>
  <c r="S14" i="21"/>
  <c r="S15" i="46" s="1"/>
  <c r="S65" i="25"/>
  <c r="S47"/>
  <c r="S38"/>
  <c r="S40"/>
  <c r="S58"/>
  <c r="S21"/>
  <c r="S43" i="29" s="1"/>
  <c r="S19" i="25"/>
  <c r="S41" i="29" s="1"/>
  <c r="S56" i="25"/>
  <c r="S41"/>
  <c r="S59"/>
  <c r="S22"/>
  <c r="S44" i="29" s="1"/>
  <c r="S37" i="25"/>
  <c r="S39"/>
  <c r="S18"/>
  <c r="S40" i="29" s="1"/>
  <c r="S55" i="25"/>
  <c r="S20"/>
  <c r="S42" i="29" s="1"/>
  <c r="S57" i="25"/>
  <c r="S5" i="21"/>
  <c r="S5" i="46" s="1"/>
  <c r="R6" i="48" l="1"/>
  <c r="R12" i="51"/>
  <c r="R14" s="1"/>
  <c r="S17" i="29"/>
  <c r="S14"/>
  <c r="S16"/>
  <c r="S30"/>
  <c r="S13"/>
  <c r="S15"/>
  <c r="S54"/>
  <c r="S50"/>
  <c r="S67"/>
  <c r="S76"/>
  <c r="S39"/>
  <c r="S52"/>
  <c r="S7" i="46"/>
  <c r="T15" i="33"/>
  <c r="T59" i="29" s="1"/>
  <c r="S9" i="46"/>
  <c r="S6"/>
  <c r="S8"/>
  <c r="S14"/>
  <c r="S13"/>
  <c r="S16"/>
  <c r="S17"/>
  <c r="T14" i="34"/>
  <c r="T17" i="33"/>
  <c r="T61" i="29" s="1"/>
  <c r="T18" i="33"/>
  <c r="T62" i="29" s="1"/>
  <c r="T16" i="33"/>
  <c r="T60" i="29" s="1"/>
  <c r="S7" i="25"/>
  <c r="T19" i="33"/>
  <c r="T63" i="29" s="1"/>
  <c r="S51"/>
  <c r="S63" i="25"/>
  <c r="S53" i="29"/>
  <c r="S45" i="25"/>
  <c r="S26"/>
  <c r="T9" i="33"/>
  <c r="T25" i="29" s="1"/>
  <c r="S36" i="25"/>
  <c r="T7" i="33"/>
  <c r="T23" i="29" s="1"/>
  <c r="T8" i="33"/>
  <c r="T24" i="29" s="1"/>
  <c r="S6" i="25"/>
  <c r="T10" i="33"/>
  <c r="T26" i="29" s="1"/>
  <c r="T5" i="34"/>
  <c r="S54" i="25"/>
  <c r="T6" i="33"/>
  <c r="T22" i="29" s="1"/>
  <c r="S17" i="25"/>
  <c r="R7" i="48" l="1"/>
  <c r="F39" i="40" s="1"/>
  <c r="F38"/>
  <c r="S11" i="25"/>
  <c r="T15" i="21"/>
  <c r="T58" i="29"/>
  <c r="T21"/>
  <c r="T18" i="21"/>
  <c r="S12" i="25"/>
  <c r="S12" i="29"/>
  <c r="T17" i="21"/>
  <c r="U17" i="34" s="1"/>
  <c r="T16" i="21"/>
  <c r="U16" i="34" s="1"/>
  <c r="S49" i="29"/>
  <c r="T19" i="21"/>
  <c r="S8" i="25"/>
  <c r="S11" i="48" s="1"/>
  <c r="T14" i="33"/>
  <c r="T9" i="21"/>
  <c r="T10"/>
  <c r="T8"/>
  <c r="T7"/>
  <c r="T5" i="33"/>
  <c r="T6" i="21"/>
  <c r="S13" i="48" l="1"/>
  <c r="S6" s="1"/>
  <c r="S13" i="51"/>
  <c r="T30" i="25"/>
  <c r="T80" i="29" s="1"/>
  <c r="U18" i="34"/>
  <c r="T72" i="29"/>
  <c r="U19" i="34"/>
  <c r="T68" i="29"/>
  <c r="U15" i="34"/>
  <c r="T31" i="29"/>
  <c r="U6" i="34"/>
  <c r="T32" i="29"/>
  <c r="U7" i="34"/>
  <c r="T33" i="29"/>
  <c r="U8" i="34"/>
  <c r="T35" i="29"/>
  <c r="U10" i="34"/>
  <c r="T34" i="29"/>
  <c r="U9" i="34"/>
  <c r="T64" i="25"/>
  <c r="T46"/>
  <c r="T27"/>
  <c r="T77" i="29" s="1"/>
  <c r="T29" i="25"/>
  <c r="T79" i="29" s="1"/>
  <c r="T70"/>
  <c r="T69"/>
  <c r="T49" i="25"/>
  <c r="T71" i="29"/>
  <c r="T67" i="25"/>
  <c r="S13"/>
  <c r="S5" i="48" s="1"/>
  <c r="T66" i="25"/>
  <c r="T47"/>
  <c r="T14" i="21"/>
  <c r="T17" i="46" s="1"/>
  <c r="T48" i="25"/>
  <c r="T68"/>
  <c r="T50"/>
  <c r="T65"/>
  <c r="T31"/>
  <c r="T81" i="29" s="1"/>
  <c r="T28" i="25"/>
  <c r="T78" i="29" s="1"/>
  <c r="T41" i="25"/>
  <c r="T22"/>
  <c r="T44" i="29" s="1"/>
  <c r="T19" i="25"/>
  <c r="T41" i="29" s="1"/>
  <c r="T56" i="25"/>
  <c r="T57"/>
  <c r="T40"/>
  <c r="T59"/>
  <c r="T58"/>
  <c r="T37"/>
  <c r="T21"/>
  <c r="T43" i="29" s="1"/>
  <c r="T20" i="25"/>
  <c r="T42" i="29" s="1"/>
  <c r="T5" i="21"/>
  <c r="T7" i="46" s="1"/>
  <c r="T38" i="25"/>
  <c r="T39"/>
  <c r="T55"/>
  <c r="T18"/>
  <c r="T40" i="29" s="1"/>
  <c r="S8" i="49" l="1"/>
  <c r="S10" s="1"/>
  <c r="S12" i="51" s="1"/>
  <c r="S14" s="1"/>
  <c r="S7" i="48"/>
  <c r="T14" i="29"/>
  <c r="T53"/>
  <c r="T16"/>
  <c r="T17"/>
  <c r="T30"/>
  <c r="T15"/>
  <c r="T52"/>
  <c r="U18" i="33"/>
  <c r="U62" i="29" s="1"/>
  <c r="T76"/>
  <c r="T67"/>
  <c r="T39"/>
  <c r="T13"/>
  <c r="T63" i="25"/>
  <c r="T12" s="1"/>
  <c r="T14" i="46"/>
  <c r="T16"/>
  <c r="T5"/>
  <c r="T15"/>
  <c r="T13"/>
  <c r="U17" i="33"/>
  <c r="U61" i="29" s="1"/>
  <c r="T51"/>
  <c r="T54"/>
  <c r="T6" i="46"/>
  <c r="T9"/>
  <c r="T8"/>
  <c r="T45" i="25"/>
  <c r="U16" i="33"/>
  <c r="U60" i="29" s="1"/>
  <c r="U15" i="33"/>
  <c r="U19"/>
  <c r="U63" i="29" s="1"/>
  <c r="T26" i="25"/>
  <c r="U14" i="34"/>
  <c r="T7" i="25"/>
  <c r="U7" i="33"/>
  <c r="U23" i="29" s="1"/>
  <c r="U10" i="33"/>
  <c r="U26" i="29" s="1"/>
  <c r="T36" i="25"/>
  <c r="T54"/>
  <c r="U6" i="33"/>
  <c r="U22" i="29" s="1"/>
  <c r="U8" i="33"/>
  <c r="U24" i="29" s="1"/>
  <c r="U5" i="34"/>
  <c r="U9" i="33"/>
  <c r="U25" i="29" s="1"/>
  <c r="T6" i="25"/>
  <c r="T17"/>
  <c r="T50" i="29"/>
  <c r="T11" i="25" l="1"/>
  <c r="T13" s="1"/>
  <c r="T5" i="48" s="1"/>
  <c r="U18" i="21"/>
  <c r="U15"/>
  <c r="U59" i="29"/>
  <c r="U58" s="1"/>
  <c r="U21"/>
  <c r="U19" i="21"/>
  <c r="T12" i="29"/>
  <c r="U16" i="21"/>
  <c r="U17"/>
  <c r="V17" i="34" s="1"/>
  <c r="T49" i="29"/>
  <c r="U14" i="33"/>
  <c r="U7" i="21"/>
  <c r="U10"/>
  <c r="U8"/>
  <c r="U6"/>
  <c r="U5" i="33"/>
  <c r="U9" i="21"/>
  <c r="T8" i="25"/>
  <c r="T11" i="48" s="1"/>
  <c r="T13" l="1"/>
  <c r="T6" s="1"/>
  <c r="T13" i="51"/>
  <c r="U68" i="29"/>
  <c r="V15" i="34"/>
  <c r="U71" i="29"/>
  <c r="V18" i="34"/>
  <c r="U69" i="29"/>
  <c r="V16" i="34"/>
  <c r="U68" i="25"/>
  <c r="V19" i="34"/>
  <c r="U35" i="29"/>
  <c r="V10" i="34"/>
  <c r="U32" i="29"/>
  <c r="V7" i="34"/>
  <c r="U34" i="29"/>
  <c r="V9" i="34"/>
  <c r="U31" i="29"/>
  <c r="V6" i="34"/>
  <c r="U33" i="29"/>
  <c r="V8" i="34"/>
  <c r="U30" i="25"/>
  <c r="U80" i="29" s="1"/>
  <c r="U53" s="1"/>
  <c r="U67" i="25"/>
  <c r="U49"/>
  <c r="U48"/>
  <c r="U70" i="29"/>
  <c r="U46" i="25"/>
  <c r="U64"/>
  <c r="U27"/>
  <c r="U77" i="29" s="1"/>
  <c r="U50" i="25"/>
  <c r="U72" i="29"/>
  <c r="U29" i="25"/>
  <c r="U79" i="29" s="1"/>
  <c r="U31" i="25"/>
  <c r="U28"/>
  <c r="U14" i="21"/>
  <c r="U13" i="46" s="1"/>
  <c r="U66" i="25"/>
  <c r="U47"/>
  <c r="U65"/>
  <c r="U59"/>
  <c r="U41"/>
  <c r="U22"/>
  <c r="U44" i="29" s="1"/>
  <c r="U39" i="25"/>
  <c r="U56"/>
  <c r="U58"/>
  <c r="U18"/>
  <c r="U40" i="29" s="1"/>
  <c r="U40" i="25"/>
  <c r="U38"/>
  <c r="U19"/>
  <c r="U41" i="29" s="1"/>
  <c r="U57" i="25"/>
  <c r="U20"/>
  <c r="U42" i="29" s="1"/>
  <c r="U5" i="21"/>
  <c r="U8" i="46" s="1"/>
  <c r="U55" i="25"/>
  <c r="U21"/>
  <c r="U43" i="29" s="1"/>
  <c r="U37" i="25"/>
  <c r="T8" i="49" l="1"/>
  <c r="T10" s="1"/>
  <c r="T12" i="51" s="1"/>
  <c r="T14" s="1"/>
  <c r="U50" i="29"/>
  <c r="T7" i="48"/>
  <c r="U16" i="29"/>
  <c r="U30"/>
  <c r="U14"/>
  <c r="U15"/>
  <c r="U17"/>
  <c r="U67"/>
  <c r="U45" i="25"/>
  <c r="U81" i="29"/>
  <c r="U54" s="1"/>
  <c r="U78"/>
  <c r="U39"/>
  <c r="U13"/>
  <c r="U63" i="25"/>
  <c r="U12" s="1"/>
  <c r="V14" i="34"/>
  <c r="U52" i="29"/>
  <c r="U15" i="46"/>
  <c r="U14"/>
  <c r="U16"/>
  <c r="U17"/>
  <c r="V17" i="33"/>
  <c r="V61" i="29" s="1"/>
  <c r="U26" i="25"/>
  <c r="U7"/>
  <c r="V16" i="33"/>
  <c r="V60" i="29" s="1"/>
  <c r="V19" i="33"/>
  <c r="V63" i="29" s="1"/>
  <c r="V18" i="33"/>
  <c r="V62" i="29" s="1"/>
  <c r="V15" i="33"/>
  <c r="V59" i="29" s="1"/>
  <c r="U6" i="46"/>
  <c r="U5"/>
  <c r="U7"/>
  <c r="U9"/>
  <c r="U36" i="25"/>
  <c r="U54"/>
  <c r="U17"/>
  <c r="V9" i="33"/>
  <c r="V25" i="29" s="1"/>
  <c r="V10" i="33"/>
  <c r="V26" i="29" s="1"/>
  <c r="V5" i="34"/>
  <c r="V6" i="33"/>
  <c r="V22" i="29" s="1"/>
  <c r="V7" i="33"/>
  <c r="V23" i="29" s="1"/>
  <c r="U6" i="25"/>
  <c r="V8" i="33"/>
  <c r="V24" i="29" s="1"/>
  <c r="U11" i="25" l="1"/>
  <c r="U13" s="1"/>
  <c r="U5" i="48" s="1"/>
  <c r="U76" i="29"/>
  <c r="V58"/>
  <c r="U51"/>
  <c r="U49" s="1"/>
  <c r="V21"/>
  <c r="V17" i="21"/>
  <c r="V18"/>
  <c r="V19"/>
  <c r="W19" i="34" s="1"/>
  <c r="V15" i="21"/>
  <c r="W15" i="34" s="1"/>
  <c r="U12" i="29"/>
  <c r="U8" i="25"/>
  <c r="U11" i="48" s="1"/>
  <c r="V14" i="33"/>
  <c r="V16" i="21"/>
  <c r="W16" i="34" s="1"/>
  <c r="V6" i="21"/>
  <c r="V9"/>
  <c r="V10"/>
  <c r="V8"/>
  <c r="V5" i="33"/>
  <c r="V7" i="21"/>
  <c r="U13" i="48" l="1"/>
  <c r="U8" i="49" s="1"/>
  <c r="U10" s="1"/>
  <c r="U13" i="51"/>
  <c r="V71" i="29"/>
  <c r="W18" i="34"/>
  <c r="V70" i="29"/>
  <c r="W17" i="34"/>
  <c r="V33" i="29"/>
  <c r="W8" i="34"/>
  <c r="V34" i="29"/>
  <c r="W9" i="34"/>
  <c r="V32" i="29"/>
  <c r="W7" i="34"/>
  <c r="V35" i="29"/>
  <c r="W10" i="34"/>
  <c r="V31" i="29"/>
  <c r="W6" i="34"/>
  <c r="V29" i="25"/>
  <c r="V79" i="29" s="1"/>
  <c r="V48" i="25"/>
  <c r="V66"/>
  <c r="V68"/>
  <c r="V64"/>
  <c r="V68" i="29"/>
  <c r="V31" i="25"/>
  <c r="V81" i="29" s="1"/>
  <c r="V72"/>
  <c r="V67" i="25"/>
  <c r="V47"/>
  <c r="V69" i="29"/>
  <c r="V49" i="25"/>
  <c r="V50"/>
  <c r="V30"/>
  <c r="V80" i="29" s="1"/>
  <c r="V27" i="25"/>
  <c r="V77" i="29" s="1"/>
  <c r="V46" i="25"/>
  <c r="V14" i="21"/>
  <c r="V13" i="46" s="1"/>
  <c r="V28" i="25"/>
  <c r="V78" i="29" s="1"/>
  <c r="V65" i="25"/>
  <c r="V57"/>
  <c r="V40"/>
  <c r="V21"/>
  <c r="V43" i="29" s="1"/>
  <c r="V37" i="25"/>
  <c r="V56"/>
  <c r="V55"/>
  <c r="V18"/>
  <c r="V40" i="29" s="1"/>
  <c r="V58" i="25"/>
  <c r="V41"/>
  <c r="V19"/>
  <c r="V41" i="29" s="1"/>
  <c r="V59" i="25"/>
  <c r="V38"/>
  <c r="V5" i="21"/>
  <c r="V8" i="46" s="1"/>
  <c r="V20" i="25"/>
  <c r="V42" i="29" s="1"/>
  <c r="V22" i="25"/>
  <c r="V44" i="29" s="1"/>
  <c r="V39" i="25"/>
  <c r="V16" i="29" l="1"/>
  <c r="U6" i="48"/>
  <c r="U7" s="1"/>
  <c r="U12" i="51"/>
  <c r="U14" s="1"/>
  <c r="V53" i="29"/>
  <c r="V14"/>
  <c r="V15"/>
  <c r="V30"/>
  <c r="V52"/>
  <c r="V17"/>
  <c r="W16" i="33"/>
  <c r="W60" i="29" s="1"/>
  <c r="V54"/>
  <c r="W14" i="34"/>
  <c r="V45" i="25"/>
  <c r="V67" i="29"/>
  <c r="V76"/>
  <c r="V63" i="25"/>
  <c r="V12" s="1"/>
  <c r="W19" i="33"/>
  <c r="W63" i="29" s="1"/>
  <c r="W15" i="33"/>
  <c r="W59" i="29" s="1"/>
  <c r="W17" i="33"/>
  <c r="W61" i="29" s="1"/>
  <c r="W18" i="33"/>
  <c r="W62" i="29" s="1"/>
  <c r="V26" i="25"/>
  <c r="V51" i="29"/>
  <c r="V39"/>
  <c r="V13"/>
  <c r="V17" i="46"/>
  <c r="V15"/>
  <c r="V7" i="25"/>
  <c r="V16" i="46"/>
  <c r="V14"/>
  <c r="V7"/>
  <c r="V6"/>
  <c r="V5"/>
  <c r="V9"/>
  <c r="V54" i="25"/>
  <c r="V36"/>
  <c r="W5" i="34"/>
  <c r="W9" i="33"/>
  <c r="W25" i="29" s="1"/>
  <c r="W7" i="33"/>
  <c r="W23" i="29" s="1"/>
  <c r="V6" i="25"/>
  <c r="V17"/>
  <c r="W10" i="33"/>
  <c r="W26" i="29" s="1"/>
  <c r="W6" i="33"/>
  <c r="W22" i="29" s="1"/>
  <c r="W8" i="33"/>
  <c r="W24" i="29" s="1"/>
  <c r="V50"/>
  <c r="W18" i="21" l="1"/>
  <c r="W71" i="29" s="1"/>
  <c r="V11" i="25"/>
  <c r="V13" s="1"/>
  <c r="V5" i="48" s="1"/>
  <c r="W16" i="21"/>
  <c r="W69" i="29" s="1"/>
  <c r="V49"/>
  <c r="W58"/>
  <c r="W19" i="21"/>
  <c r="W72" i="29" s="1"/>
  <c r="W15" i="21"/>
  <c r="W68" i="29" s="1"/>
  <c r="W14" i="33"/>
  <c r="W17" i="21"/>
  <c r="W70" i="29" s="1"/>
  <c r="W21"/>
  <c r="W7" i="21"/>
  <c r="W32" i="29" s="1"/>
  <c r="V12"/>
  <c r="V8" i="25"/>
  <c r="V11" i="48" s="1"/>
  <c r="W9" i="21"/>
  <c r="W34" i="29" s="1"/>
  <c r="W10" i="21"/>
  <c r="W35" i="29" s="1"/>
  <c r="W5" i="33"/>
  <c r="W8" i="21"/>
  <c r="W33" i="29" s="1"/>
  <c r="W6" i="21"/>
  <c r="W31" i="29" s="1"/>
  <c r="V13" i="48" l="1"/>
  <c r="V8" i="49" s="1"/>
  <c r="V10" s="1"/>
  <c r="V13" i="51"/>
  <c r="W30" i="25"/>
  <c r="W80" i="29" s="1"/>
  <c r="W53" s="1"/>
  <c r="W49" i="25"/>
  <c r="W67"/>
  <c r="W28"/>
  <c r="W78" i="29" s="1"/>
  <c r="W51" s="1"/>
  <c r="W67"/>
  <c r="W47" i="25"/>
  <c r="W65"/>
  <c r="W46"/>
  <c r="W50"/>
  <c r="W48"/>
  <c r="W29"/>
  <c r="W79" i="29" s="1"/>
  <c r="W52" s="1"/>
  <c r="W68" i="25"/>
  <c r="W31"/>
  <c r="W81" i="29" s="1"/>
  <c r="W54" s="1"/>
  <c r="W14" i="21"/>
  <c r="W14" i="46" s="1"/>
  <c r="G30" i="40" s="1"/>
  <c r="W66" i="25"/>
  <c r="W27"/>
  <c r="W77" i="29" s="1"/>
  <c r="W64" i="25"/>
  <c r="W30" i="29"/>
  <c r="W59" i="25"/>
  <c r="W19"/>
  <c r="W41" i="29" s="1"/>
  <c r="W38" i="25"/>
  <c r="W56"/>
  <c r="W40"/>
  <c r="W21"/>
  <c r="W43" i="29" s="1"/>
  <c r="W16" s="1"/>
  <c r="W57" i="25"/>
  <c r="W39"/>
  <c r="W20"/>
  <c r="W42" i="29" s="1"/>
  <c r="W15" s="1"/>
  <c r="W41" i="25"/>
  <c r="W58"/>
  <c r="W18"/>
  <c r="W40" i="29" s="1"/>
  <c r="W13" s="1"/>
  <c r="W55" i="25"/>
  <c r="W5" i="21"/>
  <c r="W6" i="46" s="1"/>
  <c r="W22" i="25"/>
  <c r="W44" i="29" s="1"/>
  <c r="W17" s="1"/>
  <c r="W37" i="25"/>
  <c r="V6" i="48" l="1"/>
  <c r="V7" s="1"/>
  <c r="V12" i="51"/>
  <c r="V14" s="1"/>
  <c r="W63" i="25"/>
  <c r="W12" s="1"/>
  <c r="W45"/>
  <c r="W76" i="29"/>
  <c r="W16" i="46"/>
  <c r="G32" i="40" s="1"/>
  <c r="W15" i="46"/>
  <c r="G31" i="40" s="1"/>
  <c r="E14"/>
  <c r="W26" i="25"/>
  <c r="W7"/>
  <c r="W17" i="46"/>
  <c r="G33" i="40" s="1"/>
  <c r="W50" i="29"/>
  <c r="W49" s="1"/>
  <c r="W13" i="46"/>
  <c r="G29" i="40" s="1"/>
  <c r="W39" i="29"/>
  <c r="W14"/>
  <c r="D14" i="40"/>
  <c r="G22"/>
  <c r="W9" i="46"/>
  <c r="W8"/>
  <c r="W5"/>
  <c r="W7"/>
  <c r="W17" i="25"/>
  <c r="W54"/>
  <c r="W6"/>
  <c r="W36"/>
  <c r="B6" i="29" l="1"/>
  <c r="E16" i="40"/>
  <c r="E15"/>
  <c r="W11" i="25"/>
  <c r="W13" s="1"/>
  <c r="W5" i="48" s="1"/>
  <c r="F14" i="40"/>
  <c r="E17"/>
  <c r="E13"/>
  <c r="G25"/>
  <c r="D17"/>
  <c r="D16"/>
  <c r="G24"/>
  <c r="G21"/>
  <c r="D13"/>
  <c r="D15"/>
  <c r="G23"/>
  <c r="W12" i="29"/>
  <c r="B5" s="1"/>
  <c r="W8" i="25"/>
  <c r="W11" i="48" s="1"/>
  <c r="G37" i="40" l="1"/>
  <c r="W13" i="48"/>
  <c r="W6" s="1"/>
  <c r="W13" i="51"/>
  <c r="F16" i="40"/>
  <c r="F15"/>
  <c r="B7" i="29"/>
  <c r="F13" i="40"/>
  <c r="F17"/>
  <c r="W8" i="49" l="1"/>
  <c r="W10" s="1"/>
  <c r="B5" i="51"/>
  <c r="C43" i="40"/>
  <c r="C7" i="29"/>
  <c r="W7" i="48" l="1"/>
  <c r="G39" i="40" s="1"/>
  <c r="G38"/>
  <c r="W12" i="51"/>
  <c r="W14" s="1"/>
  <c r="B7" s="1"/>
  <c r="B4" i="49"/>
  <c r="C45" i="40" l="1"/>
  <c r="B6" i="51"/>
  <c r="C44" i="40"/>
</calcChain>
</file>

<file path=xl/sharedStrings.xml><?xml version="1.0" encoding="utf-8"?>
<sst xmlns="http://schemas.openxmlformats.org/spreadsheetml/2006/main" count="247" uniqueCount="172">
  <si>
    <t>Water Heat Ending</t>
  </si>
  <si>
    <t>Existing Market Segment Code</t>
  </si>
  <si>
    <t>2015 Baseline Existing SH</t>
  </si>
  <si>
    <t>2015 Baseline Existing WH</t>
  </si>
  <si>
    <t>Retro WH</t>
  </si>
  <si>
    <t>Water heater size (gals)</t>
  </si>
  <si>
    <t>Dwelling Type</t>
  </si>
  <si>
    <t>Gas FAF</t>
  </si>
  <si>
    <t>Electric Resistance</t>
  </si>
  <si>
    <t>X&lt;=55</t>
  </si>
  <si>
    <t>SF</t>
  </si>
  <si>
    <t>HPWH</t>
  </si>
  <si>
    <t>Gas Tank</t>
  </si>
  <si>
    <t>Instant Gas</t>
  </si>
  <si>
    <t>Condensing Gas</t>
  </si>
  <si>
    <t>State</t>
  </si>
  <si>
    <t>Energy (mmBtu/ device/Yr)</t>
  </si>
  <si>
    <t>Electric Technology</t>
  </si>
  <si>
    <t>Electric</t>
  </si>
  <si>
    <t>Natural Gas</t>
  </si>
  <si>
    <t>WH Capital Cost (2012$/ device)</t>
  </si>
  <si>
    <t>WH O&amp;M Cost (2012$/ device/Yr)</t>
  </si>
  <si>
    <t>Basement</t>
  </si>
  <si>
    <t>Gas Availability</t>
  </si>
  <si>
    <t>Yes</t>
  </si>
  <si>
    <t>Existing</t>
  </si>
  <si>
    <t>Segments of Interest in ENERGY 2020 Study of Direct Use of Natural Gas</t>
  </si>
  <si>
    <t>and return of principal and on investment (including risk premiums and inflation: 1+ROIN+DRISK+INSM).</t>
  </si>
  <si>
    <t>Note:  Capital charge rate is defined as the annualization of device capital expenses over the life of the device, accounting for taxes, tax credits,</t>
  </si>
  <si>
    <t>Source:  "NPCC_SF_Tables_2013-08-30 with data on market share and electricity and natural gas retail prices.xlsx" from M. Jourabchi.</t>
  </si>
  <si>
    <t>Levelized Costs (2012$/Device/Yr)</t>
  </si>
  <si>
    <t>Negative values indicate resistance to a specified technology independent of price.</t>
  </si>
  <si>
    <t>Positive values indicate a propensity toward purchasing the given device independent of price considerations.</t>
  </si>
  <si>
    <t>Assumptions:</t>
  </si>
  <si>
    <t>Note:  Non-price factors are parameters in the market share equation representing the impact of non-price factors on market share of a given technology.</t>
  </si>
  <si>
    <t>Annual Fuel Costs (2012$/Device/Yr)</t>
  </si>
  <si>
    <t>Input</t>
  </si>
  <si>
    <t>Description</t>
  </si>
  <si>
    <t>Variance factor - BAU forecast</t>
  </si>
  <si>
    <t>BAU Case</t>
  </si>
  <si>
    <r>
      <t>Marginal Allocation Weights ($/$) -</t>
    </r>
    <r>
      <rPr>
        <b/>
        <sz val="12"/>
        <color rgb="FF7030A0"/>
        <rFont val="Calibri"/>
        <family val="2"/>
        <scheme val="minor"/>
      </rPr>
      <t xml:space="preserve">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</si>
  <si>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Total Allocation Weight ($/$) - </t>
    </r>
    <r>
      <rPr>
        <b/>
        <sz val="12"/>
        <color rgb="FFC00000"/>
        <rFont val="Calibri"/>
        <family val="2"/>
        <scheme val="minor"/>
      </rPr>
      <t>BAU Case</t>
    </r>
  </si>
  <si>
    <t>Device lifetime</t>
  </si>
  <si>
    <r>
      <t xml:space="preserve">Water Heating Energy Usage by Type (mmBtu/Yr)  - </t>
    </r>
    <r>
      <rPr>
        <b/>
        <sz val="12"/>
        <color rgb="FFC00000"/>
        <rFont val="Calibri"/>
        <family val="2"/>
        <scheme val="minor"/>
      </rPr>
      <t>BAU Case</t>
    </r>
  </si>
  <si>
    <t>Total</t>
  </si>
  <si>
    <r>
      <t xml:space="preserve">Water Heating Electricity Usage by Type (MWh/Yr) 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</si>
  <si>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Heating Gas Usage by Type (mmBtu/Yr)  - </t>
    </r>
    <r>
      <rPr>
        <b/>
        <sz val="12"/>
        <color rgb="FFC00000"/>
        <rFont val="Calibri"/>
        <family val="2"/>
        <scheme val="minor"/>
      </rPr>
      <t>BAU Case</t>
    </r>
  </si>
  <si>
    <t>Water Heating Energy Usage by Fuel and Scenario</t>
  </si>
  <si>
    <t>Discount rate (4% after-tax per M. Jourabchi)</t>
  </si>
  <si>
    <t>Source</t>
  </si>
  <si>
    <t>Source:  Technology usage and cost assumptions from:  "RevisedDUG_HVACDWH_CostUseData_090611.xlsx"</t>
  </si>
  <si>
    <t>2013$</t>
  </si>
  <si>
    <t>2011$</t>
  </si>
  <si>
    <t>2008$</t>
  </si>
  <si>
    <t>Source:  Per M. Jourabchi email (9-19-14) - FROM RTF Workbook: Res_HPWH_v1_3.xlsm, Tab: CostData, 50gal, 0.92EF, added estimated $200 for installation - (2008$)</t>
  </si>
  <si>
    <t>Source: Per M. Jourabchi email (9-19-14) - FROM RTF Workbook: Res_HPWH_v1_3.xlsm, Tab: CostData, Tier 1 50gal, added $200 for baseline installation - (2011$)</t>
  </si>
  <si>
    <t>Source:  Per M. Jourabchi email (9-19-14) - From ETO CPA (2013$)</t>
  </si>
  <si>
    <t>2006$</t>
  </si>
  <si>
    <t>Source:  "RevisedDUG_HVACDWH_CostUseData_090611.xlsx"</t>
  </si>
  <si>
    <t>Capital charge rate</t>
  </si>
  <si>
    <t>Source:  Calculated in ENERGY 2020</t>
  </si>
  <si>
    <t>Inflation</t>
  </si>
  <si>
    <t>Source:  M. Jourabchi input to ENERGY 2020 model</t>
  </si>
  <si>
    <t>Units of Dollars</t>
  </si>
  <si>
    <t>O&amp;M Cost Inflation Adjustment</t>
  </si>
  <si>
    <t>User Input - Assumptions</t>
  </si>
  <si>
    <t>Source:  M. Jourabchi email of September 15, 2014</t>
  </si>
  <si>
    <t>Non-Price Factor Assumptions ($/$)</t>
  </si>
  <si>
    <t>Source:  "Retail Rates_Northwest.xlsx"</t>
  </si>
  <si>
    <t>Starting water heating system</t>
  </si>
  <si>
    <t>Starting water heating tank size</t>
  </si>
  <si>
    <t>Notes:  Variance factor is parameter in market share calculation indicating impact of price on probability of choosing a given technology.  Negative values increase sensitivity to price.</t>
  </si>
  <si>
    <t>Scenario</t>
  </si>
  <si>
    <t>Electricity Usage (tBtu/Yr)</t>
  </si>
  <si>
    <t>Natural Gas Usage (tBtu/Yr)</t>
  </si>
  <si>
    <t>Difference</t>
  </si>
  <si>
    <t>Change  in Market Share</t>
  </si>
  <si>
    <t>Change (%)</t>
  </si>
  <si>
    <t>Water Heating Replacement</t>
  </si>
  <si>
    <t>BAU Case 2035</t>
  </si>
  <si>
    <t>Electric - BAU</t>
  </si>
  <si>
    <t>Gas - BAU</t>
  </si>
  <si>
    <t>Water Heating Capital Cost (2012$/device)</t>
  </si>
  <si>
    <t>Energy Use Per Device (mmBtu/Device/Yr)</t>
  </si>
  <si>
    <t>Water Heating O&amp;M Costs (2012$/Device/Yr)</t>
  </si>
  <si>
    <t>Green:  Linked exogenous input</t>
  </si>
  <si>
    <t>Blue:  User-specified exogenous input</t>
  </si>
  <si>
    <t>Note:  Levelized Costs = Capital Cost*Capital Charge Rate + Fuel Cost + O&amp;M Cost</t>
  </si>
  <si>
    <r>
      <t xml:space="preserve">Marginal Market Share Forecast (Fraction) - </t>
    </r>
    <r>
      <rPr>
        <b/>
        <sz val="12"/>
        <color rgb="FFC00000"/>
        <rFont val="Calibri"/>
        <family val="2"/>
        <scheme val="minor"/>
      </rPr>
      <t>BAU Case</t>
    </r>
  </si>
  <si>
    <t>Starting space heating system</t>
  </si>
  <si>
    <t>Source:  "Regional Economic Analysis of Residential Fuel Use:  Electricity &amp; Natural Gas.pdf"</t>
  </si>
  <si>
    <t>Least Cost</t>
  </si>
  <si>
    <t>Non-price factors - BAU forecast</t>
  </si>
  <si>
    <t>See "Non-Price Factors" sheet</t>
  </si>
  <si>
    <t>Electric - Least Cost</t>
  </si>
  <si>
    <t>Least Cost Case</t>
  </si>
  <si>
    <t>Gas - Least Cost</t>
  </si>
  <si>
    <r>
      <t xml:space="preserve">Water Heating Energy Usage by Type (mmBtu/Yr)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</si>
  <si>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Heating Electricity Usage by Type (MWh/Yr) 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</si>
  <si>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Heating Gas Usage by Type (mmBtu/Yr)  - </t>
    </r>
    <r>
      <rPr>
        <b/>
        <sz val="12"/>
        <color rgb="FFC00000"/>
        <rFont val="Calibri"/>
        <family val="2"/>
        <scheme val="minor"/>
      </rPr>
      <t>Least Cost Case</t>
    </r>
  </si>
  <si>
    <t>Least Cost Case 2035</t>
  </si>
  <si>
    <r>
      <t>Water Heaters Purchased (Number of Water Heaters) -</t>
    </r>
    <r>
      <rPr>
        <b/>
        <sz val="12"/>
        <color rgb="FFC00000"/>
        <rFont val="Calibri"/>
        <family val="2"/>
        <scheme val="minor"/>
      </rPr>
      <t xml:space="preserve"> BAU Case</t>
    </r>
  </si>
  <si>
    <r>
      <t>Water Heaters Purchased (Number of Water Heaters)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</si>
  <si>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 xml:space="preserve">Water Heaters Retired (Number of Water Heaters)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</si>
  <si>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Heaters Retired (Number of Water Heaters)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</si>
  <si>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Heaters Stock by Type (Number of Water Heaters)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</si>
  <si>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Heaters Stock by Type (Number of Water Heaters)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</si>
  <si>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Average Market Share (Fraction) - </t>
    </r>
    <r>
      <rPr>
        <b/>
        <sz val="12"/>
        <color rgb="FFC00000"/>
        <rFont val="Calibri"/>
        <family val="2"/>
        <scheme val="minor"/>
      </rPr>
      <t>BAU Case</t>
    </r>
  </si>
  <si>
    <r>
      <t>Average Market Share (Fraction)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</si>
  <si>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t>Existing 2014</t>
  </si>
  <si>
    <r>
      <t xml:space="preserve">Total Consumer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</si>
  <si>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Capital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</si>
  <si>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O&amp;M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</si>
  <si>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Price of Energy Usage (2012 M$) - </t>
    </r>
    <r>
      <rPr>
        <b/>
        <sz val="12"/>
        <color rgb="FFC00000"/>
        <rFont val="Calibri"/>
        <family val="2"/>
        <scheme val="minor"/>
      </rPr>
      <t>BAU Case</t>
    </r>
  </si>
  <si>
    <r>
      <t>Total Consumer Cost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</si>
  <si>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>Capital Cost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</si>
  <si>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 xml:space="preserve">O&amp;M Cost (2012 M$) - </t>
    </r>
    <r>
      <rPr>
        <b/>
        <sz val="12"/>
        <color rgb="FFC00000"/>
        <rFont val="Calibri"/>
        <family val="2"/>
        <scheme val="minor"/>
      </rPr>
      <t>Least Cost Case</t>
    </r>
  </si>
  <si>
    <r>
      <t>Price of Energy Usage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</si>
  <si>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t>Source:  "RBSA Metering Final Report (2).docx" pulled out into "Book3.xls" from M. Jourabchi 9-24-14</t>
  </si>
  <si>
    <t>Heat rate of new CCCT unit (Btu/kWh)</t>
  </si>
  <si>
    <t>Source:  Gillian Charles email of September 24, 2014 per M. Jourabchi (6530 w/ duct firing)</t>
  </si>
  <si>
    <t>Wholesale Price of Natural Gas (2012$/mmBtu/Yr)</t>
  </si>
  <si>
    <t>Source:  ENERGY 2020 model data from "Q:\MJ\ex\Fuel\FUELMOD8 Rev 050114- 7P July 2014 .xlsx" per 7/15/2014 update from M. Jourabchi.</t>
  </si>
  <si>
    <t>Gas price (2012$/mmBtu)</t>
  </si>
  <si>
    <t>NPV (2012M$)</t>
  </si>
  <si>
    <t>Consumer Cost of Water Heating Replacements</t>
  </si>
  <si>
    <t>NPV (2012 M$)</t>
  </si>
  <si>
    <t>Change in Total Resource Costs due to Direct Use of Natural Gas (2012 M$)</t>
  </si>
  <si>
    <t>Capital Cost (Various Real $)</t>
  </si>
  <si>
    <t>O&amp;M Cost (2006$/ device/Yr)</t>
  </si>
  <si>
    <t>Gas Required (mmBtu/ device/Yr)</t>
  </si>
  <si>
    <t>Electricity Required (KWh/ device/Yr)</t>
  </si>
  <si>
    <t>User-Specified Assumptions</t>
  </si>
  <si>
    <t>Water Heater Ending</t>
  </si>
  <si>
    <t>Capital Cost Inflation Adjustment ($/$)</t>
  </si>
  <si>
    <r>
      <t xml:space="preserve">Marginal Market Share Forecast (Fraction) - </t>
    </r>
    <r>
      <rPr>
        <b/>
        <sz val="12"/>
        <color rgb="FFC00000"/>
        <rFont val="Calibri"/>
        <family val="2"/>
        <scheme val="minor"/>
      </rPr>
      <t>Least Cost Case</t>
    </r>
  </si>
  <si>
    <t>Cost Savings of Utility - Least Cost vs BAU Case (2012 $/Yr)</t>
  </si>
  <si>
    <t>Wholesale Price of Gas (2012$/mmBtu)</t>
  </si>
  <si>
    <t>Cost Savings of Utility - Least Cost vs BAU Case (2012 M$)</t>
  </si>
  <si>
    <t>NPV of Costs Savings to Utility - Least Cost vs BAU Case</t>
  </si>
  <si>
    <t>NPV 2012 M$</t>
  </si>
  <si>
    <t>Consumer's Increase in Natural Gas Usage (tBtu)</t>
  </si>
  <si>
    <t>Utility Reduction in Natural Gas Usage (tBtu)</t>
  </si>
  <si>
    <t>MWh to mmBtu conversion</t>
  </si>
  <si>
    <t>Net Change in Natural Gas Usage (tBtu)</t>
  </si>
  <si>
    <t>Gas Heat Rate (Btu/kWh)</t>
  </si>
  <si>
    <t>Reduction in Natural Gas Usage by Utility - Least Cost vs BAU Case</t>
  </si>
  <si>
    <t>Net Change in Natural Gas Usage</t>
  </si>
  <si>
    <t>Net Change in Natural Gas Usage (tBtu) - Least Cost vs BAU Case</t>
  </si>
  <si>
    <t>Decreased Consumer Cost of Least Cost Case</t>
  </si>
  <si>
    <t>Decreased Utility Cost of Least Cost Case (2012 M$)</t>
  </si>
  <si>
    <t>Total Cost Reduction of Least Cost Case</t>
  </si>
  <si>
    <t>Total Cost Reduction of Least Cost Case (2012 M$)</t>
  </si>
  <si>
    <t>Inflation Index (1.0=2006)</t>
  </si>
  <si>
    <t>Consumer Cost Reduction</t>
  </si>
  <si>
    <t>Utility Cost Reduction</t>
  </si>
  <si>
    <t>Total Resource Cost Reduction</t>
  </si>
  <si>
    <t>Cost Reduction of Least Cost vs BAU Case</t>
  </si>
  <si>
    <t>Utility Change in Natural Gas Usage</t>
  </si>
  <si>
    <t>Consumer's Change in Natural Gas Usage</t>
  </si>
  <si>
    <t>Reduction in Consumer Electricity Usage (MWh/Yr)</t>
  </si>
  <si>
    <t>Reduction in Utility Natural Gas Usage (tBtu/Yr)</t>
  </si>
  <si>
    <t>Reduction in Natural Gas Usage by Utility (tBtu)</t>
  </si>
  <si>
    <t>Stored in "Retail Rates_Northwest.xlsx"</t>
  </si>
  <si>
    <t>&gt;55 Gallons</t>
  </si>
  <si>
    <t>Note:  Values for electric resistance and gas tank are placeholders whose values are the same as &lt;= 55 gallon category.</t>
  </si>
  <si>
    <t>a. Electric resistance tanks &gt;55 gallons are required to replace with more efficient technologies, therefore:</t>
  </si>
  <si>
    <t xml:space="preserve">     - Turn off option to choose electric resistance or gas tank</t>
  </si>
  <si>
    <t xml:space="preserve">     - HPWH, Instant gas, and Condensing gas - set non-price factors to no market resistance</t>
  </si>
  <si>
    <t>No variance in non-price market shares across years:</t>
  </si>
  <si>
    <t>Number of households with access to gas, &gt;55</t>
  </si>
  <si>
    <t>Montana</t>
  </si>
</sst>
</file>

<file path=xl/styles.xml><?xml version="1.0" encoding="utf-8"?>
<styleSheet xmlns="http://schemas.openxmlformats.org/spreadsheetml/2006/main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0.0"/>
    <numFmt numFmtId="168" formatCode="0.000"/>
    <numFmt numFmtId="169" formatCode="m/d/\ h:mm"/>
    <numFmt numFmtId="170" formatCode="0_);\(0\)"/>
    <numFmt numFmtId="171" formatCode="0.0000"/>
    <numFmt numFmtId="172" formatCode="#,##0.000"/>
    <numFmt numFmtId="173" formatCode="&quot;$&quot;#,##0.000"/>
    <numFmt numFmtId="174" formatCode="&quot;$&quot;#,##0.000_);[Red]\(&quot;$&quot;#,##0.000\)"/>
    <numFmt numFmtId="175" formatCode="#,##0.000000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rgb="FF00B05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00B05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B050"/>
      <name val="Calibri"/>
      <family val="2"/>
      <scheme val="minor"/>
    </font>
    <font>
      <i/>
      <sz val="12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2"/>
      <color rgb="FF0000FF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7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18" borderId="0" applyNumberFormat="0" applyAlignment="0">
      <alignment horizontal="right"/>
    </xf>
    <xf numFmtId="0" fontId="12" fillId="19" borderId="0" applyNumberFormat="0" applyAlignment="0"/>
    <xf numFmtId="169" fontId="1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0" borderId="0">
      <alignment horizontal="center" wrapText="1"/>
    </xf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3" borderId="1" applyNumberFormat="0" applyAlignment="0" applyProtection="0"/>
    <xf numFmtId="0" fontId="22" fillId="3" borderId="1" applyNumberFormat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>
      <alignment readingOrder="1"/>
    </xf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13" fillId="21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13" fillId="21" borderId="0"/>
    <xf numFmtId="0" fontId="13" fillId="21" borderId="0"/>
    <xf numFmtId="0" fontId="26" fillId="0" borderId="0" applyNumberFormat="0" applyFont="0" applyFill="0" applyBorder="0" applyAlignment="0" applyProtection="0"/>
    <xf numFmtId="0" fontId="25" fillId="0" borderId="0"/>
    <xf numFmtId="0" fontId="12" fillId="0" borderId="0">
      <alignment readingOrder="1"/>
    </xf>
    <xf numFmtId="0" fontId="13" fillId="0" borderId="0"/>
    <xf numFmtId="0" fontId="14" fillId="0" borderId="0"/>
    <xf numFmtId="0" fontId="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4" borderId="7" applyNumberFormat="0" applyFont="0" applyAlignment="0" applyProtection="0"/>
    <xf numFmtId="0" fontId="13" fillId="4" borderId="7" applyNumberFormat="0" applyFont="0" applyAlignment="0" applyProtection="0"/>
    <xf numFmtId="0" fontId="27" fillId="16" borderId="8" applyNumberFormat="0" applyAlignment="0" applyProtection="0"/>
    <xf numFmtId="0" fontId="27" fillId="16" borderId="8" applyNumberFormat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2" fillId="0" borderId="0"/>
    <xf numFmtId="0" fontId="12" fillId="0" borderId="0"/>
    <xf numFmtId="0" fontId="31" fillId="0" borderId="0"/>
    <xf numFmtId="43" fontId="31" fillId="0" borderId="0" applyFont="0" applyFill="0" applyBorder="0" applyAlignment="0" applyProtection="0"/>
  </cellStyleXfs>
  <cellXfs count="188">
    <xf numFmtId="0" fontId="0" fillId="0" borderId="0" xfId="0"/>
    <xf numFmtId="49" fontId="2" fillId="0" borderId="0" xfId="0" applyNumberFormat="1" applyFont="1" applyFill="1" applyBorder="1"/>
    <xf numFmtId="0" fontId="2" fillId="0" borderId="0" xfId="0" applyFont="1" applyFill="1" applyBorder="1"/>
    <xf numFmtId="1" fontId="4" fillId="0" borderId="0" xfId="0" applyNumberFormat="1" applyFont="1" applyFill="1" applyBorder="1"/>
    <xf numFmtId="168" fontId="4" fillId="0" borderId="0" xfId="0" applyNumberFormat="1" applyFont="1" applyFill="1" applyBorder="1"/>
    <xf numFmtId="0" fontId="6" fillId="0" borderId="0" xfId="0" applyFont="1" applyFill="1" applyBorder="1"/>
    <xf numFmtId="168" fontId="6" fillId="0" borderId="0" xfId="0" applyNumberFormat="1" applyFont="1" applyFill="1" applyBorder="1"/>
    <xf numFmtId="167" fontId="6" fillId="0" borderId="0" xfId="0" applyNumberFormat="1" applyFont="1" applyFill="1" applyBorder="1"/>
    <xf numFmtId="0" fontId="4" fillId="0" borderId="0" xfId="0" applyFont="1" applyFill="1" applyBorder="1"/>
    <xf numFmtId="0" fontId="2" fillId="0" borderId="0" xfId="0" applyFont="1"/>
    <xf numFmtId="2" fontId="2" fillId="0" borderId="0" xfId="0" applyNumberFormat="1" applyFont="1"/>
    <xf numFmtId="43" fontId="2" fillId="0" borderId="0" xfId="0" applyNumberFormat="1" applyFont="1"/>
    <xf numFmtId="0" fontId="32" fillId="0" borderId="0" xfId="0" applyFont="1"/>
    <xf numFmtId="170" fontId="2" fillId="0" borderId="0" xfId="0" applyNumberFormat="1" applyFont="1"/>
    <xf numFmtId="0" fontId="2" fillId="0" borderId="0" xfId="0" applyFont="1" applyAlignment="1">
      <alignment wrapText="1"/>
    </xf>
    <xf numFmtId="49" fontId="2" fillId="0" borderId="0" xfId="0" applyNumberFormat="1" applyFont="1"/>
    <xf numFmtId="0" fontId="2" fillId="0" borderId="0" xfId="165" applyFont="1"/>
    <xf numFmtId="0" fontId="32" fillId="0" borderId="0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/>
    </xf>
    <xf numFmtId="49" fontId="32" fillId="0" borderId="0" xfId="0" applyNumberFormat="1" applyFont="1" applyAlignment="1">
      <alignment wrapText="1"/>
    </xf>
    <xf numFmtId="170" fontId="32" fillId="0" borderId="0" xfId="0" applyNumberFormat="1" applyFont="1"/>
    <xf numFmtId="0" fontId="32" fillId="0" borderId="0" xfId="0" applyFont="1" applyAlignment="1">
      <alignment wrapText="1"/>
    </xf>
    <xf numFmtId="2" fontId="2" fillId="0" borderId="0" xfId="0" applyNumberFormat="1" applyFont="1" applyAlignment="1">
      <alignment wrapText="1"/>
    </xf>
    <xf numFmtId="2" fontId="32" fillId="0" borderId="0" xfId="0" applyNumberFormat="1" applyFont="1" applyAlignment="1">
      <alignment wrapText="1"/>
    </xf>
    <xf numFmtId="0" fontId="32" fillId="0" borderId="0" xfId="0" applyFont="1" applyAlignment="1">
      <alignment vertical="center"/>
    </xf>
    <xf numFmtId="0" fontId="32" fillId="0" borderId="0" xfId="0" applyFont="1" applyFill="1" applyBorder="1" applyAlignment="1">
      <alignment vertical="center"/>
    </xf>
    <xf numFmtId="5" fontId="2" fillId="0" borderId="0" xfId="0" applyNumberFormat="1" applyFont="1"/>
    <xf numFmtId="0" fontId="36" fillId="0" borderId="0" xfId="0" applyFont="1"/>
    <xf numFmtId="0" fontId="36" fillId="0" borderId="0" xfId="0" applyFont="1" applyAlignment="1">
      <alignment horizontal="left" indent="5"/>
    </xf>
    <xf numFmtId="0" fontId="36" fillId="0" borderId="0" xfId="0" applyFont="1" applyAlignment="1">
      <alignment horizontal="left" vertical="center"/>
    </xf>
    <xf numFmtId="0" fontId="5" fillId="0" borderId="0" xfId="0" applyFont="1" applyAlignment="1">
      <alignment horizontal="left" indent="2"/>
    </xf>
    <xf numFmtId="166" fontId="2" fillId="0" borderId="0" xfId="2" applyNumberFormat="1" applyFont="1"/>
    <xf numFmtId="3" fontId="2" fillId="0" borderId="0" xfId="0" applyNumberFormat="1" applyFont="1"/>
    <xf numFmtId="0" fontId="6" fillId="0" borderId="0" xfId="0" applyFont="1" applyAlignment="1">
      <alignment horizontal="left" indent="2"/>
    </xf>
    <xf numFmtId="2" fontId="5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12" xfId="0" applyFont="1" applyBorder="1" applyAlignment="1">
      <alignment wrapText="1"/>
    </xf>
    <xf numFmtId="170" fontId="2" fillId="0" borderId="12" xfId="0" applyNumberFormat="1" applyFont="1" applyBorder="1"/>
    <xf numFmtId="2" fontId="2" fillId="0" borderId="12" xfId="0" applyNumberFormat="1" applyFont="1" applyBorder="1" applyAlignment="1">
      <alignment wrapText="1"/>
    </xf>
    <xf numFmtId="0" fontId="2" fillId="0" borderId="12" xfId="0" applyFont="1" applyBorder="1"/>
    <xf numFmtId="0" fontId="3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 applyBorder="1"/>
    <xf numFmtId="3" fontId="2" fillId="0" borderId="0" xfId="0" applyNumberFormat="1" applyFont="1" applyBorder="1"/>
    <xf numFmtId="3" fontId="36" fillId="0" borderId="0" xfId="0" applyNumberFormat="1" applyFont="1" applyBorder="1"/>
    <xf numFmtId="0" fontId="36" fillId="0" borderId="13" xfId="0" applyFont="1" applyBorder="1" applyAlignment="1">
      <alignment horizontal="left" wrapText="1"/>
    </xf>
    <xf numFmtId="0" fontId="36" fillId="0" borderId="13" xfId="0" applyFont="1" applyBorder="1" applyAlignment="1">
      <alignment wrapText="1"/>
    </xf>
    <xf numFmtId="3" fontId="36" fillId="0" borderId="13" xfId="0" applyNumberFormat="1" applyFont="1" applyBorder="1"/>
    <xf numFmtId="0" fontId="6" fillId="0" borderId="0" xfId="0" applyFont="1" applyBorder="1" applyAlignment="1">
      <alignment horizontal="left" indent="2"/>
    </xf>
    <xf numFmtId="0" fontId="37" fillId="0" borderId="0" xfId="0" applyFont="1" applyAlignment="1">
      <alignment horizontal="left" indent="2"/>
    </xf>
    <xf numFmtId="0" fontId="6" fillId="0" borderId="12" xfId="0" applyFont="1" applyBorder="1" applyAlignment="1">
      <alignment horizontal="left" indent="2"/>
    </xf>
    <xf numFmtId="0" fontId="2" fillId="0" borderId="0" xfId="0" applyFont="1" applyAlignment="1">
      <alignment horizontal="left" indent="1"/>
    </xf>
    <xf numFmtId="0" fontId="40" fillId="0" borderId="0" xfId="0" applyFont="1" applyFill="1" applyAlignment="1">
      <alignment vertical="center"/>
    </xf>
    <xf numFmtId="0" fontId="2" fillId="0" borderId="0" xfId="0" applyFont="1" applyAlignment="1">
      <alignment horizontal="right"/>
    </xf>
    <xf numFmtId="0" fontId="2" fillId="0" borderId="16" xfId="0" applyFont="1" applyBorder="1"/>
    <xf numFmtId="3" fontId="6" fillId="0" borderId="0" xfId="0" applyNumberFormat="1" applyFont="1" applyFill="1" applyBorder="1"/>
    <xf numFmtId="0" fontId="41" fillId="0" borderId="0" xfId="0" applyFont="1" applyFill="1" applyBorder="1"/>
    <xf numFmtId="1" fontId="6" fillId="0" borderId="0" xfId="0" applyNumberFormat="1" applyFont="1" applyFill="1" applyBorder="1"/>
    <xf numFmtId="165" fontId="2" fillId="0" borderId="0" xfId="0" applyNumberFormat="1" applyFont="1"/>
    <xf numFmtId="165" fontId="2" fillId="0" borderId="0" xfId="0" applyNumberFormat="1" applyFont="1" applyFill="1" applyBorder="1" applyAlignment="1">
      <alignment horizontal="right" wrapText="1"/>
    </xf>
    <xf numFmtId="172" fontId="2" fillId="0" borderId="0" xfId="0" applyNumberFormat="1" applyFont="1"/>
    <xf numFmtId="2" fontId="4" fillId="0" borderId="0" xfId="0" applyNumberFormat="1" applyFont="1"/>
    <xf numFmtId="0" fontId="32" fillId="0" borderId="0" xfId="165" applyFont="1"/>
    <xf numFmtId="0" fontId="32" fillId="22" borderId="17" xfId="0" applyFont="1" applyFill="1" applyBorder="1"/>
    <xf numFmtId="0" fontId="2" fillId="0" borderId="20" xfId="0" applyFont="1" applyBorder="1"/>
    <xf numFmtId="0" fontId="2" fillId="0" borderId="15" xfId="0" applyFont="1" applyBorder="1"/>
    <xf numFmtId="0" fontId="2" fillId="0" borderId="20" xfId="0" applyFont="1" applyBorder="1" applyAlignment="1">
      <alignment wrapText="1"/>
    </xf>
    <xf numFmtId="0" fontId="2" fillId="0" borderId="14" xfId="0" applyFont="1" applyBorder="1"/>
    <xf numFmtId="0" fontId="32" fillId="22" borderId="11" xfId="0" applyFont="1" applyFill="1" applyBorder="1"/>
    <xf numFmtId="0" fontId="5" fillId="0" borderId="21" xfId="0" applyFont="1" applyBorder="1" applyAlignment="1">
      <alignment horizontal="right"/>
    </xf>
    <xf numFmtId="0" fontId="5" fillId="0" borderId="21" xfId="0" applyFont="1" applyBorder="1"/>
    <xf numFmtId="0" fontId="37" fillId="0" borderId="0" xfId="165" applyFont="1"/>
    <xf numFmtId="0" fontId="33" fillId="0" borderId="0" xfId="0" applyFont="1" applyBorder="1" applyAlignment="1">
      <alignment horizontal="left"/>
    </xf>
    <xf numFmtId="0" fontId="37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2" fillId="0" borderId="0" xfId="0" applyFont="1" applyFill="1"/>
    <xf numFmtId="0" fontId="2" fillId="0" borderId="12" xfId="0" applyFont="1" applyFill="1" applyBorder="1"/>
    <xf numFmtId="164" fontId="2" fillId="0" borderId="0" xfId="0" applyNumberFormat="1" applyFont="1" applyBorder="1"/>
    <xf numFmtId="2" fontId="2" fillId="22" borderId="17" xfId="0" applyNumberFormat="1" applyFont="1" applyFill="1" applyBorder="1"/>
    <xf numFmtId="0" fontId="2" fillId="22" borderId="18" xfId="0" applyFont="1" applyFill="1" applyBorder="1"/>
    <xf numFmtId="2" fontId="2" fillId="0" borderId="20" xfId="0" applyNumberFormat="1" applyFont="1" applyBorder="1"/>
    <xf numFmtId="166" fontId="2" fillId="0" borderId="0" xfId="0" applyNumberFormat="1" applyFont="1" applyBorder="1"/>
    <xf numFmtId="166" fontId="2" fillId="0" borderId="15" xfId="0" applyNumberFormat="1" applyFont="1" applyBorder="1"/>
    <xf numFmtId="2" fontId="2" fillId="0" borderId="16" xfId="0" applyNumberFormat="1" applyFont="1" applyBorder="1"/>
    <xf numFmtId="166" fontId="2" fillId="0" borderId="12" xfId="0" applyNumberFormat="1" applyFont="1" applyBorder="1"/>
    <xf numFmtId="166" fontId="2" fillId="0" borderId="14" xfId="0" applyNumberFormat="1" applyFont="1" applyBorder="1"/>
    <xf numFmtId="0" fontId="2" fillId="22" borderId="18" xfId="0" applyFont="1" applyFill="1" applyBorder="1" applyAlignment="1">
      <alignment horizontal="center" wrapText="1"/>
    </xf>
    <xf numFmtId="172" fontId="2" fillId="0" borderId="0" xfId="0" applyNumberFormat="1" applyFont="1" applyBorder="1"/>
    <xf numFmtId="1" fontId="2" fillId="0" borderId="0" xfId="0" applyNumberFormat="1" applyFont="1" applyBorder="1"/>
    <xf numFmtId="172" fontId="2" fillId="0" borderId="12" xfId="0" applyNumberFormat="1" applyFont="1" applyBorder="1"/>
    <xf numFmtId="0" fontId="2" fillId="22" borderId="19" xfId="0" applyFont="1" applyFill="1" applyBorder="1"/>
    <xf numFmtId="0" fontId="2" fillId="22" borderId="19" xfId="0" applyFont="1" applyFill="1" applyBorder="1" applyAlignment="1">
      <alignment horizontal="center" wrapText="1"/>
    </xf>
    <xf numFmtId="0" fontId="34" fillId="0" borderId="0" xfId="0" applyFont="1" applyAlignment="1">
      <alignment vertical="center"/>
    </xf>
    <xf numFmtId="10" fontId="2" fillId="0" borderId="0" xfId="0" applyNumberFormat="1" applyFont="1" applyBorder="1"/>
    <xf numFmtId="2" fontId="2" fillId="0" borderId="0" xfId="0" applyNumberFormat="1" applyFont="1" applyBorder="1"/>
    <xf numFmtId="3" fontId="5" fillId="0" borderId="21" xfId="0" applyNumberFormat="1" applyFont="1" applyFill="1" applyBorder="1"/>
    <xf numFmtId="166" fontId="5" fillId="0" borderId="21" xfId="0" applyNumberFormat="1" applyFont="1" applyBorder="1"/>
    <xf numFmtId="171" fontId="5" fillId="0" borderId="0" xfId="0" applyNumberFormat="1" applyFont="1"/>
    <xf numFmtId="0" fontId="5" fillId="0" borderId="11" xfId="165" applyFont="1" applyBorder="1"/>
    <xf numFmtId="0" fontId="32" fillId="0" borderId="0" xfId="0" applyFont="1" applyAlignment="1">
      <alignment horizontal="left"/>
    </xf>
    <xf numFmtId="0" fontId="2" fillId="0" borderId="0" xfId="0" applyFont="1" applyFill="1" applyBorder="1" applyAlignment="1">
      <alignment horizontal="right" wrapText="1"/>
    </xf>
    <xf numFmtId="0" fontId="2" fillId="22" borderId="12" xfId="0" applyFont="1" applyFill="1" applyBorder="1" applyAlignment="1">
      <alignment horizontal="center" wrapText="1"/>
    </xf>
    <xf numFmtId="0" fontId="2" fillId="22" borderId="12" xfId="0" applyFont="1" applyFill="1" applyBorder="1"/>
    <xf numFmtId="1" fontId="6" fillId="0" borderId="12" xfId="0" applyNumberFormat="1" applyFont="1" applyFill="1" applyBorder="1"/>
    <xf numFmtId="0" fontId="32" fillId="22" borderId="18" xfId="0" applyFont="1" applyFill="1" applyBorder="1"/>
    <xf numFmtId="164" fontId="5" fillId="0" borderId="0" xfId="1" applyNumberFormat="1" applyFont="1" applyFill="1" applyBorder="1"/>
    <xf numFmtId="0" fontId="5" fillId="0" borderId="0" xfId="0" applyFont="1" applyAlignment="1">
      <alignment horizontal="center"/>
    </xf>
    <xf numFmtId="164" fontId="5" fillId="0" borderId="12" xfId="1" applyNumberFormat="1" applyFont="1" applyFill="1" applyBorder="1"/>
    <xf numFmtId="0" fontId="5" fillId="0" borderId="12" xfId="0" applyFont="1" applyBorder="1" applyAlignment="1">
      <alignment horizontal="center"/>
    </xf>
    <xf numFmtId="3" fontId="5" fillId="0" borderId="0" xfId="0" applyNumberFormat="1" applyFont="1" applyFill="1" applyBorder="1"/>
    <xf numFmtId="168" fontId="5" fillId="0" borderId="0" xfId="0" applyNumberFormat="1" applyFont="1" applyFill="1" applyBorder="1"/>
    <xf numFmtId="165" fontId="5" fillId="0" borderId="0" xfId="1" applyNumberFormat="1" applyFont="1" applyFill="1" applyBorder="1"/>
    <xf numFmtId="0" fontId="5" fillId="0" borderId="0" xfId="0" applyFont="1" applyFill="1" applyBorder="1"/>
    <xf numFmtId="3" fontId="5" fillId="0" borderId="12" xfId="0" applyNumberFormat="1" applyFont="1" applyFill="1" applyBorder="1"/>
    <xf numFmtId="168" fontId="5" fillId="0" borderId="12" xfId="0" applyNumberFormat="1" applyFont="1" applyFill="1" applyBorder="1"/>
    <xf numFmtId="165" fontId="5" fillId="0" borderId="12" xfId="1" applyNumberFormat="1" applyFont="1" applyFill="1" applyBorder="1"/>
    <xf numFmtId="0" fontId="5" fillId="0" borderId="12" xfId="0" applyFont="1" applyFill="1" applyBorder="1"/>
    <xf numFmtId="166" fontId="5" fillId="0" borderId="21" xfId="2" applyNumberFormat="1" applyFont="1" applyBorder="1"/>
    <xf numFmtId="166" fontId="5" fillId="0" borderId="22" xfId="2" applyNumberFormat="1" applyFont="1" applyBorder="1"/>
    <xf numFmtId="0" fontId="43" fillId="0" borderId="0" xfId="0" applyFont="1"/>
    <xf numFmtId="173" fontId="2" fillId="0" borderId="0" xfId="0" applyNumberFormat="1" applyFont="1"/>
    <xf numFmtId="173" fontId="2" fillId="0" borderId="0" xfId="0" applyNumberFormat="1" applyFont="1" applyBorder="1"/>
    <xf numFmtId="173" fontId="2" fillId="0" borderId="12" xfId="0" applyNumberFormat="1" applyFont="1" applyBorder="1"/>
    <xf numFmtId="0" fontId="2" fillId="0" borderId="0" xfId="0" applyFont="1" applyAlignment="1">
      <alignment vertical="center"/>
    </xf>
    <xf numFmtId="0" fontId="33" fillId="0" borderId="0" xfId="0" applyFont="1"/>
    <xf numFmtId="166" fontId="2" fillId="0" borderId="0" xfId="0" applyNumberFormat="1" applyFont="1"/>
    <xf numFmtId="173" fontId="36" fillId="0" borderId="13" xfId="0" applyNumberFormat="1" applyFont="1" applyBorder="1"/>
    <xf numFmtId="0" fontId="5" fillId="0" borderId="11" xfId="165" applyNumberFormat="1" applyFont="1" applyBorder="1" applyAlignment="1">
      <alignment horizontal="left"/>
    </xf>
    <xf numFmtId="168" fontId="2" fillId="0" borderId="0" xfId="0" applyNumberFormat="1" applyFont="1"/>
    <xf numFmtId="168" fontId="2" fillId="0" borderId="12" xfId="0" applyNumberFormat="1" applyFont="1" applyBorder="1"/>
    <xf numFmtId="168" fontId="2" fillId="0" borderId="0" xfId="0" applyNumberFormat="1" applyFont="1" applyBorder="1"/>
    <xf numFmtId="168" fontId="2" fillId="0" borderId="15" xfId="0" applyNumberFormat="1" applyFont="1" applyBorder="1"/>
    <xf numFmtId="168" fontId="2" fillId="0" borderId="14" xfId="0" applyNumberFormat="1" applyFont="1" applyBorder="1"/>
    <xf numFmtId="0" fontId="0" fillId="0" borderId="0" xfId="0" applyAlignment="1">
      <alignment wrapText="1"/>
    </xf>
    <xf numFmtId="0" fontId="32" fillId="22" borderId="19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6" fillId="0" borderId="0" xfId="0" applyFont="1" applyFill="1" applyBorder="1" applyAlignment="1"/>
    <xf numFmtId="0" fontId="32" fillId="0" borderId="12" xfId="0" applyFont="1" applyFill="1" applyBorder="1" applyAlignment="1">
      <alignment horizontal="left" wrapText="1"/>
    </xf>
    <xf numFmtId="0" fontId="6" fillId="22" borderId="10" xfId="165" applyFont="1" applyFill="1" applyBorder="1" applyAlignment="1">
      <alignment wrapText="1"/>
    </xf>
    <xf numFmtId="0" fontId="6" fillId="22" borderId="11" xfId="165" applyFont="1" applyFill="1" applyBorder="1" applyAlignment="1">
      <alignment wrapText="1"/>
    </xf>
    <xf numFmtId="0" fontId="5" fillId="0" borderId="0" xfId="0" applyFont="1" applyBorder="1" applyAlignment="1">
      <alignment horizontal="center"/>
    </xf>
    <xf numFmtId="2" fontId="2" fillId="22" borderId="12" xfId="0" applyNumberFormat="1" applyFont="1" applyFill="1" applyBorder="1" applyAlignment="1">
      <alignment wrapText="1"/>
    </xf>
    <xf numFmtId="170" fontId="2" fillId="22" borderId="12" xfId="0" applyNumberFormat="1" applyFont="1" applyFill="1" applyBorder="1"/>
    <xf numFmtId="0" fontId="32" fillId="0" borderId="12" xfId="0" applyFont="1" applyFill="1" applyBorder="1" applyAlignment="1">
      <alignment horizontal="center" wrapText="1"/>
    </xf>
    <xf numFmtId="0" fontId="44" fillId="0" borderId="0" xfId="0" applyFont="1" applyFill="1" applyBorder="1" applyAlignment="1"/>
    <xf numFmtId="0" fontId="45" fillId="0" borderId="0" xfId="0" applyFont="1" applyFill="1" applyBorder="1" applyAlignment="1"/>
    <xf numFmtId="0" fontId="2" fillId="0" borderId="0" xfId="0" applyFont="1" applyAlignment="1"/>
    <xf numFmtId="0" fontId="2" fillId="0" borderId="0" xfId="0" applyFont="1" applyBorder="1" applyAlignment="1"/>
    <xf numFmtId="172" fontId="2" fillId="0" borderId="0" xfId="0" applyNumberFormat="1" applyFont="1" applyAlignment="1"/>
    <xf numFmtId="168" fontId="2" fillId="0" borderId="0" xfId="0" applyNumberFormat="1" applyFont="1" applyAlignment="1"/>
    <xf numFmtId="0" fontId="2" fillId="0" borderId="12" xfId="0" applyFont="1" applyBorder="1" applyAlignment="1"/>
    <xf numFmtId="0" fontId="32" fillId="0" borderId="16" xfId="0" applyFont="1" applyBorder="1" applyAlignment="1"/>
    <xf numFmtId="0" fontId="2" fillId="22" borderId="17" xfId="0" applyFont="1" applyFill="1" applyBorder="1"/>
    <xf numFmtId="174" fontId="2" fillId="0" borderId="14" xfId="0" applyNumberFormat="1" applyFont="1" applyBorder="1"/>
    <xf numFmtId="0" fontId="2" fillId="0" borderId="16" xfId="0" applyFont="1" applyBorder="1" applyAlignment="1">
      <alignment wrapText="1"/>
    </xf>
    <xf numFmtId="175" fontId="2" fillId="0" borderId="12" xfId="0" applyNumberFormat="1" applyFont="1" applyBorder="1"/>
    <xf numFmtId="171" fontId="2" fillId="0" borderId="0" xfId="0" applyNumberFormat="1" applyFont="1"/>
    <xf numFmtId="0" fontId="2" fillId="0" borderId="20" xfId="0" applyFont="1" applyBorder="1" applyAlignment="1">
      <alignment horizontal="left" indent="1"/>
    </xf>
    <xf numFmtId="0" fontId="2" fillId="0" borderId="16" xfId="0" applyFont="1" applyBorder="1" applyAlignment="1">
      <alignment horizontal="left" indent="1"/>
    </xf>
    <xf numFmtId="0" fontId="36" fillId="0" borderId="14" xfId="0" applyFont="1" applyBorder="1"/>
    <xf numFmtId="166" fontId="2" fillId="0" borderId="14" xfId="2" applyNumberFormat="1" applyFont="1" applyBorder="1"/>
    <xf numFmtId="171" fontId="2" fillId="0" borderId="12" xfId="0" applyNumberFormat="1" applyFont="1" applyBorder="1"/>
    <xf numFmtId="1" fontId="2" fillId="22" borderId="12" xfId="0" applyNumberFormat="1" applyFont="1" applyFill="1" applyBorder="1"/>
    <xf numFmtId="167" fontId="2" fillId="0" borderId="0" xfId="0" applyNumberFormat="1" applyFont="1" applyFill="1" applyBorder="1"/>
    <xf numFmtId="168" fontId="2" fillId="0" borderId="20" xfId="0" applyNumberFormat="1" applyFont="1" applyBorder="1"/>
    <xf numFmtId="168" fontId="2" fillId="0" borderId="15" xfId="0" applyNumberFormat="1" applyFont="1" applyBorder="1" applyAlignment="1">
      <alignment wrapText="1"/>
    </xf>
    <xf numFmtId="168" fontId="2" fillId="0" borderId="16" xfId="0" applyNumberFormat="1" applyFont="1" applyBorder="1"/>
    <xf numFmtId="0" fontId="2" fillId="0" borderId="16" xfId="0" applyFont="1" applyFill="1" applyBorder="1"/>
    <xf numFmtId="0" fontId="2" fillId="0" borderId="20" xfId="0" applyFont="1" applyFill="1" applyBorder="1"/>
    <xf numFmtId="9" fontId="2" fillId="0" borderId="0" xfId="2" applyFont="1" applyFill="1" applyBorder="1"/>
    <xf numFmtId="0" fontId="2" fillId="0" borderId="0" xfId="0" quotePrefix="1" applyFont="1"/>
    <xf numFmtId="0" fontId="42" fillId="0" borderId="0" xfId="0" applyFont="1" applyAlignment="1">
      <alignment horizontal="left" indent="1"/>
    </xf>
    <xf numFmtId="0" fontId="35" fillId="0" borderId="0" xfId="0" applyFont="1" applyAlignment="1">
      <alignment horizontal="left" indent="1"/>
    </xf>
    <xf numFmtId="1" fontId="5" fillId="0" borderId="0" xfId="0" applyNumberFormat="1" applyFont="1" applyFill="1" applyBorder="1"/>
    <xf numFmtId="3" fontId="5" fillId="23" borderId="0" xfId="0" applyNumberFormat="1" applyFont="1" applyFill="1" applyBorder="1"/>
    <xf numFmtId="168" fontId="5" fillId="23" borderId="0" xfId="0" applyNumberFormat="1" applyFont="1" applyFill="1" applyBorder="1"/>
    <xf numFmtId="165" fontId="5" fillId="23" borderId="0" xfId="1" applyNumberFormat="1" applyFont="1" applyFill="1" applyBorder="1"/>
    <xf numFmtId="0" fontId="5" fillId="23" borderId="0" xfId="0" applyFont="1" applyFill="1" applyBorder="1"/>
    <xf numFmtId="0" fontId="36" fillId="23" borderId="0" xfId="0" applyFont="1" applyFill="1" applyBorder="1"/>
    <xf numFmtId="1" fontId="5" fillId="0" borderId="0" xfId="0" applyNumberFormat="1" applyFont="1"/>
    <xf numFmtId="0" fontId="3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2" fillId="0" borderId="12" xfId="0" applyFont="1" applyBorder="1" applyAlignment="1">
      <alignment vertical="center" wrapText="1"/>
    </xf>
    <xf numFmtId="0" fontId="0" fillId="0" borderId="12" xfId="0" applyBorder="1" applyAlignment="1">
      <alignment wrapText="1"/>
    </xf>
    <xf numFmtId="0" fontId="32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</cellXfs>
  <cellStyles count="167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alculation 2" xfId="53"/>
    <cellStyle name="Calculation 3" xfId="54"/>
    <cellStyle name="Check Cell 2" xfId="55"/>
    <cellStyle name="Check Cell 3" xfId="56"/>
    <cellStyle name="Comma 2" xfId="57"/>
    <cellStyle name="Comma 3" xfId="58"/>
    <cellStyle name="Comma 3 2" xfId="59"/>
    <cellStyle name="Comma 4" xfId="60"/>
    <cellStyle name="Comma 5" xfId="61"/>
    <cellStyle name="Comma 6" xfId="62"/>
    <cellStyle name="Comma 7" xfId="166"/>
    <cellStyle name="Currency" xfId="1" builtinId="4"/>
    <cellStyle name="Currency 2" xfId="63"/>
    <cellStyle name="Currency 2 2" xfId="64"/>
    <cellStyle name="Currency 3" xfId="65"/>
    <cellStyle name="Currency 4" xfId="66"/>
    <cellStyle name="Data Field" xfId="67"/>
    <cellStyle name="Data Name" xfId="68"/>
    <cellStyle name="Date/Time" xfId="69"/>
    <cellStyle name="Explanatory Text 2" xfId="70"/>
    <cellStyle name="Explanatory Text 3" xfId="71"/>
    <cellStyle name="Good 2" xfId="72"/>
    <cellStyle name="Good 3" xfId="73"/>
    <cellStyle name="Heading" xfId="74"/>
    <cellStyle name="Heading 1 2" xfId="75"/>
    <cellStyle name="Heading 1 3" xfId="76"/>
    <cellStyle name="Heading 2 2" xfId="77"/>
    <cellStyle name="Heading 2 3" xfId="78"/>
    <cellStyle name="Heading 3 2" xfId="79"/>
    <cellStyle name="Heading 3 3" xfId="80"/>
    <cellStyle name="Heading 4 2" xfId="81"/>
    <cellStyle name="Heading 4 3" xfId="82"/>
    <cellStyle name="Input 2" xfId="83"/>
    <cellStyle name="Input 3" xfId="84"/>
    <cellStyle name="Linked Cell 2" xfId="85"/>
    <cellStyle name="Linked Cell 3" xfId="86"/>
    <cellStyle name="Neutral 2" xfId="87"/>
    <cellStyle name="Neutral 3" xfId="88"/>
    <cellStyle name="Normal" xfId="0" builtinId="0"/>
    <cellStyle name="Normal 10" xfId="89"/>
    <cellStyle name="Normal 11" xfId="90"/>
    <cellStyle name="Normal 12" xfId="91"/>
    <cellStyle name="Normal 13" xfId="92"/>
    <cellStyle name="Normal 14" xfId="93"/>
    <cellStyle name="Normal 15" xfId="94"/>
    <cellStyle name="Normal 16" xfId="95"/>
    <cellStyle name="Normal 17" xfId="96"/>
    <cellStyle name="Normal 18" xfId="97"/>
    <cellStyle name="Normal 19" xfId="98"/>
    <cellStyle name="Normal 2" xfId="99"/>
    <cellStyle name="Normal 2 2" xfId="100"/>
    <cellStyle name="Normal 20" xfId="101"/>
    <cellStyle name="Normal 21" xfId="102"/>
    <cellStyle name="Normal 22" xfId="103"/>
    <cellStyle name="Normal 23" xfId="104"/>
    <cellStyle name="Normal 24" xfId="105"/>
    <cellStyle name="Normal 25" xfId="106"/>
    <cellStyle name="Normal 26" xfId="107"/>
    <cellStyle name="Normal 27" xfId="108"/>
    <cellStyle name="Normal 28" xfId="109"/>
    <cellStyle name="Normal 29" xfId="110"/>
    <cellStyle name="Normal 3" xfId="111"/>
    <cellStyle name="Normal 30" xfId="112"/>
    <cellStyle name="Normal 31" xfId="113"/>
    <cellStyle name="Normal 32" xfId="114"/>
    <cellStyle name="Normal 33" xfId="115"/>
    <cellStyle name="Normal 34" xfId="116"/>
    <cellStyle name="Normal 35" xfId="117"/>
    <cellStyle name="Normal 36" xfId="118"/>
    <cellStyle name="Normal 37" xfId="119"/>
    <cellStyle name="Normal 38" xfId="120"/>
    <cellStyle name="Normal 39" xfId="121"/>
    <cellStyle name="Normal 4" xfId="122"/>
    <cellStyle name="Normal 40" xfId="123"/>
    <cellStyle name="Normal 41" xfId="124"/>
    <cellStyle name="Normal 42" xfId="125"/>
    <cellStyle name="Normal 43" xfId="126"/>
    <cellStyle name="Normal 44" xfId="127"/>
    <cellStyle name="Normal 45" xfId="128"/>
    <cellStyle name="Normal 46" xfId="129"/>
    <cellStyle name="Normal 47" xfId="130"/>
    <cellStyle name="Normal 47 2" xfId="131"/>
    <cellStyle name="Normal 48" xfId="132"/>
    <cellStyle name="Normal 48 2" xfId="133"/>
    <cellStyle name="Normal 49" xfId="134"/>
    <cellStyle name="Normal 5" xfId="135"/>
    <cellStyle name="Normal 50" xfId="136"/>
    <cellStyle name="Normal 51" xfId="137"/>
    <cellStyle name="Normal 52" xfId="138"/>
    <cellStyle name="Normal 53" xfId="139"/>
    <cellStyle name="Normal 54" xfId="165"/>
    <cellStyle name="Normal 6" xfId="140"/>
    <cellStyle name="Normal 7" xfId="141"/>
    <cellStyle name="Normal 8" xfId="142"/>
    <cellStyle name="Normal 9" xfId="143"/>
    <cellStyle name="Note 2" xfId="144"/>
    <cellStyle name="Note 3" xfId="145"/>
    <cellStyle name="Output 2" xfId="146"/>
    <cellStyle name="Output 3" xfId="147"/>
    <cellStyle name="Percent" xfId="2" builtinId="5"/>
    <cellStyle name="Percent 2" xfId="148"/>
    <cellStyle name="Percent 2 2" xfId="149"/>
    <cellStyle name="Percent 3" xfId="150"/>
    <cellStyle name="Percent 3 2" xfId="151"/>
    <cellStyle name="Percent 3 3" xfId="152"/>
    <cellStyle name="Percent 4" xfId="153"/>
    <cellStyle name="Percent 5" xfId="154"/>
    <cellStyle name="Percent 6" xfId="155"/>
    <cellStyle name="Percent 7" xfId="156"/>
    <cellStyle name="Title 2" xfId="157"/>
    <cellStyle name="Title 3" xfId="158"/>
    <cellStyle name="Total 2" xfId="159"/>
    <cellStyle name="Total 3" xfId="160"/>
    <cellStyle name="Warning Text 2" xfId="161"/>
    <cellStyle name="Warning Text 3" xfId="162"/>
    <cellStyle name="표준_ENERGY CONSUMP" xfId="163"/>
    <cellStyle name="常规_海外市场服务网站资料操作BOM" xfId="164"/>
  </cellStyles>
  <dxfs count="24"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  <color rgb="FF0064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23176145405812895"/>
          <c:y val="3.296678793314415E-2"/>
          <c:w val="0.54370985763674384"/>
          <c:h val="0.9097268288391327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'Summary-Results'!$B$5:$B$9</c:f>
              <c:strCache>
                <c:ptCount val="5"/>
                <c:pt idx="0">
                  <c:v>Electric Resistance</c:v>
                </c:pt>
                <c:pt idx="1">
                  <c:v>HPWH</c:v>
                </c:pt>
                <c:pt idx="2">
                  <c:v>Gas Tank</c:v>
                </c:pt>
                <c:pt idx="3">
                  <c:v>Instant Gas</c:v>
                </c:pt>
                <c:pt idx="4">
                  <c:v>Condensing Gas</c:v>
                </c:pt>
              </c:strCache>
            </c:strRef>
          </c:cat>
          <c:val>
            <c:numRef>
              <c:f>'Summary-Results'!$D$5:$D$9</c:f>
              <c:numCache>
                <c:formatCode>0.0%</c:formatCode>
                <c:ptCount val="5"/>
                <c:pt idx="0">
                  <c:v>1.1531257162187541E-5</c:v>
                </c:pt>
                <c:pt idx="1">
                  <c:v>0.41236442833275339</c:v>
                </c:pt>
                <c:pt idx="2">
                  <c:v>4.7263328355101374E-5</c:v>
                </c:pt>
                <c:pt idx="3">
                  <c:v>0.17683854959834008</c:v>
                </c:pt>
                <c:pt idx="4">
                  <c:v>0.41073822748338934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  <c:dispBlanksAs val="zero"/>
  </c:chart>
  <c:txPr>
    <a:bodyPr/>
    <a:lstStyle/>
    <a:p>
      <a:pPr>
        <a:defRPr sz="120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8.9351880573004513E-2"/>
          <c:y val="0.14265634313752404"/>
          <c:w val="0.66305553558026065"/>
          <c:h val="0.70451904432123713"/>
        </c:manualLayout>
      </c:layout>
      <c:barChart>
        <c:barDir val="col"/>
        <c:grouping val="percentStacked"/>
        <c:ser>
          <c:idx val="0"/>
          <c:order val="0"/>
          <c:tx>
            <c:strRef>
              <c:f>'Summary-Results'!$B$5</c:f>
              <c:strCache>
                <c:ptCount val="1"/>
                <c:pt idx="0">
                  <c:v>Electric Resistance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'Summary-Results'!$C$5:$E$5</c:f>
              <c:numCache>
                <c:formatCode>0.0%</c:formatCode>
                <c:ptCount val="3"/>
                <c:pt idx="0">
                  <c:v>0.99986047835963832</c:v>
                </c:pt>
                <c:pt idx="1">
                  <c:v>1.1531257162187541E-5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'Summary-Results'!$B$6</c:f>
              <c:strCache>
                <c:ptCount val="1"/>
                <c:pt idx="0">
                  <c:v>HPWH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'Summary-Results'!$C$6:$E$6</c:f>
              <c:numCache>
                <c:formatCode>0.0%</c:formatCode>
                <c:ptCount val="3"/>
                <c:pt idx="0">
                  <c:v>6.1052534682885706E-5</c:v>
                </c:pt>
                <c:pt idx="1">
                  <c:v>0.41236442833275339</c:v>
                </c:pt>
                <c:pt idx="2">
                  <c:v>1</c:v>
                </c:pt>
              </c:numCache>
            </c:numRef>
          </c:val>
        </c:ser>
        <c:ser>
          <c:idx val="2"/>
          <c:order val="2"/>
          <c:tx>
            <c:strRef>
              <c:f>'Summary-Results'!$B$7</c:f>
              <c:strCache>
                <c:ptCount val="1"/>
                <c:pt idx="0">
                  <c:v>Gas Tank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'Summary-Results'!$C$7:$E$7</c:f>
              <c:numCache>
                <c:formatCode>0.0%</c:formatCode>
                <c:ptCount val="3"/>
                <c:pt idx="0">
                  <c:v>7.869024838194339E-9</c:v>
                </c:pt>
                <c:pt idx="1">
                  <c:v>4.7263328355101374E-5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'Summary-Results'!$B$8</c:f>
              <c:strCache>
                <c:ptCount val="1"/>
                <c:pt idx="0">
                  <c:v>Instant Gas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'Summary-Results'!$C$8:$E$8</c:f>
              <c:numCache>
                <c:formatCode>0.0%</c:formatCode>
                <c:ptCount val="3"/>
                <c:pt idx="0">
                  <c:v>2.2096329273745615E-5</c:v>
                </c:pt>
                <c:pt idx="1">
                  <c:v>0.17683854959834008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'Summary-Results'!$B$9</c:f>
              <c:strCache>
                <c:ptCount val="1"/>
                <c:pt idx="0">
                  <c:v>Condensing Gas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'Summary-Results'!$C$9:$E$9</c:f>
              <c:numCache>
                <c:formatCode>0.0%</c:formatCode>
                <c:ptCount val="3"/>
                <c:pt idx="0">
                  <c:v>5.6364907380025437E-5</c:v>
                </c:pt>
                <c:pt idx="1">
                  <c:v>0.41073822748338934</c:v>
                </c:pt>
                <c:pt idx="2">
                  <c:v>0</c:v>
                </c:pt>
              </c:numCache>
            </c:numRef>
          </c:val>
        </c:ser>
        <c:overlap val="100"/>
        <c:axId val="253237504"/>
        <c:axId val="253259776"/>
      </c:barChart>
      <c:catAx>
        <c:axId val="25323750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53259776"/>
        <c:crosses val="autoZero"/>
        <c:auto val="1"/>
        <c:lblAlgn val="ctr"/>
        <c:lblOffset val="100"/>
      </c:catAx>
      <c:valAx>
        <c:axId val="253259776"/>
        <c:scaling>
          <c:orientation val="minMax"/>
        </c:scaling>
        <c:axPos val="l"/>
        <c:majorGridlines/>
        <c:numFmt formatCode="0%" sourceLinked="1"/>
        <c:tickLblPos val="nextTo"/>
        <c:crossAx val="253237504"/>
        <c:crosses val="autoZero"/>
        <c:crossBetween val="between"/>
      </c:valAx>
      <c:spPr>
        <a:scene3d>
          <a:camera prst="orthographicFront"/>
          <a:lightRig rig="threePt" dir="t"/>
        </a:scene3d>
        <a:sp3d>
          <a:bevelT w="19050"/>
          <a:bevelB/>
        </a:sp3d>
      </c:spPr>
    </c:plotArea>
    <c:legend>
      <c:legendPos val="r"/>
      <c:layout>
        <c:manualLayout>
          <c:xMode val="edge"/>
          <c:yMode val="edge"/>
          <c:x val="0.76521318009640027"/>
          <c:y val="0.29779540120492565"/>
          <c:w val="0.22224763701402239"/>
          <c:h val="0.40440888697828092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9449639107611575E-2"/>
          <c:y val="0.12927063506374675"/>
          <c:w val="0.65733054461942264"/>
          <c:h val="0.74259782412694597"/>
        </c:manualLayout>
      </c:layout>
      <c:barChart>
        <c:barDir val="col"/>
        <c:grouping val="percentStacked"/>
        <c:ser>
          <c:idx val="0"/>
          <c:order val="0"/>
          <c:tx>
            <c:strRef>
              <c:f>'Summary-Results'!$B$13</c:f>
              <c:strCache>
                <c:ptCount val="1"/>
                <c:pt idx="0">
                  <c:v>Electric Resistance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'Summary-Results'!$C$13:$E$13</c:f>
              <c:numCache>
                <c:formatCode>0.0%</c:formatCode>
                <c:ptCount val="3"/>
                <c:pt idx="0">
                  <c:v>1</c:v>
                </c:pt>
                <c:pt idx="1">
                  <c:v>0.21093182044698203</c:v>
                </c:pt>
                <c:pt idx="2">
                  <c:v>0.21092188755086905</c:v>
                </c:pt>
              </c:numCache>
            </c:numRef>
          </c:val>
        </c:ser>
        <c:ser>
          <c:idx val="1"/>
          <c:order val="1"/>
          <c:tx>
            <c:strRef>
              <c:f>'Summary-Results'!$B$14</c:f>
              <c:strCache>
                <c:ptCount val="1"/>
                <c:pt idx="0">
                  <c:v>HPWH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'Summary-Results'!$C$14:$E$14</c:f>
              <c:numCache>
                <c:formatCode>0.0%</c:formatCode>
                <c:ptCount val="3"/>
                <c:pt idx="0">
                  <c:v>0</c:v>
                </c:pt>
                <c:pt idx="1">
                  <c:v>0.33227467140213379</c:v>
                </c:pt>
                <c:pt idx="2">
                  <c:v>0.78907811244913095</c:v>
                </c:pt>
              </c:numCache>
            </c:numRef>
          </c:val>
        </c:ser>
        <c:ser>
          <c:idx val="2"/>
          <c:order val="2"/>
          <c:tx>
            <c:strRef>
              <c:f>'Summary-Results'!$B$15</c:f>
              <c:strCache>
                <c:ptCount val="1"/>
                <c:pt idx="0">
                  <c:v>Gas Tank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'Summary-Results'!$C$15:$E$15</c:f>
              <c:numCache>
                <c:formatCode>0.0%</c:formatCode>
                <c:ptCount val="3"/>
                <c:pt idx="0">
                  <c:v>0</c:v>
                </c:pt>
                <c:pt idx="1">
                  <c:v>3.9760035711691253E-5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'Summary-Results'!$B$16</c:f>
              <c:strCache>
                <c:ptCount val="1"/>
                <c:pt idx="0">
                  <c:v>Instant Gas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'Summary-Results'!$C$16:$E$16</c:f>
              <c:numCache>
                <c:formatCode>0.0%</c:formatCode>
                <c:ptCount val="3"/>
                <c:pt idx="0">
                  <c:v>0</c:v>
                </c:pt>
                <c:pt idx="1">
                  <c:v>0.13427958072452148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'Summary-Results'!$B$17</c:f>
              <c:strCache>
                <c:ptCount val="1"/>
                <c:pt idx="0">
                  <c:v>Condensing Gas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'Summary-Results'!$C$17:$E$17</c:f>
              <c:numCache>
                <c:formatCode>0.0%</c:formatCode>
                <c:ptCount val="3"/>
                <c:pt idx="0">
                  <c:v>0</c:v>
                </c:pt>
                <c:pt idx="1">
                  <c:v>0.3224741673906511</c:v>
                </c:pt>
                <c:pt idx="2">
                  <c:v>0</c:v>
                </c:pt>
              </c:numCache>
            </c:numRef>
          </c:val>
        </c:ser>
        <c:gapWidth val="100"/>
        <c:overlap val="100"/>
        <c:axId val="53956992"/>
        <c:axId val="53958528"/>
      </c:barChart>
      <c:catAx>
        <c:axId val="5395699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3958528"/>
        <c:crosses val="autoZero"/>
        <c:auto val="1"/>
        <c:lblAlgn val="ctr"/>
        <c:lblOffset val="100"/>
      </c:catAx>
      <c:valAx>
        <c:axId val="53958528"/>
        <c:scaling>
          <c:orientation val="minMax"/>
        </c:scaling>
        <c:axPos val="l"/>
        <c:majorGridlines/>
        <c:numFmt formatCode="0%" sourceLinked="1"/>
        <c:tickLblPos val="nextTo"/>
        <c:crossAx val="53956992"/>
        <c:crosses val="autoZero"/>
        <c:crossBetween val="between"/>
      </c:valAx>
    </c:plotArea>
    <c:legend>
      <c:legendPos val="r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0075226817120301E-2"/>
          <c:y val="0.10445850439979631"/>
          <c:w val="0.69082274164548352"/>
          <c:h val="0.81140495977045668"/>
        </c:manualLayout>
      </c:layout>
      <c:barChart>
        <c:barDir val="col"/>
        <c:grouping val="percentStacked"/>
        <c:ser>
          <c:idx val="0"/>
          <c:order val="0"/>
          <c:tx>
            <c:strRef>
              <c:f>'Summary-Results'!$B$21</c:f>
              <c:strCache>
                <c:ptCount val="1"/>
                <c:pt idx="0">
                  <c:v>Electric Resistance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'Summary-Results'!$C$21:$G$21</c:f>
              <c:numCache>
                <c:formatCode>0.0%</c:formatCode>
                <c:ptCount val="5"/>
                <c:pt idx="0">
                  <c:v>0.92857247077090754</c:v>
                </c:pt>
                <c:pt idx="1">
                  <c:v>0.64105506140109159</c:v>
                </c:pt>
                <c:pt idx="2">
                  <c:v>0.44256384954083616</c:v>
                </c:pt>
                <c:pt idx="3">
                  <c:v>0.3055329190293582</c:v>
                </c:pt>
                <c:pt idx="4">
                  <c:v>0.21093182044698203</c:v>
                </c:pt>
              </c:numCache>
            </c:numRef>
          </c:val>
        </c:ser>
        <c:ser>
          <c:idx val="1"/>
          <c:order val="1"/>
          <c:tx>
            <c:strRef>
              <c:f>'Summary-Results'!$B$22</c:f>
              <c:strCache>
                <c:ptCount val="1"/>
                <c:pt idx="0">
                  <c:v>HPWH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'Summary-Results'!$C$22:$G$22</c:f>
              <c:numCache>
                <c:formatCode>0.0%</c:formatCode>
                <c:ptCount val="5"/>
                <c:pt idx="0">
                  <c:v>3.1167253682246165E-2</c:v>
                </c:pt>
                <c:pt idx="1">
                  <c:v>0.15542594758849529</c:v>
                </c:pt>
                <c:pt idx="2">
                  <c:v>0.23932416373653254</c:v>
                </c:pt>
                <c:pt idx="3">
                  <c:v>0.29538908246241952</c:v>
                </c:pt>
                <c:pt idx="4">
                  <c:v>0.33227467140213379</c:v>
                </c:pt>
              </c:numCache>
            </c:numRef>
          </c:val>
        </c:ser>
        <c:ser>
          <c:idx val="2"/>
          <c:order val="2"/>
          <c:tx>
            <c:strRef>
              <c:f>'Summary-Results'!$B$23</c:f>
              <c:strCache>
                <c:ptCount val="1"/>
                <c:pt idx="0">
                  <c:v>Gas Tank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'Summary-Results'!$C$23:$G$23</c:f>
              <c:numCache>
                <c:formatCode>0.0%</c:formatCode>
                <c:ptCount val="5"/>
                <c:pt idx="0">
                  <c:v>3.9956678363431461E-6</c:v>
                </c:pt>
                <c:pt idx="1">
                  <c:v>1.963650830340362E-5</c:v>
                </c:pt>
                <c:pt idx="2">
                  <c:v>2.9744796036916236E-5</c:v>
                </c:pt>
                <c:pt idx="3">
                  <c:v>3.6053431151972992E-5</c:v>
                </c:pt>
                <c:pt idx="4">
                  <c:v>3.9760035711691253E-5</c:v>
                </c:pt>
              </c:numCache>
            </c:numRef>
          </c:val>
        </c:ser>
        <c:ser>
          <c:idx val="3"/>
          <c:order val="3"/>
          <c:tx>
            <c:strRef>
              <c:f>'Summary-Results'!$B$24</c:f>
              <c:strCache>
                <c:ptCount val="1"/>
                <c:pt idx="0">
                  <c:v>Instant Gas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'Summary-Results'!$C$24:$G$24</c:f>
              <c:numCache>
                <c:formatCode>0.0%</c:formatCode>
                <c:ptCount val="5"/>
                <c:pt idx="0">
                  <c:v>1.1371262134869057E-2</c:v>
                </c:pt>
                <c:pt idx="1">
                  <c:v>5.7963499712384355E-2</c:v>
                </c:pt>
                <c:pt idx="2">
                  <c:v>9.1461247931146447E-2</c:v>
                </c:pt>
                <c:pt idx="3">
                  <c:v>0.1159584704920598</c:v>
                </c:pt>
                <c:pt idx="4">
                  <c:v>0.13427958072452148</c:v>
                </c:pt>
              </c:numCache>
            </c:numRef>
          </c:val>
        </c:ser>
        <c:ser>
          <c:idx val="4"/>
          <c:order val="4"/>
          <c:tx>
            <c:strRef>
              <c:f>'Summary-Results'!$B$25</c:f>
              <c:strCache>
                <c:ptCount val="1"/>
                <c:pt idx="0">
                  <c:v>Condensing Gas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'Summary-Results'!$C$25:$G$25</c:f>
              <c:numCache>
                <c:formatCode>0.0%</c:formatCode>
                <c:ptCount val="5"/>
                <c:pt idx="0">
                  <c:v>2.8885017744140856E-2</c:v>
                </c:pt>
                <c:pt idx="1">
                  <c:v>0.14553585478972533</c:v>
                </c:pt>
                <c:pt idx="2">
                  <c:v>0.22662099399544794</c:v>
                </c:pt>
                <c:pt idx="3">
                  <c:v>0.28308347458501043</c:v>
                </c:pt>
                <c:pt idx="4">
                  <c:v>0.3224741673906511</c:v>
                </c:pt>
              </c:numCache>
            </c:numRef>
          </c:val>
        </c:ser>
        <c:overlap val="100"/>
        <c:axId val="53995776"/>
        <c:axId val="54005760"/>
      </c:barChart>
      <c:catAx>
        <c:axId val="5399577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54005760"/>
        <c:crosses val="autoZero"/>
        <c:auto val="1"/>
        <c:lblAlgn val="ctr"/>
        <c:lblOffset val="100"/>
      </c:catAx>
      <c:valAx>
        <c:axId val="54005760"/>
        <c:scaling>
          <c:orientation val="minMax"/>
        </c:scaling>
        <c:axPos val="l"/>
        <c:majorGridlines/>
        <c:numFmt formatCode="0%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53995776"/>
        <c:crosses val="autoZero"/>
        <c:crossBetween val="between"/>
      </c:valAx>
    </c:plotArea>
    <c:legend>
      <c:legendPos val="r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1650491362998248E-2"/>
          <c:y val="0.11366526552601984"/>
          <c:w val="0.63835846100632754"/>
          <c:h val="0.80691360948302548"/>
        </c:manualLayout>
      </c:layout>
      <c:barChart>
        <c:barDir val="col"/>
        <c:grouping val="clustered"/>
        <c:ser>
          <c:idx val="0"/>
          <c:order val="0"/>
          <c:tx>
            <c:strRef>
              <c:f>'Summary-Results'!$B$37</c:f>
              <c:strCache>
                <c:ptCount val="1"/>
                <c:pt idx="0">
                  <c:v>Consumer's Change in Natural Gas Usage</c:v>
                </c:pt>
              </c:strCache>
            </c:strRef>
          </c:tx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'Summary-Results'!$C$37:$G$37</c:f>
              <c:numCache>
                <c:formatCode>0.000</c:formatCode>
                <c:ptCount val="5"/>
                <c:pt idx="0">
                  <c:v>-1.1945299429315329E-3</c:v>
                </c:pt>
                <c:pt idx="1">
                  <c:v>-6.037862318727839E-3</c:v>
                </c:pt>
                <c:pt idx="2">
                  <c:v>-9.4364828047483005E-3</c:v>
                </c:pt>
                <c:pt idx="3">
                  <c:v>-1.1836780424622204E-2</c:v>
                </c:pt>
                <c:pt idx="4">
                  <c:v>-1.3546756740339191E-2</c:v>
                </c:pt>
              </c:numCache>
            </c:numRef>
          </c:val>
        </c:ser>
        <c:ser>
          <c:idx val="1"/>
          <c:order val="1"/>
          <c:tx>
            <c:strRef>
              <c:f>'Summary-Results'!$B$38</c:f>
              <c:strCache>
                <c:ptCount val="1"/>
                <c:pt idx="0">
                  <c:v>Utility Change in Natural Gas Usage</c:v>
                </c:pt>
              </c:strCache>
            </c:strRef>
          </c:tx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'Summary-Results'!$C$38:$G$38</c:f>
              <c:numCache>
                <c:formatCode>0.000</c:formatCode>
                <c:ptCount val="5"/>
                <c:pt idx="0">
                  <c:v>9.0761967118047971E-4</c:v>
                </c:pt>
                <c:pt idx="1">
                  <c:v>4.5880955480038666E-3</c:v>
                </c:pt>
                <c:pt idx="2">
                  <c:v>7.1714655926600037E-3</c:v>
                </c:pt>
                <c:pt idx="3">
                  <c:v>8.99675831081863E-3</c:v>
                </c:pt>
                <c:pt idx="4">
                  <c:v>1.0297897848810291E-2</c:v>
                </c:pt>
              </c:numCache>
            </c:numRef>
          </c:val>
        </c:ser>
        <c:ser>
          <c:idx val="2"/>
          <c:order val="2"/>
          <c:tx>
            <c:strRef>
              <c:f>'Summary-Results'!$B$39</c:f>
              <c:strCache>
                <c:ptCount val="1"/>
                <c:pt idx="0">
                  <c:v>Net Change in Natural Gas Usage</c:v>
                </c:pt>
              </c:strCache>
            </c:strRef>
          </c:tx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'Summary-Results'!$C$39:$G$39</c:f>
              <c:numCache>
                <c:formatCode>0.000</c:formatCode>
                <c:ptCount val="5"/>
                <c:pt idx="0">
                  <c:v>-2.8691027175105322E-4</c:v>
                </c:pt>
                <c:pt idx="1">
                  <c:v>-1.4497667707239724E-3</c:v>
                </c:pt>
                <c:pt idx="2">
                  <c:v>-2.2650172120882968E-3</c:v>
                </c:pt>
                <c:pt idx="3">
                  <c:v>-2.8400221138035735E-3</c:v>
                </c:pt>
                <c:pt idx="4">
                  <c:v>-3.2488588915288996E-3</c:v>
                </c:pt>
              </c:numCache>
            </c:numRef>
          </c:val>
        </c:ser>
        <c:axId val="54048640"/>
        <c:axId val="54050176"/>
      </c:barChart>
      <c:catAx>
        <c:axId val="54048640"/>
        <c:scaling>
          <c:orientation val="minMax"/>
        </c:scaling>
        <c:axPos val="b"/>
        <c:numFmt formatCode="General" sourceLinked="1"/>
        <c:tickLblPos val="low"/>
        <c:txPr>
          <a:bodyPr rot="0" vert="horz" anchor="ctr" anchorCtr="1"/>
          <a:lstStyle/>
          <a:p>
            <a:pPr>
              <a:defRPr sz="1200"/>
            </a:pPr>
            <a:endParaRPr lang="en-US"/>
          </a:p>
        </c:txPr>
        <c:crossAx val="54050176"/>
        <c:crosses val="autoZero"/>
        <c:auto val="1"/>
        <c:lblAlgn val="ctr"/>
        <c:lblOffset val="100"/>
      </c:catAx>
      <c:valAx>
        <c:axId val="54050176"/>
        <c:scaling>
          <c:orientation val="minMax"/>
        </c:scaling>
        <c:axPos val="l"/>
        <c:majorGridlines/>
        <c:numFmt formatCode="0.0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4048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110439683411665"/>
          <c:y val="0.30648932041389576"/>
          <c:w val="0.27889560316588347"/>
          <c:h val="0.4110986126734158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57</xdr:row>
      <xdr:rowOff>9523</xdr:rowOff>
    </xdr:from>
    <xdr:to>
      <xdr:col>11</xdr:col>
      <xdr:colOff>0</xdr:colOff>
      <xdr:row>73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28574</xdr:colOff>
      <xdr:row>3</xdr:row>
      <xdr:rowOff>9524</xdr:rowOff>
    </xdr:from>
    <xdr:to>
      <xdr:col>11</xdr:col>
      <xdr:colOff>9525</xdr:colOff>
      <xdr:row>18</xdr:row>
      <xdr:rowOff>190500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21</xdr:row>
      <xdr:rowOff>0</xdr:rowOff>
    </xdr:from>
    <xdr:to>
      <xdr:col>11</xdr:col>
      <xdr:colOff>28575</xdr:colOff>
      <xdr:row>36</xdr:row>
      <xdr:rowOff>171450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28574</xdr:colOff>
      <xdr:row>39</xdr:row>
      <xdr:rowOff>9525</xdr:rowOff>
    </xdr:from>
    <xdr:to>
      <xdr:col>10</xdr:col>
      <xdr:colOff>590549</xdr:colOff>
      <xdr:row>54</xdr:row>
      <xdr:rowOff>219075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19049</xdr:colOff>
      <xdr:row>75</xdr:row>
      <xdr:rowOff>19049</xdr:rowOff>
    </xdr:from>
    <xdr:to>
      <xdr:col>11</xdr:col>
      <xdr:colOff>66674</xdr:colOff>
      <xdr:row>91</xdr:row>
      <xdr:rowOff>9524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0.22819</cdr:x>
      <cdr:y>0.12722</cdr:y>
    </cdr:from>
    <cdr:to>
      <cdr:x>0.74664</cdr:x>
      <cdr:y>0.23373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95400" y="409575"/>
          <a:ext cx="29432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75"/>
  <sheetViews>
    <sheetView workbookViewId="0"/>
  </sheetViews>
  <sheetFormatPr defaultColWidth="9.140625" defaultRowHeight="18.75"/>
  <cols>
    <col min="1" max="1" width="5.5703125" style="121" customWidth="1"/>
    <col min="2" max="16384" width="9.140625" style="121"/>
  </cols>
  <sheetData>
    <row r="1" spans="1:11">
      <c r="A1" s="147" t="str">
        <f>CONCATENATE("Segment:  ",State,", Single Family, ", SpaceHeat, ", ", TankSize,", ", StartWH, " is starting water heater")</f>
        <v>Segment:  Montana, Single Family, Gas FAF, &gt;55 Gallons, Electric Resistance is starting water heater</v>
      </c>
    </row>
    <row r="3" spans="1:11" ht="39" customHeight="1">
      <c r="B3" s="182" t="str">
        <f>CONCATENATE("Marginal Market Shares (%) - ",State,", Single Family, ", SpaceHeat, ", ", TankSize,", ", StartWH, " is starting water heater")</f>
        <v>Marginal Market Shares (%) - Montana, Single Family, Gas FAF, &gt;55 Gallons, Electric Resistance is starting water heater</v>
      </c>
      <c r="C3" s="183"/>
      <c r="D3" s="183"/>
      <c r="E3" s="183"/>
      <c r="F3" s="183"/>
      <c r="G3" s="183"/>
      <c r="H3" s="183"/>
      <c r="I3" s="183"/>
      <c r="J3" s="183"/>
      <c r="K3" s="183"/>
    </row>
    <row r="18" spans="2:16">
      <c r="M18" s="94"/>
    </row>
    <row r="21" spans="2:16" ht="36" customHeight="1">
      <c r="B21" s="182" t="str">
        <f>CONCATENATE("Average Market Shares by Scenario (%) - ",State,", Single Family, ", SpaceHeat, ", ", TankSize,", ", StartWH, " is starting water heater")</f>
        <v>Average Market Shares by Scenario (%) - Montana, Single Family, Gas FAF, &gt;55 Gallons, Electric Resistance is starting water heater</v>
      </c>
      <c r="C21" s="183"/>
      <c r="D21" s="183"/>
      <c r="E21" s="183"/>
      <c r="F21" s="183"/>
      <c r="G21" s="183"/>
      <c r="H21" s="183"/>
      <c r="I21" s="183"/>
      <c r="J21" s="183"/>
      <c r="K21" s="183"/>
    </row>
    <row r="29" spans="2:16">
      <c r="P29" s="94"/>
    </row>
    <row r="39" spans="2:11" ht="36" customHeight="1">
      <c r="B39" s="182" t="str">
        <f>CONCATENATE("BAU Average Market Shares (%) - ",State,", Single Family, ", SpaceHeat, ", ", TankSize,", ", StartWH, " is starting water heater")</f>
        <v>BAU Average Market Shares (%) - Montana, Single Family, Gas FAF, &gt;55 Gallons, Electric Resistance is starting water heater</v>
      </c>
      <c r="C39" s="183"/>
      <c r="D39" s="183"/>
      <c r="E39" s="183"/>
      <c r="F39" s="183"/>
      <c r="G39" s="183"/>
      <c r="H39" s="183"/>
      <c r="I39" s="183"/>
      <c r="J39" s="183"/>
      <c r="K39" s="183"/>
    </row>
    <row r="57" spans="2:11" ht="38.25" customHeight="1">
      <c r="B57" s="182" t="str">
        <f>CONCATENATE("BAU Average Market Shares, 2035 (%) - ",State,", Single Family, ", SpaceHeat, ", ", TankSize,", ", StartWH, " is starting water heater")</f>
        <v>BAU Average Market Shares, 2035 (%) - Montana, Single Family, Gas FAF, &gt;55 Gallons, Electric Resistance is starting water heater</v>
      </c>
      <c r="C57" s="183"/>
      <c r="D57" s="183"/>
      <c r="E57" s="183"/>
      <c r="F57" s="183"/>
      <c r="G57" s="183"/>
      <c r="H57" s="183"/>
      <c r="I57" s="183"/>
      <c r="J57" s="183"/>
      <c r="K57" s="183"/>
    </row>
    <row r="75" spans="2:12" ht="40.5" customHeight="1">
      <c r="B75" s="182" t="str">
        <f>CONCATENATE('Input Assumptions'!B$9," Change in Natural Gas Usage Least Cost vs BAU Case (Mcf/Yr) -  ",'Input Assumptions'!B$11," ",'Input Assumptions'!B$12,", ",'Input Assumptions'!B$10," Space Heat")</f>
        <v>Montana Change in Natural Gas Usage Least Cost vs BAU Case (Mcf/Yr) -  Electric Resistance &gt;55 Gallons, Gas FAF Space Heat</v>
      </c>
      <c r="C75" s="183"/>
      <c r="D75" s="183"/>
      <c r="E75" s="183"/>
      <c r="F75" s="183"/>
      <c r="G75" s="183"/>
      <c r="H75" s="183"/>
      <c r="I75" s="183"/>
      <c r="J75" s="183"/>
      <c r="K75" s="183"/>
      <c r="L75" s="135"/>
    </row>
  </sheetData>
  <mergeCells count="5">
    <mergeCell ref="B75:K75"/>
    <mergeCell ref="B3:K3"/>
    <mergeCell ref="B21:K21"/>
    <mergeCell ref="B39:K39"/>
    <mergeCell ref="B57:K5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W81"/>
  <sheetViews>
    <sheetView workbookViewId="0">
      <selection activeCell="A2" sqref="A2"/>
    </sheetView>
  </sheetViews>
  <sheetFormatPr defaultColWidth="9.140625" defaultRowHeight="15.75"/>
  <cols>
    <col min="1" max="1" width="28.7109375" style="9" customWidth="1"/>
    <col min="2" max="11" width="11.7109375" style="9" customWidth="1"/>
    <col min="12" max="31" width="13.28515625" style="9" bestFit="1" customWidth="1"/>
    <col min="32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Montana, Single Family, Gas FAF, &gt;55 Gallons, Electric Resistance is starting water heater</v>
      </c>
    </row>
    <row r="3" spans="1:23">
      <c r="A3" s="12" t="s">
        <v>125</v>
      </c>
      <c r="H3" s="14"/>
      <c r="I3" s="14"/>
    </row>
    <row r="4" spans="1:23" ht="31.5">
      <c r="A4" s="65"/>
      <c r="B4" s="88" t="s">
        <v>124</v>
      </c>
      <c r="C4" s="93" t="s">
        <v>77</v>
      </c>
      <c r="D4" s="44"/>
      <c r="E4" s="44"/>
      <c r="F4" s="44"/>
      <c r="G4" s="44"/>
      <c r="H4" s="44"/>
    </row>
    <row r="5" spans="1:23">
      <c r="A5" s="159" t="s">
        <v>39</v>
      </c>
      <c r="B5" s="123">
        <f>NPV(DiscountRate,B12:W12)</f>
        <v>12.587056354638122</v>
      </c>
      <c r="C5" s="67"/>
      <c r="D5" s="44"/>
      <c r="E5" s="44"/>
      <c r="F5" s="44"/>
      <c r="G5" s="44"/>
      <c r="H5" s="44"/>
    </row>
    <row r="6" spans="1:23">
      <c r="A6" s="160" t="s">
        <v>95</v>
      </c>
      <c r="B6" s="124">
        <f>NPV(DiscountRate,B49:W49)</f>
        <v>11.773511894160972</v>
      </c>
      <c r="C6" s="161"/>
      <c r="D6" s="44"/>
      <c r="E6" s="44"/>
      <c r="F6" s="44"/>
      <c r="G6" s="44"/>
      <c r="H6" s="44"/>
    </row>
    <row r="7" spans="1:23">
      <c r="A7" s="160" t="s">
        <v>75</v>
      </c>
      <c r="B7" s="124">
        <f>B5-B6</f>
        <v>0.81354446047715001</v>
      </c>
      <c r="C7" s="162">
        <f>1-B6/B5</f>
        <v>6.4633416865363613E-2</v>
      </c>
    </row>
    <row r="8" spans="1:23">
      <c r="A8" s="53"/>
      <c r="E8" s="28"/>
    </row>
    <row r="9" spans="1:23">
      <c r="A9" s="12"/>
    </row>
    <row r="10" spans="1:23">
      <c r="A10" s="12" t="s">
        <v>110</v>
      </c>
    </row>
    <row r="11" spans="1:23">
      <c r="A11" s="14" t="str">
        <f t="shared" ref="A11:W11" si="0">A20</f>
        <v>Water Heat Ending</v>
      </c>
      <c r="B11" s="9">
        <f t="shared" si="0"/>
        <v>2014</v>
      </c>
      <c r="C11" s="9">
        <f t="shared" si="0"/>
        <v>2015</v>
      </c>
      <c r="D11" s="9">
        <f t="shared" si="0"/>
        <v>2016</v>
      </c>
      <c r="E11" s="9">
        <f t="shared" si="0"/>
        <v>2017</v>
      </c>
      <c r="F11" s="9">
        <f t="shared" si="0"/>
        <v>2018</v>
      </c>
      <c r="G11" s="9">
        <f t="shared" si="0"/>
        <v>2019</v>
      </c>
      <c r="H11" s="9">
        <f t="shared" si="0"/>
        <v>2020</v>
      </c>
      <c r="I11" s="9">
        <f t="shared" si="0"/>
        <v>2021</v>
      </c>
      <c r="J11" s="9">
        <f t="shared" si="0"/>
        <v>2022</v>
      </c>
      <c r="K11" s="9">
        <f t="shared" si="0"/>
        <v>2023</v>
      </c>
      <c r="L11" s="9">
        <f t="shared" si="0"/>
        <v>2024</v>
      </c>
      <c r="M11" s="9">
        <f t="shared" si="0"/>
        <v>2025</v>
      </c>
      <c r="N11" s="9">
        <f t="shared" si="0"/>
        <v>2026</v>
      </c>
      <c r="O11" s="9">
        <f t="shared" si="0"/>
        <v>2027</v>
      </c>
      <c r="P11" s="9">
        <f t="shared" si="0"/>
        <v>2028</v>
      </c>
      <c r="Q11" s="9">
        <f t="shared" si="0"/>
        <v>2029</v>
      </c>
      <c r="R11" s="9">
        <f t="shared" si="0"/>
        <v>2030</v>
      </c>
      <c r="S11" s="9">
        <f t="shared" si="0"/>
        <v>2031</v>
      </c>
      <c r="T11" s="9">
        <f t="shared" si="0"/>
        <v>2032</v>
      </c>
      <c r="U11" s="9">
        <f t="shared" si="0"/>
        <v>2033</v>
      </c>
      <c r="V11" s="9">
        <f t="shared" si="0"/>
        <v>2034</v>
      </c>
      <c r="W11" s="9">
        <f t="shared" si="0"/>
        <v>2035</v>
      </c>
    </row>
    <row r="12" spans="1:23" ht="16.5" thickBot="1">
      <c r="A12" s="48" t="s">
        <v>44</v>
      </c>
      <c r="B12" s="128">
        <f t="shared" ref="B12:W12" si="1">SUM(B13:B17)</f>
        <v>0.66954249848790159</v>
      </c>
      <c r="C12" s="128">
        <f t="shared" si="1"/>
        <v>0.9600289315506535</v>
      </c>
      <c r="D12" s="128">
        <f t="shared" si="1"/>
        <v>0.9459721628090888</v>
      </c>
      <c r="E12" s="128">
        <f t="shared" si="1"/>
        <v>0.93305155291223874</v>
      </c>
      <c r="F12" s="128">
        <f t="shared" si="1"/>
        <v>0.92120496589729395</v>
      </c>
      <c r="G12" s="128">
        <f t="shared" si="1"/>
        <v>0.91037391805164625</v>
      </c>
      <c r="H12" s="128">
        <f t="shared" si="1"/>
        <v>0.90050336932234432</v>
      </c>
      <c r="I12" s="128">
        <f t="shared" si="1"/>
        <v>0.89154152656163876</v>
      </c>
      <c r="J12" s="128">
        <f t="shared" si="1"/>
        <v>0.8834396579481123</v>
      </c>
      <c r="K12" s="128">
        <f t="shared" si="1"/>
        <v>0.87615191795898817</v>
      </c>
      <c r="L12" s="128">
        <f t="shared" si="1"/>
        <v>0.86963518230340298</v>
      </c>
      <c r="M12" s="128">
        <f t="shared" si="1"/>
        <v>0.86384889225879258</v>
      </c>
      <c r="N12" s="128">
        <f t="shared" si="1"/>
        <v>0.85875490788319164</v>
      </c>
      <c r="O12" s="128">
        <f t="shared" si="1"/>
        <v>0.85431736960525106</v>
      </c>
      <c r="P12" s="128">
        <f t="shared" si="1"/>
        <v>0.85050256772123622</v>
      </c>
      <c r="Q12" s="128">
        <f t="shared" si="1"/>
        <v>0.84727881935424754</v>
      </c>
      <c r="R12" s="128">
        <f t="shared" si="1"/>
        <v>0.84461635245549305</v>
      </c>
      <c r="S12" s="128">
        <f t="shared" si="1"/>
        <v>0.84248719645069703</v>
      </c>
      <c r="T12" s="128">
        <f t="shared" si="1"/>
        <v>0.84086507915673891</v>
      </c>
      <c r="U12" s="128">
        <f t="shared" si="1"/>
        <v>0.83972532961442281</v>
      </c>
      <c r="V12" s="128">
        <f t="shared" si="1"/>
        <v>0.83904478650296932</v>
      </c>
      <c r="W12" s="128">
        <f t="shared" si="1"/>
        <v>0.83880171182042584</v>
      </c>
    </row>
    <row r="13" spans="1:23" ht="16.5" thickTop="1">
      <c r="A13" s="37" t="str">
        <f>A22</f>
        <v>Electric Resistance</v>
      </c>
      <c r="B13" s="122">
        <f t="shared" ref="B13:W13" si="2">(B22+B31+B40)</f>
        <v>0.66954249848790159</v>
      </c>
      <c r="C13" s="122">
        <f t="shared" si="2"/>
        <v>0.62969919280366204</v>
      </c>
      <c r="D13" s="122">
        <f t="shared" si="2"/>
        <v>0.5922270528973782</v>
      </c>
      <c r="E13" s="122">
        <f t="shared" si="2"/>
        <v>0.55698599185964492</v>
      </c>
      <c r="F13" s="122">
        <f t="shared" si="2"/>
        <v>0.52384309069974977</v>
      </c>
      <c r="G13" s="122">
        <f t="shared" si="2"/>
        <v>0.49267335501651649</v>
      </c>
      <c r="H13" s="122">
        <f t="shared" si="2"/>
        <v>0.46335924212462987</v>
      </c>
      <c r="I13" s="122">
        <f t="shared" si="2"/>
        <v>0.43579021642743931</v>
      </c>
      <c r="J13" s="122">
        <f t="shared" si="2"/>
        <v>0.40986233134689321</v>
      </c>
      <c r="K13" s="122">
        <f t="shared" si="2"/>
        <v>0.38547783622244103</v>
      </c>
      <c r="L13" s="122">
        <f t="shared" si="2"/>
        <v>0.36254480668584904</v>
      </c>
      <c r="M13" s="122">
        <f t="shared" si="2"/>
        <v>0.34097679710828394</v>
      </c>
      <c r="N13" s="122">
        <f t="shared" si="2"/>
        <v>0.32069251380006453</v>
      </c>
      <c r="O13" s="122">
        <f t="shared" si="2"/>
        <v>0.30161550772247891</v>
      </c>
      <c r="P13" s="122">
        <f t="shared" si="2"/>
        <v>0.28367388554533735</v>
      </c>
      <c r="Q13" s="122">
        <f t="shared" si="2"/>
        <v>0.26680003795373847</v>
      </c>
      <c r="R13" s="122">
        <f t="shared" si="2"/>
        <v>0.25093038417315466</v>
      </c>
      <c r="S13" s="122">
        <f t="shared" si="2"/>
        <v>0.23600513174363699</v>
      </c>
      <c r="T13" s="122">
        <f t="shared" si="2"/>
        <v>0.22196805063193392</v>
      </c>
      <c r="U13" s="122">
        <f t="shared" si="2"/>
        <v>0.20876626082483771</v>
      </c>
      <c r="V13" s="122">
        <f t="shared" si="2"/>
        <v>0.19635003259832506</v>
      </c>
      <c r="W13" s="122">
        <f t="shared" si="2"/>
        <v>0.18467259870524008</v>
      </c>
    </row>
    <row r="14" spans="1:23">
      <c r="A14" s="37" t="str">
        <f>A23</f>
        <v>HPWH</v>
      </c>
      <c r="B14" s="122">
        <f t="shared" ref="B14:W14" si="3">(B23+B32+B41)</f>
        <v>0</v>
      </c>
      <c r="C14" s="122">
        <f t="shared" si="3"/>
        <v>0.10987418852573899</v>
      </c>
      <c r="D14" s="122">
        <f t="shared" si="3"/>
        <v>0.12096513153025006</v>
      </c>
      <c r="E14" s="122">
        <f t="shared" si="3"/>
        <v>0.13149019877962642</v>
      </c>
      <c r="F14" s="122">
        <f t="shared" si="3"/>
        <v>0.14148471156232606</v>
      </c>
      <c r="G14" s="122">
        <f t="shared" si="3"/>
        <v>0.15098187749292985</v>
      </c>
      <c r="H14" s="122">
        <f t="shared" si="3"/>
        <v>0.16001291878789409</v>
      </c>
      <c r="I14" s="122">
        <f t="shared" si="3"/>
        <v>0.16860719275368147</v>
      </c>
      <c r="J14" s="122">
        <f t="shared" si="3"/>
        <v>0.17679230496238305</v>
      </c>
      <c r="K14" s="122">
        <f t="shared" si="3"/>
        <v>0.18459421556082975</v>
      </c>
      <c r="L14" s="122">
        <f t="shared" si="3"/>
        <v>0.1920373391318731</v>
      </c>
      <c r="M14" s="122">
        <f t="shared" si="3"/>
        <v>0.19914463850087666</v>
      </c>
      <c r="N14" s="122">
        <f t="shared" si="3"/>
        <v>0.2059377128564007</v>
      </c>
      <c r="O14" s="122">
        <f t="shared" si="3"/>
        <v>0.21243688053148341</v>
      </c>
      <c r="P14" s="122">
        <f t="shared" si="3"/>
        <v>0.21866125677073062</v>
      </c>
      <c r="Q14" s="122">
        <f t="shared" si="3"/>
        <v>0.22462882678854043</v>
      </c>
      <c r="R14" s="122">
        <f t="shared" si="3"/>
        <v>0.23035651440512112</v>
      </c>
      <c r="S14" s="122">
        <f t="shared" si="3"/>
        <v>0.23586024652944532</v>
      </c>
      <c r="T14" s="122">
        <f t="shared" si="3"/>
        <v>0.24115501374183834</v>
      </c>
      <c r="U14" s="122">
        <f t="shared" si="3"/>
        <v>0.24625492721346601</v>
      </c>
      <c r="V14" s="122">
        <f t="shared" si="3"/>
        <v>0.25117327218550362</v>
      </c>
      <c r="W14" s="122">
        <f t="shared" si="3"/>
        <v>0.2559225582171657</v>
      </c>
    </row>
    <row r="15" spans="1:23">
      <c r="A15" s="37" t="str">
        <f>A24</f>
        <v>Gas Tank</v>
      </c>
      <c r="B15" s="122">
        <f t="shared" ref="B15:W15" si="4">(B24+B33+B42)</f>
        <v>0</v>
      </c>
      <c r="C15" s="122">
        <f t="shared" si="4"/>
        <v>7.057390197972317E-6</v>
      </c>
      <c r="D15" s="122">
        <f t="shared" si="4"/>
        <v>8.1356996725129415E-6</v>
      </c>
      <c r="E15" s="122">
        <f t="shared" si="4"/>
        <v>9.1545638200030561E-6</v>
      </c>
      <c r="F15" s="122">
        <f t="shared" si="4"/>
        <v>1.0117551391149046E-5</v>
      </c>
      <c r="G15" s="122">
        <f t="shared" si="4"/>
        <v>1.1028018918271507E-5</v>
      </c>
      <c r="H15" s="122">
        <f t="shared" si="4"/>
        <v>1.1889123487768921E-5</v>
      </c>
      <c r="I15" s="122">
        <f t="shared" si="4"/>
        <v>1.2703834738661062E-5</v>
      </c>
      <c r="J15" s="122">
        <f t="shared" si="4"/>
        <v>1.3474946134541359E-5</v>
      </c>
      <c r="K15" s="122">
        <f t="shared" si="4"/>
        <v>1.4205085553343493E-5</v>
      </c>
      <c r="L15" s="122">
        <f t="shared" si="4"/>
        <v>1.4896725236586518E-5</v>
      </c>
      <c r="M15" s="122">
        <f t="shared" si="4"/>
        <v>1.5552191137193156E-5</v>
      </c>
      <c r="N15" s="122">
        <f t="shared" si="4"/>
        <v>1.6173671702565747E-5</v>
      </c>
      <c r="O15" s="122">
        <f t="shared" si="4"/>
        <v>1.6763226127344949E-5</v>
      </c>
      <c r="P15" s="122">
        <f t="shared" si="4"/>
        <v>1.732279210815737E-5</v>
      </c>
      <c r="Q15" s="122">
        <f t="shared" si="4"/>
        <v>1.7854193130671133E-5</v>
      </c>
      <c r="R15" s="122">
        <f t="shared" si="4"/>
        <v>1.8359145317414699E-5</v>
      </c>
      <c r="S15" s="122">
        <f t="shared" si="4"/>
        <v>1.8839263863066607E-5</v>
      </c>
      <c r="T15" s="122">
        <f t="shared" si="4"/>
        <v>1.9296069082284306E-5</v>
      </c>
      <c r="U15" s="122">
        <f t="shared" si="4"/>
        <v>1.9730992093602747E-5</v>
      </c>
      <c r="V15" s="122">
        <f t="shared" si="4"/>
        <v>2.014538016149082E-5</v>
      </c>
      <c r="W15" s="122">
        <f t="shared" si="4"/>
        <v>2.054050171730089E-5</v>
      </c>
    </row>
    <row r="16" spans="1:23">
      <c r="A16" s="37" t="str">
        <f>A25</f>
        <v>Instant Gas</v>
      </c>
      <c r="B16" s="122">
        <f t="shared" ref="B16:W16" si="5">(B25+B34+B43)</f>
        <v>0</v>
      </c>
      <c r="C16" s="122">
        <f t="shared" si="5"/>
        <v>8.4293117749092039E-2</v>
      </c>
      <c r="D16" s="122">
        <f t="shared" si="5"/>
        <v>8.8814565231872103E-2</v>
      </c>
      <c r="E16" s="122">
        <f t="shared" si="5"/>
        <v>9.3146082072306263E-2</v>
      </c>
      <c r="F16" s="122">
        <f t="shared" si="5"/>
        <v>9.7301317593685516E-2</v>
      </c>
      <c r="G16" s="122">
        <f t="shared" si="5"/>
        <v>0.10129305722345026</v>
      </c>
      <c r="H16" s="122">
        <f t="shared" si="5"/>
        <v>0.10513327960463573</v>
      </c>
      <c r="I16" s="122">
        <f t="shared" si="5"/>
        <v>0.10883320991907947</v>
      </c>
      <c r="J16" s="122">
        <f t="shared" si="5"/>
        <v>0.11240336967658252</v>
      </c>
      <c r="K16" s="122">
        <f t="shared" si="5"/>
        <v>0.11585362320700474</v>
      </c>
      <c r="L16" s="122">
        <f t="shared" si="5"/>
        <v>0.1191932210762385</v>
      </c>
      <c r="M16" s="122">
        <f t="shared" si="5"/>
        <v>0.12243084063206522</v>
      </c>
      <c r="N16" s="122">
        <f t="shared" si="5"/>
        <v>0.12557462387197216</v>
      </c>
      <c r="O16" s="122">
        <f t="shared" si="5"/>
        <v>0.12863221281203821</v>
      </c>
      <c r="P16" s="122">
        <f t="shared" si="5"/>
        <v>0.1316107825239026</v>
      </c>
      <c r="Q16" s="122">
        <f t="shared" si="5"/>
        <v>0.13451707199556676</v>
      </c>
      <c r="R16" s="122">
        <f t="shared" si="5"/>
        <v>0.13735741296127785</v>
      </c>
      <c r="S16" s="122">
        <f t="shared" si="5"/>
        <v>0.14013775683595647</v>
      </c>
      <c r="T16" s="122">
        <f t="shared" si="5"/>
        <v>0.14286369988051062</v>
      </c>
      <c r="U16" s="122">
        <f t="shared" si="5"/>
        <v>0.14554050671587551</v>
      </c>
      <c r="V16" s="122">
        <f t="shared" si="5"/>
        <v>0.14817313229569609</v>
      </c>
      <c r="W16" s="122">
        <f t="shared" si="5"/>
        <v>0.15076624244018111</v>
      </c>
    </row>
    <row r="17" spans="1:23">
      <c r="A17" s="37" t="str">
        <f>A26</f>
        <v>Condensing Gas</v>
      </c>
      <c r="B17" s="122">
        <f t="shared" ref="B17:W17" si="6">(B26+B35+B44)</f>
        <v>0</v>
      </c>
      <c r="C17" s="122">
        <f t="shared" si="6"/>
        <v>0.13615537508196254</v>
      </c>
      <c r="D17" s="122">
        <f t="shared" si="6"/>
        <v>0.1439572774499159</v>
      </c>
      <c r="E17" s="122">
        <f t="shared" si="6"/>
        <v>0.15142012563684118</v>
      </c>
      <c r="F17" s="122">
        <f t="shared" si="6"/>
        <v>0.15856572849014142</v>
      </c>
      <c r="G17" s="122">
        <f t="shared" si="6"/>
        <v>0.16541460029983135</v>
      </c>
      <c r="H17" s="122">
        <f t="shared" si="6"/>
        <v>0.17198603968169685</v>
      </c>
      <c r="I17" s="122">
        <f t="shared" si="6"/>
        <v>0.17829820362669993</v>
      </c>
      <c r="J17" s="122">
        <f t="shared" si="6"/>
        <v>0.18436817701611891</v>
      </c>
      <c r="K17" s="122">
        <f t="shared" si="6"/>
        <v>0.19021203788315919</v>
      </c>
      <c r="L17" s="122">
        <f t="shared" si="6"/>
        <v>0.1958449186842057</v>
      </c>
      <c r="M17" s="122">
        <f t="shared" si="6"/>
        <v>0.20128106382642957</v>
      </c>
      <c r="N17" s="122">
        <f t="shared" si="6"/>
        <v>0.2065338836830517</v>
      </c>
      <c r="O17" s="122">
        <f t="shared" si="6"/>
        <v>0.2116160053131233</v>
      </c>
      <c r="P17" s="122">
        <f t="shared" si="6"/>
        <v>0.21653932008915744</v>
      </c>
      <c r="Q17" s="122">
        <f t="shared" si="6"/>
        <v>0.22131502842327122</v>
      </c>
      <c r="R17" s="122">
        <f t="shared" si="6"/>
        <v>0.22595368177062208</v>
      </c>
      <c r="S17" s="122">
        <f t="shared" si="6"/>
        <v>0.23046522207779518</v>
      </c>
      <c r="T17" s="122">
        <f t="shared" si="6"/>
        <v>0.23485901883337362</v>
      </c>
      <c r="U17" s="122">
        <f t="shared" si="6"/>
        <v>0.23914390386814996</v>
      </c>
      <c r="V17" s="122">
        <f t="shared" si="6"/>
        <v>0.24332820404328298</v>
      </c>
      <c r="W17" s="122">
        <f t="shared" si="6"/>
        <v>0.24741977195612158</v>
      </c>
    </row>
    <row r="18" spans="1:23">
      <c r="A18" s="12"/>
    </row>
    <row r="19" spans="1:23">
      <c r="A19" s="12" t="s">
        <v>111</v>
      </c>
    </row>
    <row r="20" spans="1:23">
      <c r="A20" s="14" t="str">
        <f>'Water Heaters Purchased'!A4</f>
        <v>Water Heat Ending</v>
      </c>
      <c r="B20" s="9">
        <f>'Water Heaters Purchased'!B4</f>
        <v>2014</v>
      </c>
      <c r="C20" s="9">
        <f>'Water Heaters Purchased'!C4</f>
        <v>2015</v>
      </c>
      <c r="D20" s="9">
        <f>'Water Heaters Purchased'!D4</f>
        <v>2016</v>
      </c>
      <c r="E20" s="9">
        <f>'Water Heaters Purchased'!E4</f>
        <v>2017</v>
      </c>
      <c r="F20" s="9">
        <f>'Water Heaters Purchased'!F4</f>
        <v>2018</v>
      </c>
      <c r="G20" s="9">
        <f>'Water Heaters Purchased'!G4</f>
        <v>2019</v>
      </c>
      <c r="H20" s="9">
        <f>'Water Heaters Purchased'!H4</f>
        <v>2020</v>
      </c>
      <c r="I20" s="9">
        <f>'Water Heaters Purchased'!I4</f>
        <v>2021</v>
      </c>
      <c r="J20" s="9">
        <f>'Water Heaters Purchased'!J4</f>
        <v>2022</v>
      </c>
      <c r="K20" s="9">
        <f>'Water Heaters Purchased'!K4</f>
        <v>2023</v>
      </c>
      <c r="L20" s="9">
        <f>'Water Heaters Purchased'!L4</f>
        <v>2024</v>
      </c>
      <c r="M20" s="9">
        <f>'Water Heaters Purchased'!M4</f>
        <v>2025</v>
      </c>
      <c r="N20" s="9">
        <f>'Water Heaters Purchased'!N4</f>
        <v>2026</v>
      </c>
      <c r="O20" s="9">
        <f>'Water Heaters Purchased'!O4</f>
        <v>2027</v>
      </c>
      <c r="P20" s="9">
        <f>'Water Heaters Purchased'!P4</f>
        <v>2028</v>
      </c>
      <c r="Q20" s="9">
        <f>'Water Heaters Purchased'!Q4</f>
        <v>2029</v>
      </c>
      <c r="R20" s="9">
        <f>'Water Heaters Purchased'!R4</f>
        <v>2030</v>
      </c>
      <c r="S20" s="9">
        <f>'Water Heaters Purchased'!S4</f>
        <v>2031</v>
      </c>
      <c r="T20" s="9">
        <f>'Water Heaters Purchased'!T4</f>
        <v>2032</v>
      </c>
      <c r="U20" s="9">
        <f>'Water Heaters Purchased'!U4</f>
        <v>2033</v>
      </c>
      <c r="V20" s="9">
        <f>'Water Heaters Purchased'!V4</f>
        <v>2034</v>
      </c>
      <c r="W20" s="9">
        <f>'Water Heaters Purchased'!W4</f>
        <v>2035</v>
      </c>
    </row>
    <row r="21" spans="1:23" ht="16.5" thickBot="1">
      <c r="A21" s="48" t="s">
        <v>44</v>
      </c>
      <c r="B21" s="128">
        <f>SUM(B22:B26)</f>
        <v>0</v>
      </c>
      <c r="C21" s="128">
        <f t="shared" ref="C21:W21" si="7">SUM(C22:C26)</f>
        <v>0.30601350415543971</v>
      </c>
      <c r="D21" s="128">
        <f t="shared" si="7"/>
        <v>0.30628239348098929</v>
      </c>
      <c r="E21" s="128">
        <f t="shared" si="7"/>
        <v>0.30655201826521061</v>
      </c>
      <c r="F21" s="128">
        <f t="shared" si="7"/>
        <v>0.30682235850686179</v>
      </c>
      <c r="G21" s="128">
        <f t="shared" si="7"/>
        <v>0.30709339390338297</v>
      </c>
      <c r="H21" s="128">
        <f t="shared" si="7"/>
        <v>0.30736510385215177</v>
      </c>
      <c r="I21" s="128">
        <f t="shared" si="7"/>
        <v>0.30763746745181708</v>
      </c>
      <c r="J21" s="128">
        <f t="shared" si="7"/>
        <v>0.30791046350371354</v>
      </c>
      <c r="K21" s="128">
        <f t="shared" si="7"/>
        <v>0.30818407051335839</v>
      </c>
      <c r="L21" s="128">
        <f t="shared" si="7"/>
        <v>0.30845826669203369</v>
      </c>
      <c r="M21" s="128">
        <f t="shared" si="7"/>
        <v>0.30873302995845647</v>
      </c>
      <c r="N21" s="128">
        <f t="shared" si="7"/>
        <v>0.30900833794053906</v>
      </c>
      <c r="O21" s="128">
        <f t="shared" si="7"/>
        <v>0.30928416797724367</v>
      </c>
      <c r="P21" s="128">
        <f t="shared" si="7"/>
        <v>0.30956049712053213</v>
      </c>
      <c r="Q21" s="128">
        <f t="shared" si="7"/>
        <v>0.30983730213741689</v>
      </c>
      <c r="R21" s="128">
        <f t="shared" si="7"/>
        <v>0.31011455951211364</v>
      </c>
      <c r="S21" s="128">
        <f t="shared" si="7"/>
        <v>0.31039224544830057</v>
      </c>
      <c r="T21" s="128">
        <f t="shared" si="7"/>
        <v>0.31067033587148818</v>
      </c>
      <c r="U21" s="128">
        <f t="shared" si="7"/>
        <v>0.31094880643150158</v>
      </c>
      <c r="V21" s="128">
        <f t="shared" si="7"/>
        <v>0.31122763250508068</v>
      </c>
      <c r="W21" s="128">
        <f t="shared" si="7"/>
        <v>0.31150678919860042</v>
      </c>
    </row>
    <row r="22" spans="1:23" ht="16.5" thickTop="1">
      <c r="A22" s="9" t="str">
        <f>'Water Heaters Purchased'!A6</f>
        <v>Electric Resistance</v>
      </c>
      <c r="B22" s="122">
        <f>('Water Heaters Purchased'!B6*'Capital Cost'!$E5)/1000000</f>
        <v>0</v>
      </c>
      <c r="C22" s="122">
        <f>('Water Heaters Purchased'!C6*'Capital Cost'!$E5)/1000000</f>
        <v>1.2442441946126396E-6</v>
      </c>
      <c r="D22" s="122">
        <f>('Water Heaters Purchased'!D6*'Capital Cost'!$E5)/1000000</f>
        <v>1.229139062840182E-6</v>
      </c>
      <c r="E22" s="122">
        <f>('Water Heaters Purchased'!E6*'Capital Cost'!$E5)/1000000</f>
        <v>1.2142693430312265E-6</v>
      </c>
      <c r="F22" s="122">
        <f>('Water Heaters Purchased'!F6*'Capital Cost'!$E5)/1000000</f>
        <v>1.1996318112433975E-6</v>
      </c>
      <c r="G22" s="122">
        <f>('Water Heaters Purchased'!G6*'Capital Cost'!$E5)/1000000</f>
        <v>1.1852232725752042E-6</v>
      </c>
      <c r="H22" s="122">
        <f>('Water Heaters Purchased'!H6*'Capital Cost'!$E5)/1000000</f>
        <v>1.1710405614854907E-6</v>
      </c>
      <c r="I22" s="122">
        <f>('Water Heaters Purchased'!I6*'Capital Cost'!$E5)/1000000</f>
        <v>1.1570805420884093E-6</v>
      </c>
      <c r="J22" s="122">
        <f>('Water Heaters Purchased'!J6*'Capital Cost'!$E5)/1000000</f>
        <v>1.143340108424543E-6</v>
      </c>
      <c r="K22" s="122">
        <f>('Water Heaters Purchased'!K6*'Capital Cost'!$E5)/1000000</f>
        <v>1.12981618470878E-6</v>
      </c>
      <c r="L22" s="122">
        <f>('Water Heaters Purchased'!L6*'Capital Cost'!$E5)/1000000</f>
        <v>1.1165057255555712E-6</v>
      </c>
      <c r="M22" s="122">
        <f>('Water Heaters Purchased'!M6*'Capital Cost'!$E5)/1000000</f>
        <v>1.1034057161821738E-6</v>
      </c>
      <c r="N22" s="122">
        <f>('Water Heaters Purchased'!N6*'Capital Cost'!$E5)/1000000</f>
        <v>1.0905131725904865E-6</v>
      </c>
      <c r="O22" s="122">
        <f>('Water Heaters Purchased'!O6*'Capital Cost'!$E5)/1000000</f>
        <v>1.0778251417280971E-6</v>
      </c>
      <c r="P22" s="122">
        <f>('Water Heaters Purchased'!P6*'Capital Cost'!$E5)/1000000</f>
        <v>1.0653387016291207E-6</v>
      </c>
      <c r="Q22" s="122">
        <f>('Water Heaters Purchased'!Q6*'Capital Cost'!$E5)/1000000</f>
        <v>1.0530509615354451E-6</v>
      </c>
      <c r="R22" s="122">
        <f>('Water Heaters Purchased'!R6*'Capital Cost'!$E5)/1000000</f>
        <v>1.0409590619989596E-6</v>
      </c>
      <c r="S22" s="122">
        <f>('Water Heaters Purchased'!S6*'Capital Cost'!$E5)/1000000</f>
        <v>1.029060174965359E-6</v>
      </c>
      <c r="T22" s="122">
        <f>('Water Heaters Purchased'!T6*'Capital Cost'!$E5)/1000000</f>
        <v>1.0173515038400948E-6</v>
      </c>
      <c r="U22" s="122">
        <f>('Water Heaters Purchased'!U6*'Capital Cost'!$E5)/1000000</f>
        <v>1.0058302835370536E-6</v>
      </c>
      <c r="V22" s="122">
        <f>('Water Heaters Purchased'!V6*'Capital Cost'!$E5)/1000000</f>
        <v>9.9449378051051444E-7</v>
      </c>
      <c r="W22" s="122">
        <f>('Water Heaters Purchased'!W6*'Capital Cost'!$E5)/1000000</f>
        <v>9.8333929277095265E-7</v>
      </c>
    </row>
    <row r="23" spans="1:23">
      <c r="A23" s="9" t="str">
        <f>'Water Heaters Purchased'!A7</f>
        <v>HPWH</v>
      </c>
      <c r="B23" s="122">
        <f>('Water Heaters Purchased'!B7*'Capital Cost'!$E6)/1000000</f>
        <v>0</v>
      </c>
      <c r="C23" s="122">
        <f>('Water Heaters Purchased'!C7*'Capital Cost'!$E6)/1000000</f>
        <v>9.7902322910546874E-2</v>
      </c>
      <c r="D23" s="122">
        <f>('Water Heaters Purchased'!D7*'Capital Cost'!$E6)/1000000</f>
        <v>9.7625442396943263E-2</v>
      </c>
      <c r="E23" s="122">
        <f>('Water Heaters Purchased'!E7*'Capital Cost'!$E6)/1000000</f>
        <v>9.7349190844922898E-2</v>
      </c>
      <c r="F23" s="122">
        <f>('Water Heaters Purchased'!F7*'Capital Cost'!$E6)/1000000</f>
        <v>9.7073602349416171E-2</v>
      </c>
      <c r="G23" s="122">
        <f>('Water Heaters Purchased'!G7*'Capital Cost'!$E6)/1000000</f>
        <v>9.6798710936046237E-2</v>
      </c>
      <c r="H23" s="122">
        <f>('Water Heaters Purchased'!H7*'Capital Cost'!$E6)/1000000</f>
        <v>9.6524550548453172E-2</v>
      </c>
      <c r="I23" s="122">
        <f>('Water Heaters Purchased'!I7*'Capital Cost'!$E6)/1000000</f>
        <v>9.6251155035705402E-2</v>
      </c>
      <c r="J23" s="122">
        <f>('Water Heaters Purchased'!J7*'Capital Cost'!$E6)/1000000</f>
        <v>9.5978558139810141E-2</v>
      </c>
      <c r="K23" s="122">
        <f>('Water Heaters Purchased'!K7*'Capital Cost'!$E6)/1000000</f>
        <v>9.5706793483334232E-2</v>
      </c>
      <c r="L23" s="122">
        <f>('Water Heaters Purchased'!L7*'Capital Cost'!$E6)/1000000</f>
        <v>9.5435894557146378E-2</v>
      </c>
      <c r="M23" s="122">
        <f>('Water Heaters Purchased'!M7*'Capital Cost'!$E6)/1000000</f>
        <v>9.5165894708292245E-2</v>
      </c>
      <c r="N23" s="122">
        <f>('Water Heaters Purchased'!N7*'Capital Cost'!$E6)/1000000</f>
        <v>9.4896827128012201E-2</v>
      </c>
      <c r="O23" s="122">
        <f>('Water Heaters Purchased'!O7*'Capital Cost'!$E6)/1000000</f>
        <v>9.4628724839913969E-2</v>
      </c>
      <c r="P23" s="122">
        <f>('Water Heaters Purchased'!P7*'Capital Cost'!$E6)/1000000</f>
        <v>9.4361620688308015E-2</v>
      </c>
      <c r="Q23" s="122">
        <f>('Water Heaters Purchased'!Q7*'Capital Cost'!$E6)/1000000</f>
        <v>9.4095547326717863E-2</v>
      </c>
      <c r="R23" s="122">
        <f>('Water Heaters Purchased'!R7*'Capital Cost'!$E6)/1000000</f>
        <v>9.3830537206573084E-2</v>
      </c>
      <c r="S23" s="122">
        <f>('Water Heaters Purchased'!S7*'Capital Cost'!$E6)/1000000</f>
        <v>9.3566622566095603E-2</v>
      </c>
      <c r="T23" s="122">
        <f>('Water Heaters Purchased'!T7*'Capital Cost'!$E6)/1000000</f>
        <v>9.3303835419387457E-2</v>
      </c>
      <c r="U23" s="122">
        <f>('Water Heaters Purchased'!U7*'Capital Cost'!$E6)/1000000</f>
        <v>9.30422075457287E-2</v>
      </c>
      <c r="V23" s="122">
        <f>('Water Heaters Purchased'!V7*'Capital Cost'!$E6)/1000000</f>
        <v>9.2781770479094042E-2</v>
      </c>
      <c r="W23" s="122">
        <f>('Water Heaters Purchased'!W7*'Capital Cost'!$E6)/1000000</f>
        <v>9.2522555497894954E-2</v>
      </c>
    </row>
    <row r="24" spans="1:23">
      <c r="A24" s="9" t="str">
        <f>'Water Heaters Purchased'!A8</f>
        <v>Gas Tank</v>
      </c>
      <c r="B24" s="122">
        <f>('Water Heaters Purchased'!B8*'Capital Cost'!$E7)/1000000</f>
        <v>0</v>
      </c>
      <c r="C24" s="122">
        <f>('Water Heaters Purchased'!C8*'Capital Cost'!$E7)/1000000</f>
        <v>5.8676063015046693E-6</v>
      </c>
      <c r="D24" s="122">
        <f>('Water Heaters Purchased'!D8*'Capital Cost'!$E7)/1000000</f>
        <v>5.8196053157357227E-6</v>
      </c>
      <c r="E24" s="122">
        <f>('Water Heaters Purchased'!E8*'Capital Cost'!$E7)/1000000</f>
        <v>5.7718426323070511E-6</v>
      </c>
      <c r="F24" s="122">
        <f>('Water Heaters Purchased'!F8*'Capital Cost'!$E7)/1000000</f>
        <v>5.7243228914424728E-6</v>
      </c>
      <c r="G24" s="122">
        <f>('Water Heaters Purchased'!G8*'Capital Cost'!$E7)/1000000</f>
        <v>5.6770506131960108E-6</v>
      </c>
      <c r="H24" s="122">
        <f>('Water Heaters Purchased'!H8*'Capital Cost'!$E7)/1000000</f>
        <v>5.6300301963281102E-6</v>
      </c>
      <c r="I24" s="122">
        <f>('Water Heaters Purchased'!I8*'Capital Cost'!$E7)/1000000</f>
        <v>5.5832659172951845E-6</v>
      </c>
      <c r="J24" s="122">
        <f>('Water Heaters Purchased'!J8*'Capital Cost'!$E7)/1000000</f>
        <v>5.5367619293522941E-6</v>
      </c>
      <c r="K24" s="122">
        <f>('Water Heaters Purchased'!K8*'Capital Cost'!$E7)/1000000</f>
        <v>5.4905222617682703E-6</v>
      </c>
      <c r="L24" s="122">
        <f>('Water Heaters Purchased'!L8*'Capital Cost'!$E7)/1000000</f>
        <v>5.4445508191523803E-6</v>
      </c>
      <c r="M24" s="122">
        <f>('Water Heaters Purchased'!M8*'Capital Cost'!$E7)/1000000</f>
        <v>5.398851380891882E-6</v>
      </c>
      <c r="N24" s="122">
        <f>('Water Heaters Purchased'!N8*'Capital Cost'!$E7)/1000000</f>
        <v>5.3534276006991364E-6</v>
      </c>
      <c r="O24" s="122">
        <f>('Water Heaters Purchased'!O8*'Capital Cost'!$E7)/1000000</f>
        <v>5.3082830062671737E-6</v>
      </c>
      <c r="P24" s="122">
        <f>('Water Heaters Purchased'!P8*'Capital Cost'!$E7)/1000000</f>
        <v>5.2634209990323269E-6</v>
      </c>
      <c r="Q24" s="122">
        <f>('Water Heaters Purchased'!Q8*'Capital Cost'!$E7)/1000000</f>
        <v>5.2188448540424721E-6</v>
      </c>
      <c r="R24" s="122">
        <f>('Water Heaters Purchased'!R8*'Capital Cost'!$E7)/1000000</f>
        <v>5.1745577199291282E-6</v>
      </c>
      <c r="S24" s="122">
        <f>('Water Heaters Purchased'!S8*'Capital Cost'!$E7)/1000000</f>
        <v>5.1305626189817639E-6</v>
      </c>
      <c r="T24" s="122">
        <f>('Water Heaters Purchased'!T8*'Capital Cost'!$E7)/1000000</f>
        <v>5.0868624473223606E-6</v>
      </c>
      <c r="U24" s="122">
        <f>('Water Heaters Purchased'!U8*'Capital Cost'!$E7)/1000000</f>
        <v>5.0434599751783346E-6</v>
      </c>
      <c r="V24" s="122">
        <f>('Water Heaters Purchased'!V8*'Capital Cost'!$E7)/1000000</f>
        <v>5.0003578472515922E-6</v>
      </c>
      <c r="W24" s="122">
        <f>('Water Heaters Purchased'!W8*'Capital Cost'!$E7)/1000000</f>
        <v>4.9575585831815733E-6</v>
      </c>
    </row>
    <row r="25" spans="1:23">
      <c r="A25" s="9" t="str">
        <f>'Water Heaters Purchased'!A9</f>
        <v>Instant Gas</v>
      </c>
      <c r="B25" s="122">
        <f>('Water Heaters Purchased'!B9*'Capital Cost'!$E8)/1000000</f>
        <v>0</v>
      </c>
      <c r="C25" s="122">
        <f>('Water Heaters Purchased'!C9*'Capital Cost'!$E8)/1000000</f>
        <v>7.9983139658687391E-2</v>
      </c>
      <c r="D25" s="122">
        <f>('Water Heaters Purchased'!D9*'Capital Cost'!$E8)/1000000</f>
        <v>8.0401824937671854E-2</v>
      </c>
      <c r="E25" s="122">
        <f>('Water Heaters Purchased'!E9*'Capital Cost'!$E8)/1000000</f>
        <v>8.0823205840411083E-2</v>
      </c>
      <c r="F25" s="122">
        <f>('Water Heaters Purchased'!F9*'Capital Cost'!$E8)/1000000</f>
        <v>8.1247266255458375E-2</v>
      </c>
      <c r="G25" s="122">
        <f>('Water Heaters Purchased'!G9*'Capital Cost'!$E8)/1000000</f>
        <v>8.1673989177903125E-2</v>
      </c>
      <c r="H25" s="122">
        <f>('Water Heaters Purchased'!H9*'Capital Cost'!$E8)/1000000</f>
        <v>8.210335669862609E-2</v>
      </c>
      <c r="I25" s="122">
        <f>('Water Heaters Purchased'!I9*'Capital Cost'!$E8)/1000000</f>
        <v>8.2535349993864637E-2</v>
      </c>
      <c r="J25" s="122">
        <f>('Water Heaters Purchased'!J9*'Capital Cost'!$E8)/1000000</f>
        <v>8.2969949315106317E-2</v>
      </c>
      <c r="K25" s="122">
        <f>('Water Heaters Purchased'!K9*'Capital Cost'!$E8)/1000000</f>
        <v>8.3407133979330181E-2</v>
      </c>
      <c r="L25" s="122">
        <f>('Water Heaters Purchased'!L9*'Capital Cost'!$E8)/1000000</f>
        <v>8.3846882359614114E-2</v>
      </c>
      <c r="M25" s="122">
        <f>('Water Heaters Purchased'!M9*'Capital Cost'!$E8)/1000000</f>
        <v>8.428917187612936E-2</v>
      </c>
      <c r="N25" s="122">
        <f>('Water Heaters Purchased'!N9*'Capital Cost'!$E8)/1000000</f>
        <v>8.4733978987539191E-2</v>
      </c>
      <c r="O25" s="122">
        <f>('Water Heaters Purchased'!O9*'Capital Cost'!$E8)/1000000</f>
        <v>8.5181279182823699E-2</v>
      </c>
      <c r="P25" s="122">
        <f>('Water Heaters Purchased'!P9*'Capital Cost'!$E8)/1000000</f>
        <v>8.5631046973548383E-2</v>
      </c>
      <c r="Q25" s="122">
        <f>('Water Heaters Purchased'!Q9*'Capital Cost'!$E8)/1000000</f>
        <v>8.6083255886597349E-2</v>
      </c>
      <c r="R25" s="122">
        <f>('Water Heaters Purchased'!R9*'Capital Cost'!$E8)/1000000</f>
        <v>8.6537878457389986E-2</v>
      </c>
      <c r="S25" s="122">
        <f>('Water Heaters Purchased'!S9*'Capital Cost'!$E8)/1000000</f>
        <v>8.6994886223601034E-2</v>
      </c>
      <c r="T25" s="122">
        <f>('Water Heaters Purchased'!T9*'Capital Cost'!$E8)/1000000</f>
        <v>8.7454249719403479E-2</v>
      </c>
      <c r="U25" s="122">
        <f>('Water Heaters Purchased'!U9*'Capital Cost'!$E8)/1000000</f>
        <v>8.7915938470253169E-2</v>
      </c>
      <c r="V25" s="122">
        <f>('Water Heaters Purchased'!V9*'Capital Cost'!$E8)/1000000</f>
        <v>8.8379920988234731E-2</v>
      </c>
      <c r="W25" s="122">
        <f>('Water Heaters Purchased'!W9*'Capital Cost'!$E8)/1000000</f>
        <v>8.8846164767987484E-2</v>
      </c>
    </row>
    <row r="26" spans="1:23">
      <c r="A26" s="9" t="str">
        <f>'Water Heaters Purchased'!A10</f>
        <v>Condensing Gas</v>
      </c>
      <c r="B26" s="122">
        <f>('Water Heaters Purchased'!B10*'Capital Cost'!$E9)/1000000</f>
        <v>0</v>
      </c>
      <c r="C26" s="122">
        <f>('Water Heaters Purchased'!C10*'Capital Cost'!$E9)/1000000</f>
        <v>0.12812092973570929</v>
      </c>
      <c r="D26" s="122">
        <f>('Water Heaters Purchased'!D10*'Capital Cost'!$E9)/1000000</f>
        <v>0.12824807740199562</v>
      </c>
      <c r="E26" s="122">
        <f>('Water Heaters Purchased'!E10*'Capital Cost'!$E9)/1000000</f>
        <v>0.12837263546790126</v>
      </c>
      <c r="F26" s="122">
        <f>('Water Heaters Purchased'!F10*'Capital Cost'!$E9)/1000000</f>
        <v>0.12849456594728451</v>
      </c>
      <c r="G26" s="122">
        <f>('Water Heaters Purchased'!G10*'Capital Cost'!$E9)/1000000</f>
        <v>0.12861383151554787</v>
      </c>
      <c r="H26" s="122">
        <f>('Water Heaters Purchased'!H10*'Capital Cost'!$E9)/1000000</f>
        <v>0.1287303955343147</v>
      </c>
      <c r="I26" s="122">
        <f>('Water Heaters Purchased'!I10*'Capital Cost'!$E9)/1000000</f>
        <v>0.12884422207578766</v>
      </c>
      <c r="J26" s="122">
        <f>('Water Heaters Purchased'!J10*'Capital Cost'!$E9)/1000000</f>
        <v>0.12895527594675932</v>
      </c>
      <c r="K26" s="122">
        <f>('Water Heaters Purchased'!K10*'Capital Cost'!$E9)/1000000</f>
        <v>0.12906352271224752</v>
      </c>
      <c r="L26" s="122">
        <f>('Water Heaters Purchased'!L10*'Capital Cost'!$E9)/1000000</f>
        <v>0.12916892871872845</v>
      </c>
      <c r="M26" s="122">
        <f>('Water Heaters Purchased'!M10*'Capital Cost'!$E9)/1000000</f>
        <v>0.1292714611169378</v>
      </c>
      <c r="N26" s="122">
        <f>('Water Heaters Purchased'!N10*'Capital Cost'!$E9)/1000000</f>
        <v>0.12937108788421436</v>
      </c>
      <c r="O26" s="122">
        <f>('Water Heaters Purchased'!O10*'Capital Cost'!$E9)/1000000</f>
        <v>0.12946777784635796</v>
      </c>
      <c r="P26" s="122">
        <f>('Water Heaters Purchased'!P10*'Capital Cost'!$E9)/1000000</f>
        <v>0.12956150069897504</v>
      </c>
      <c r="Q26" s="122">
        <f>('Water Heaters Purchased'!Q10*'Capital Cost'!$E9)/1000000</f>
        <v>0.12965222702828613</v>
      </c>
      <c r="R26" s="122">
        <f>('Water Heaters Purchased'!R10*'Capital Cost'!$E9)/1000000</f>
        <v>0.12973992833136866</v>
      </c>
      <c r="S26" s="122">
        <f>('Water Heaters Purchased'!S10*'Capital Cost'!$E9)/1000000</f>
        <v>0.12982457703580999</v>
      </c>
      <c r="T26" s="122">
        <f>('Water Heaters Purchased'!T10*'Capital Cost'!$E9)/1000000</f>
        <v>0.12990614651874607</v>
      </c>
      <c r="U26" s="122">
        <f>('Water Heaters Purchased'!U10*'Capital Cost'!$E9)/1000000</f>
        <v>0.129984611125261</v>
      </c>
      <c r="V26" s="122">
        <f>('Water Heaters Purchased'!V10*'Capital Cost'!$E9)/1000000</f>
        <v>0.13005994618612415</v>
      </c>
      <c r="W26" s="122">
        <f>('Water Heaters Purchased'!W10*'Capital Cost'!$E9)/1000000</f>
        <v>0.13013212803484203</v>
      </c>
    </row>
    <row r="27" spans="1:23">
      <c r="A27" s="12"/>
    </row>
    <row r="28" spans="1:23">
      <c r="A28" s="12" t="s">
        <v>112</v>
      </c>
    </row>
    <row r="29" spans="1:23">
      <c r="A29" s="14" t="str">
        <f>'Energy Usage'!A16</f>
        <v>Water Heat Ending</v>
      </c>
      <c r="B29" s="9">
        <f>'Water Heater Stock'!B13</f>
        <v>2014</v>
      </c>
      <c r="C29" s="9">
        <f>'Water Heater Stock'!C13</f>
        <v>2015</v>
      </c>
      <c r="D29" s="9">
        <f>'Water Heater Stock'!D13</f>
        <v>2016</v>
      </c>
      <c r="E29" s="9">
        <f>'Water Heater Stock'!E13</f>
        <v>2017</v>
      </c>
      <c r="F29" s="9">
        <f>'Water Heater Stock'!F13</f>
        <v>2018</v>
      </c>
      <c r="G29" s="9">
        <f>'Water Heater Stock'!G13</f>
        <v>2019</v>
      </c>
      <c r="H29" s="9">
        <f>'Water Heater Stock'!H13</f>
        <v>2020</v>
      </c>
      <c r="I29" s="9">
        <f>'Water Heater Stock'!I13</f>
        <v>2021</v>
      </c>
      <c r="J29" s="9">
        <f>'Water Heater Stock'!J13</f>
        <v>2022</v>
      </c>
      <c r="K29" s="9">
        <f>'Water Heater Stock'!K13</f>
        <v>2023</v>
      </c>
      <c r="L29" s="9">
        <f>'Water Heater Stock'!L13</f>
        <v>2024</v>
      </c>
      <c r="M29" s="9">
        <f>'Water Heater Stock'!M13</f>
        <v>2025</v>
      </c>
      <c r="N29" s="9">
        <f>'Water Heater Stock'!N13</f>
        <v>2026</v>
      </c>
      <c r="O29" s="9">
        <f>'Water Heater Stock'!O13</f>
        <v>2027</v>
      </c>
      <c r="P29" s="9">
        <f>'Water Heater Stock'!P13</f>
        <v>2028</v>
      </c>
      <c r="Q29" s="9">
        <f>'Water Heater Stock'!Q13</f>
        <v>2029</v>
      </c>
      <c r="R29" s="9">
        <f>'Water Heater Stock'!R13</f>
        <v>2030</v>
      </c>
      <c r="S29" s="9">
        <f>'Water Heater Stock'!S13</f>
        <v>2031</v>
      </c>
      <c r="T29" s="9">
        <f>'Water Heater Stock'!T13</f>
        <v>2032</v>
      </c>
      <c r="U29" s="9">
        <f>'Water Heater Stock'!U13</f>
        <v>2033</v>
      </c>
      <c r="V29" s="9">
        <f>'Water Heater Stock'!V13</f>
        <v>2034</v>
      </c>
      <c r="W29" s="9">
        <f>'Water Heater Stock'!W13</f>
        <v>2035</v>
      </c>
    </row>
    <row r="30" spans="1:23" ht="16.5" thickBot="1">
      <c r="A30" s="47" t="s">
        <v>44</v>
      </c>
      <c r="B30" s="128">
        <f t="shared" ref="B30:W30" si="8">SUM(B31:B35)</f>
        <v>8.5430608817073182E-3</v>
      </c>
      <c r="C30" s="128">
        <f t="shared" si="8"/>
        <v>1.1050265477691555E-2</v>
      </c>
      <c r="D30" s="128">
        <f t="shared" si="8"/>
        <v>1.3386088962204251E-2</v>
      </c>
      <c r="E30" s="128">
        <f t="shared" si="8"/>
        <v>1.556281279743491E-2</v>
      </c>
      <c r="F30" s="128">
        <f t="shared" si="8"/>
        <v>1.7591840808104088E-2</v>
      </c>
      <c r="G30" s="128">
        <f t="shared" si="8"/>
        <v>1.948376185605279E-2</v>
      </c>
      <c r="H30" s="128">
        <f t="shared" si="8"/>
        <v>2.1248408037956856E-2</v>
      </c>
      <c r="I30" s="128">
        <f t="shared" si="8"/>
        <v>2.2894908725947672E-2</v>
      </c>
      <c r="J30" s="128">
        <f t="shared" si="8"/>
        <v>2.4431740748079245E-2</v>
      </c>
      <c r="K30" s="128">
        <f t="shared" si="8"/>
        <v>2.5866774984371916E-2</v>
      </c>
      <c r="L30" s="128">
        <f t="shared" si="8"/>
        <v>2.7207319634468319E-2</v>
      </c>
      <c r="M30" s="128">
        <f t="shared" si="8"/>
        <v>2.8460160394648958E-2</v>
      </c>
      <c r="N30" s="128">
        <f t="shared" si="8"/>
        <v>2.9631597764973473E-2</v>
      </c>
      <c r="O30" s="128">
        <f t="shared" si="8"/>
        <v>3.0727481691544475E-2</v>
      </c>
      <c r="P30" s="128">
        <f t="shared" si="8"/>
        <v>3.1753243734248857E-2</v>
      </c>
      <c r="Q30" s="128">
        <f t="shared" si="8"/>
        <v>3.2713926936734694E-2</v>
      </c>
      <c r="R30" s="128">
        <f t="shared" si="8"/>
        <v>3.3614213562756727E-2</v>
      </c>
      <c r="S30" s="128">
        <f t="shared" si="8"/>
        <v>3.4458450851299789E-2</v>
      </c>
      <c r="T30" s="128">
        <f t="shared" si="8"/>
        <v>3.5250674932003491E-2</v>
      </c>
      <c r="U30" s="128">
        <f t="shared" si="8"/>
        <v>3.5994633032302846E-2</v>
      </c>
      <c r="V30" s="128">
        <f t="shared" si="8"/>
        <v>3.6693804098313271E-2</v>
      </c>
      <c r="W30" s="128">
        <f t="shared" si="8"/>
        <v>3.7351417942771921E-2</v>
      </c>
    </row>
    <row r="31" spans="1:23" ht="16.5" thickTop="1">
      <c r="A31" s="9" t="str">
        <f>'Energy Usage'!A18</f>
        <v>Electric Resistance</v>
      </c>
      <c r="B31" s="122">
        <f>'Water Heater Stock'!B6*'O&amp;M Cost'!$D5/1000000</f>
        <v>8.5430608817073182E-3</v>
      </c>
      <c r="C31" s="122">
        <f>'Water Heater Stock'!C6*'O&amp;M Cost'!$D5/1000000</f>
        <v>7.9328511508732543E-3</v>
      </c>
      <c r="D31" s="122">
        <f>'Water Heater Stock'!D6*'O&amp;M Cost'!$D5/1000000</f>
        <v>7.3662277212950423E-3</v>
      </c>
      <c r="E31" s="122">
        <f>'Water Heater Stock'!E6*'O&amp;M Cost'!$D5/1000000</f>
        <v>6.8400772874246873E-3</v>
      </c>
      <c r="F31" s="122">
        <f>'Water Heater Stock'!F6*'O&amp;M Cost'!$D5/1000000</f>
        <v>6.351508922658837E-3</v>
      </c>
      <c r="G31" s="122">
        <f>'Water Heater Stock'!G6*'O&amp;M Cost'!$D5/1000000</f>
        <v>5.8978381951286562E-3</v>
      </c>
      <c r="H31" s="122">
        <f>'Water Heater Stock'!H6*'O&amp;M Cost'!$D5/1000000</f>
        <v>5.4765724180761482E-3</v>
      </c>
      <c r="I31" s="122">
        <f>'Water Heater Stock'!I6*'O&amp;M Cost'!$D5/1000000</f>
        <v>5.0853969537750163E-3</v>
      </c>
      <c r="J31" s="122">
        <f>'Water Heater Stock'!J6*'O&amp;M Cost'!$D5/1000000</f>
        <v>4.722162495742907E-3</v>
      </c>
      <c r="K31" s="122">
        <f>'Water Heater Stock'!K6*'O&amp;M Cost'!$D5/1000000</f>
        <v>4.3848732593670496E-3</v>
      </c>
      <c r="L31" s="122">
        <f>'Water Heater Stock'!L6*'O&amp;M Cost'!$D5/1000000</f>
        <v>4.0716760160566523E-3</v>
      </c>
      <c r="M31" s="122">
        <f>'Water Heater Stock'!M6*'O&amp;M Cost'!$D5/1000000</f>
        <v>3.7808499106701202E-3</v>
      </c>
      <c r="N31" s="122">
        <f>'Water Heater Stock'!N6*'O&amp;M Cost'!$D5/1000000</f>
        <v>3.5107970062689059E-3</v>
      </c>
      <c r="O31" s="122">
        <f>'Water Heater Stock'!O6*'O&amp;M Cost'!$D5/1000000</f>
        <v>3.2600335042460844E-3</v>
      </c>
      <c r="P31" s="122">
        <f>'Water Heater Stock'!P6*'O&amp;M Cost'!$D5/1000000</f>
        <v>3.0271815915885996E-3</v>
      </c>
      <c r="Q31" s="122">
        <f>'Water Heater Stock'!Q6*'O&amp;M Cost'!$D5/1000000</f>
        <v>2.8109618704779305E-3</v>
      </c>
      <c r="R31" s="122">
        <f>'Water Heater Stock'!R6*'O&amp;M Cost'!$D5/1000000</f>
        <v>2.6101863286335592E-3</v>
      </c>
      <c r="S31" s="122">
        <f>'Water Heater Stock'!S6*'O&amp;M Cost'!$D5/1000000</f>
        <v>2.4237518117747677E-3</v>
      </c>
      <c r="T31" s="122">
        <f>'Water Heater Stock'!T6*'O&amp;M Cost'!$D5/1000000</f>
        <v>2.2506339623351631E-3</v>
      </c>
      <c r="U31" s="122">
        <f>'Water Heater Stock'!U6*'O&amp;M Cost'!$D5/1000000</f>
        <v>2.0898815911261663E-3</v>
      </c>
      <c r="V31" s="122">
        <f>'Water Heater Stock'!V6*'O&amp;M Cost'!$D5/1000000</f>
        <v>1.9406114510245348E-3</v>
      </c>
      <c r="W31" s="122">
        <f>'Water Heater Stock'!W6*'O&amp;M Cost'!$D5/1000000</f>
        <v>1.8020033839679236E-3</v>
      </c>
    </row>
    <row r="32" spans="1:23">
      <c r="A32" s="9" t="str">
        <f>'Energy Usage'!A19</f>
        <v>HPWH</v>
      </c>
      <c r="B32" s="122">
        <f>'Water Heater Stock'!B7*'O&amp;M Cost'!$D6/1000000</f>
        <v>0</v>
      </c>
      <c r="C32" s="122">
        <f>'Water Heater Stock'!C7*'O&amp;M Cost'!$D6/1000000</f>
        <v>5.8968096502596005E-4</v>
      </c>
      <c r="D32" s="122">
        <f>'Water Heater Stock'!D7*'O&amp;M Cost'!$D6/1000000</f>
        <v>1.1355741665908157E-3</v>
      </c>
      <c r="E32" s="122">
        <f>'Water Heater Stock'!E7*'O&amp;M Cost'!$D6/1000000</f>
        <v>1.6408110904183883E-3</v>
      </c>
      <c r="F32" s="122">
        <f>'Water Heater Stock'!F7*'O&amp;M Cost'!$D6/1000000</f>
        <v>2.1082997500398832E-3</v>
      </c>
      <c r="G32" s="122">
        <f>'Water Heater Stock'!G7*'O&amp;M Cost'!$D6/1000000</f>
        <v>2.5407406486759134E-3</v>
      </c>
      <c r="H32" s="122">
        <f>'Water Heater Stock'!H7*'O&amp;M Cost'!$D6/1000000</f>
        <v>2.9406416009077454E-3</v>
      </c>
      <c r="I32" s="122">
        <f>'Water Heater Stock'!I7*'O&amp;M Cost'!$D6/1000000</f>
        <v>3.3103314955819168E-3</v>
      </c>
      <c r="J32" s="122">
        <f>'Water Heater Stock'!J7*'O&amp;M Cost'!$D6/1000000</f>
        <v>3.6519730755750165E-3</v>
      </c>
      <c r="K32" s="122">
        <f>'Water Heater Stock'!K7*'O&amp;M Cost'!$D6/1000000</f>
        <v>3.9675748046435555E-3</v>
      </c>
      <c r="L32" s="122">
        <f>'Water Heater Stock'!L7*'O&amp;M Cost'!$D6/1000000</f>
        <v>4.25900188656788E-3</v>
      </c>
      <c r="M32" s="122">
        <f>'Water Heater Stock'!M7*'O&amp;M Cost'!$D6/1000000</f>
        <v>4.5279864971413406E-3</v>
      </c>
      <c r="N32" s="122">
        <f>'Water Heater Stock'!N7*'O&amp;M Cost'!$D6/1000000</f>
        <v>4.7761372852309246E-3</v>
      </c>
      <c r="O32" s="122">
        <f>'Water Heater Stock'!O7*'O&amp;M Cost'!$D6/1000000</f>
        <v>5.0049481951194609E-3</v>
      </c>
      <c r="P32" s="122">
        <f>'Water Heater Stock'!P7*'O&amp;M Cost'!$D6/1000000</f>
        <v>5.2158066586102704E-3</v>
      </c>
      <c r="Q32" s="122">
        <f>'Water Heater Stock'!Q7*'O&amp;M Cost'!$D6/1000000</f>
        <v>5.4100012019122744E-3</v>
      </c>
      <c r="R32" s="122">
        <f>'Water Heater Stock'!R7*'O&amp;M Cost'!$D6/1000000</f>
        <v>5.5887285091080633E-3</v>
      </c>
      <c r="S32" s="122">
        <f>'Water Heater Stock'!S7*'O&amp;M Cost'!$D6/1000000</f>
        <v>5.7530999810216001E-3</v>
      </c>
      <c r="T32" s="122">
        <f>'Water Heater Stock'!T7*'O&amp;M Cost'!$D6/1000000</f>
        <v>5.9041478255296371E-3</v>
      </c>
      <c r="U32" s="122">
        <f>'Water Heater Stock'!U7*'O&amp;M Cost'!$D6/1000000</f>
        <v>6.0428307127864348E-3</v>
      </c>
      <c r="V32" s="122">
        <f>'Water Heater Stock'!V7*'O&amp;M Cost'!$D6/1000000</f>
        <v>6.1700390264407146E-3</v>
      </c>
      <c r="W32" s="122">
        <f>'Water Heater Stock'!W7*'O&amp;M Cost'!$D6/1000000</f>
        <v>6.286599739703894E-3</v>
      </c>
    </row>
    <row r="33" spans="1:23">
      <c r="A33" s="44" t="str">
        <f>'Energy Usage'!A20</f>
        <v>Gas Tank</v>
      </c>
      <c r="B33" s="122">
        <f>'Water Heater Stock'!B8*'O&amp;M Cost'!$D7/1000000</f>
        <v>0</v>
      </c>
      <c r="C33" s="122">
        <f>'Water Heater Stock'!C8*'O&amp;M Cost'!$D7/1000000</f>
        <v>1.0513087839071582E-7</v>
      </c>
      <c r="D33" s="122">
        <f>'Water Heater Stock'!D8*'O&amp;M Cost'!$D7/1000000</f>
        <v>2.0189236667624495E-7</v>
      </c>
      <c r="E33" s="122">
        <f>'Water Heater Stock'!E8*'O&amp;M Cost'!$D7/1000000</f>
        <v>2.9088654813821016E-7</v>
      </c>
      <c r="F33" s="122">
        <f>'Water Heater Stock'!F8*'O&amp;M Cost'!$D7/1000000</f>
        <v>3.7267258324920897E-7</v>
      </c>
      <c r="G33" s="122">
        <f>'Water Heater Stock'!G8*'O&amp;M Cost'!$D7/1000000</f>
        <v>4.4776977343464227E-7</v>
      </c>
      <c r="H33" s="122">
        <f>'Water Heater Stock'!H8*'O&amp;M Cost'!$D7/1000000</f>
        <v>5.1666040597427605E-7</v>
      </c>
      <c r="I33" s="122">
        <f>'Water Heater Stock'!I8*'O&amp;M Cost'!$D7/1000000</f>
        <v>5.7979239567844595E-7</v>
      </c>
      <c r="J33" s="122">
        <f>'Water Heater Stock'!J8*'O&amp;M Cost'!$D7/1000000</f>
        <v>6.3758173785702558E-7</v>
      </c>
      <c r="K33" s="122">
        <f>'Water Heater Stock'!K8*'O&amp;M Cost'!$D7/1000000</f>
        <v>6.9041478606226279E-7</v>
      </c>
      <c r="L33" s="122">
        <f>'Water Heater Stock'!L8*'O&amp;M Cost'!$D7/1000000</f>
        <v>7.3865036712363681E-7</v>
      </c>
      <c r="M33" s="122">
        <f>'Water Heater Stock'!M8*'O&amp;M Cost'!$D7/1000000</f>
        <v>7.8262174509871664E-7</v>
      </c>
      <c r="N33" s="122">
        <f>'Water Heater Stock'!N8*'O&amp;M Cost'!$D7/1000000</f>
        <v>8.2263844493370303E-7</v>
      </c>
      <c r="O33" s="122">
        <f>'Water Heater Stock'!O8*'O&amp;M Cost'!$D7/1000000</f>
        <v>8.5898794585633131E-7</v>
      </c>
      <c r="P33" s="122">
        <f>'Water Heater Stock'!P8*'O&amp;M Cost'!$D7/1000000</f>
        <v>8.919372538078848E-7</v>
      </c>
      <c r="Q33" s="122">
        <f>'Water Heater Stock'!Q8*'O&amp;M Cost'!$D7/1000000</f>
        <v>9.2173436155627589E-7</v>
      </c>
      <c r="R33" s="122">
        <f>'Water Heater Stock'!R8*'O&amp;M Cost'!$D7/1000000</f>
        <v>9.4860960451483469E-7</v>
      </c>
      <c r="S33" s="122">
        <f>'Water Heater Stock'!S8*'O&amp;M Cost'!$D7/1000000</f>
        <v>9.7277691971823169E-7</v>
      </c>
      <c r="T33" s="122">
        <f>'Water Heater Stock'!T8*'O&amp;M Cost'!$D7/1000000</f>
        <v>9.9443501487467472E-7</v>
      </c>
      <c r="U33" s="122">
        <f>'Water Heater Stock'!U8*'O&amp;M Cost'!$D7/1000000</f>
        <v>1.013768453919267E-6</v>
      </c>
      <c r="V33" s="122">
        <f>'Water Heater Stock'!V8*'O&amp;M Cost'!$D7/1000000</f>
        <v>1.0309486650344552E-6</v>
      </c>
      <c r="W33" s="122">
        <f>'Water Heater Stock'!W8*'O&amp;M Cost'!$D7/1000000</f>
        <v>1.0461348766773097E-6</v>
      </c>
    </row>
    <row r="34" spans="1:23">
      <c r="A34" s="43" t="str">
        <f>'Energy Usage'!A21</f>
        <v>Instant Gas</v>
      </c>
      <c r="B34" s="122">
        <f>'Water Heater Stock'!B9*'O&amp;M Cost'!$D8/1000000</f>
        <v>0</v>
      </c>
      <c r="C34" s="122">
        <f>'Water Heater Stock'!C9*'O&amp;M Cost'!$D8/1000000</f>
        <v>1.6182783129866645E-3</v>
      </c>
      <c r="D34" s="122">
        <f>'Water Heater Stock'!D9*'O&amp;M Cost'!$D8/1000000</f>
        <v>3.1294364695710506E-3</v>
      </c>
      <c r="E34" s="122">
        <f>'Water Heater Stock'!E9*'O&amp;M Cost'!$D8/1000000</f>
        <v>4.5411804493589655E-3</v>
      </c>
      <c r="F34" s="122">
        <f>'Water Heater Stock'!F9*'O&amp;M Cost'!$D8/1000000</f>
        <v>5.8606654788627534E-3</v>
      </c>
      <c r="G34" s="122">
        <f>'Water Heater Stock'!G9*'O&amp;M Cost'!$D8/1000000</f>
        <v>7.0945353529307496E-3</v>
      </c>
      <c r="H34" s="122">
        <f>'Water Heater Stock'!H9*'O&amp;M Cost'!$D8/1000000</f>
        <v>8.2489589472858008E-3</v>
      </c>
      <c r="I34" s="122">
        <f>'Water Heater Stock'!I9*'O&amp;M Cost'!$D8/1000000</f>
        <v>9.3296641228141942E-3</v>
      </c>
      <c r="J34" s="122">
        <f>'Water Heater Stock'!J9*'O&amp;M Cost'!$D8/1000000</f>
        <v>1.0341969207915195E-2</v>
      </c>
      <c r="K34" s="122">
        <f>'Water Heater Stock'!K9*'O&amp;M Cost'!$D8/1000000</f>
        <v>1.1290812231913867E-2</v>
      </c>
      <c r="L34" s="122">
        <f>'Water Heater Stock'!L9*'O&amp;M Cost'!$D8/1000000</f>
        <v>1.2180778070182958E-2</v>
      </c>
      <c r="M34" s="122">
        <f>'Water Heater Stock'!M9*'O&amp;M Cost'!$D8/1000000</f>
        <v>1.3016123650145286E-2</v>
      </c>
      <c r="N34" s="122">
        <f>'Water Heater Stock'!N9*'O&amp;M Cost'!$D8/1000000</f>
        <v>1.3800801356673368E-2</v>
      </c>
      <c r="O34" s="122">
        <f>'Water Heater Stock'!O9*'O&amp;M Cost'!$D8/1000000</f>
        <v>1.4538480765509376E-2</v>
      </c>
      <c r="P34" s="122">
        <f>'Water Heater Stock'!P9*'O&amp;M Cost'!$D8/1000000</f>
        <v>1.5232568824141516E-2</v>
      </c>
      <c r="Q34" s="122">
        <f>'Water Heater Stock'!Q9*'O&amp;M Cost'!$D8/1000000</f>
        <v>1.5886228591042231E-2</v>
      </c>
      <c r="R34" s="122">
        <f>'Water Heater Stock'!R9*'O&amp;M Cost'!$D8/1000000</f>
        <v>1.6502396636252133E-2</v>
      </c>
      <c r="S34" s="122">
        <f>'Water Heater Stock'!S9*'O&amp;M Cost'!$D8/1000000</f>
        <v>1.7083799198938019E-2</v>
      </c>
      <c r="T34" s="122">
        <f>'Water Heater Stock'!T9*'O&amp;M Cost'!$D8/1000000</f>
        <v>1.7632967190723121E-2</v>
      </c>
      <c r="U34" s="122">
        <f>'Water Heater Stock'!U9*'O&amp;M Cost'!$D8/1000000</f>
        <v>1.8152250127245386E-2</v>
      </c>
      <c r="V34" s="122">
        <f>'Water Heater Stock'!V9*'O&amp;M Cost'!$D8/1000000</f>
        <v>1.8643829064510294E-2</v>
      </c>
      <c r="W34" s="122">
        <f>'Water Heater Stock'!W9*'O&amp;M Cost'!$D8/1000000</f>
        <v>1.9109728611136047E-2</v>
      </c>
    </row>
    <row r="35" spans="1:23">
      <c r="A35" s="44" t="str">
        <f>'Energy Usage'!A22</f>
        <v>Condensing Gas</v>
      </c>
      <c r="B35" s="122">
        <f>'Water Heater Stock'!B10*'O&amp;M Cost'!$D9/1000000</f>
        <v>0</v>
      </c>
      <c r="C35" s="122">
        <f>'Water Heater Stock'!C10*'O&amp;M Cost'!$D9/1000000</f>
        <v>9.0934991792728491E-4</v>
      </c>
      <c r="D35" s="122">
        <f>'Water Heater Stock'!D10*'O&amp;M Cost'!$D9/1000000</f>
        <v>1.7546487123806661E-3</v>
      </c>
      <c r="E35" s="122">
        <f>'Water Heater Stock'!E10*'O&amp;M Cost'!$D9/1000000</f>
        <v>2.5404530836847308E-3</v>
      </c>
      <c r="F35" s="122">
        <f>'Water Heater Stock'!F10*'O&amp;M Cost'!$D9/1000000</f>
        <v>3.2709939839593652E-3</v>
      </c>
      <c r="G35" s="122">
        <f>'Water Heater Stock'!G10*'O&amp;M Cost'!$D9/1000000</f>
        <v>3.9501998895440354E-3</v>
      </c>
      <c r="H35" s="122">
        <f>'Water Heater Stock'!H10*'O&amp;M Cost'!$D9/1000000</f>
        <v>4.5817184112811873E-3</v>
      </c>
      <c r="I35" s="122">
        <f>'Water Heater Stock'!I10*'O&amp;M Cost'!$D9/1000000</f>
        <v>5.1689363613808643E-3</v>
      </c>
      <c r="J35" s="122">
        <f>'Water Heater Stock'!J10*'O&amp;M Cost'!$D9/1000000</f>
        <v>5.7149983871082662E-3</v>
      </c>
      <c r="K35" s="122">
        <f>'Water Heater Stock'!K10*'O&amp;M Cost'!$D9/1000000</f>
        <v>6.2228242736613844E-3</v>
      </c>
      <c r="L35" s="122">
        <f>'Water Heater Stock'!L10*'O&amp;M Cost'!$D9/1000000</f>
        <v>6.6951250112937044E-3</v>
      </c>
      <c r="M35" s="122">
        <f>'Water Heater Stock'!M10*'O&amp;M Cost'!$D9/1000000</f>
        <v>7.1344177149471142E-3</v>
      </c>
      <c r="N35" s="122">
        <f>'Water Heater Stock'!N10*'O&amp;M Cost'!$D9/1000000</f>
        <v>7.5430394783553394E-3</v>
      </c>
      <c r="O35" s="122">
        <f>'Water Heater Stock'!O10*'O&amp;M Cost'!$D9/1000000</f>
        <v>7.9231602387236991E-3</v>
      </c>
      <c r="P35" s="122">
        <f>'Water Heater Stock'!P10*'O&amp;M Cost'!$D9/1000000</f>
        <v>8.2767947226546623E-3</v>
      </c>
      <c r="Q35" s="122">
        <f>'Water Heater Stock'!Q10*'O&amp;M Cost'!$D9/1000000</f>
        <v>8.6058135389406997E-3</v>
      </c>
      <c r="R35" s="122">
        <f>'Water Heater Stock'!R10*'O&amp;M Cost'!$D9/1000000</f>
        <v>8.9119534791584562E-3</v>
      </c>
      <c r="S35" s="122">
        <f>'Water Heater Stock'!S10*'O&amp;M Cost'!$D9/1000000</f>
        <v>9.1968270826456883E-3</v>
      </c>
      <c r="T35" s="122">
        <f>'Water Heater Stock'!T10*'O&amp;M Cost'!$D9/1000000</f>
        <v>9.461931518400692E-3</v>
      </c>
      <c r="U35" s="122">
        <f>'Water Heater Stock'!U10*'O&amp;M Cost'!$D9/1000000</f>
        <v>9.7086568326909383E-3</v>
      </c>
      <c r="V35" s="122">
        <f>'Water Heater Stock'!V10*'O&amp;M Cost'!$D9/1000000</f>
        <v>9.9382936076726873E-3</v>
      </c>
      <c r="W35" s="122">
        <f>'Water Heater Stock'!W10*'O&amp;M Cost'!$D9/1000000</f>
        <v>1.0152040073087379E-2</v>
      </c>
    </row>
    <row r="37" spans="1:23">
      <c r="A37" s="12" t="s">
        <v>113</v>
      </c>
    </row>
    <row r="38" spans="1:23">
      <c r="A38" s="14" t="str">
        <f>'Energy Usage'!A25</f>
        <v>Water Heat Ending</v>
      </c>
      <c r="B38" s="9">
        <f>'Energy Usage'!B25</f>
        <v>2014</v>
      </c>
      <c r="C38" s="9">
        <f>'Energy Usage'!C25</f>
        <v>2015</v>
      </c>
      <c r="D38" s="9">
        <f>'Energy Usage'!D25</f>
        <v>2016</v>
      </c>
      <c r="E38" s="9">
        <f>'Energy Usage'!E25</f>
        <v>2017</v>
      </c>
      <c r="F38" s="9">
        <f>'Energy Usage'!F25</f>
        <v>2018</v>
      </c>
      <c r="G38" s="9">
        <f>'Energy Usage'!G25</f>
        <v>2019</v>
      </c>
      <c r="H38" s="9">
        <f>'Energy Usage'!H25</f>
        <v>2020</v>
      </c>
      <c r="I38" s="9">
        <f>'Energy Usage'!I25</f>
        <v>2021</v>
      </c>
      <c r="J38" s="9">
        <f>'Energy Usage'!J25</f>
        <v>2022</v>
      </c>
      <c r="K38" s="9">
        <f>'Energy Usage'!K25</f>
        <v>2023</v>
      </c>
      <c r="L38" s="9">
        <f>'Energy Usage'!L25</f>
        <v>2024</v>
      </c>
      <c r="M38" s="9">
        <f>'Energy Usage'!M25</f>
        <v>2025</v>
      </c>
      <c r="N38" s="9">
        <f>'Energy Usage'!N25</f>
        <v>2026</v>
      </c>
      <c r="O38" s="9">
        <f>'Energy Usage'!O25</f>
        <v>2027</v>
      </c>
      <c r="P38" s="9">
        <f>'Energy Usage'!P25</f>
        <v>2028</v>
      </c>
      <c r="Q38" s="9">
        <f>'Energy Usage'!Q25</f>
        <v>2029</v>
      </c>
      <c r="R38" s="9">
        <f>'Energy Usage'!R25</f>
        <v>2030</v>
      </c>
      <c r="S38" s="9">
        <f>'Energy Usage'!S25</f>
        <v>2031</v>
      </c>
      <c r="T38" s="9">
        <f>'Energy Usage'!T25</f>
        <v>2032</v>
      </c>
      <c r="U38" s="9">
        <f>'Energy Usage'!U25</f>
        <v>2033</v>
      </c>
      <c r="V38" s="9">
        <f>'Energy Usage'!V25</f>
        <v>2034</v>
      </c>
      <c r="W38" s="9">
        <f>'Energy Usage'!W25</f>
        <v>2035</v>
      </c>
    </row>
    <row r="39" spans="1:23" ht="16.5" thickBot="1">
      <c r="A39" s="47" t="s">
        <v>44</v>
      </c>
      <c r="B39" s="128">
        <f t="shared" ref="B39" si="9">SUM(B40:B44)</f>
        <v>0.66099943760619428</v>
      </c>
      <c r="C39" s="128">
        <f t="shared" ref="C39:W39" si="10">SUM(C40:C44)</f>
        <v>0.6429651619175224</v>
      </c>
      <c r="D39" s="128">
        <f t="shared" si="10"/>
        <v>0.62630368036589512</v>
      </c>
      <c r="E39" s="128">
        <f t="shared" si="10"/>
        <v>0.61093672184959325</v>
      </c>
      <c r="F39" s="128">
        <f t="shared" si="10"/>
        <v>0.59679076658232799</v>
      </c>
      <c r="G39" s="128">
        <f t="shared" si="10"/>
        <v>0.58379676229221056</v>
      </c>
      <c r="H39" s="128">
        <f t="shared" si="10"/>
        <v>0.57188985743223564</v>
      </c>
      <c r="I39" s="128">
        <f t="shared" si="10"/>
        <v>0.56100915038387411</v>
      </c>
      <c r="J39" s="128">
        <f t="shared" si="10"/>
        <v>0.55109745369631946</v>
      </c>
      <c r="K39" s="128">
        <f t="shared" si="10"/>
        <v>0.54210107246125772</v>
      </c>
      <c r="L39" s="128">
        <f t="shared" si="10"/>
        <v>0.53396959597690086</v>
      </c>
      <c r="M39" s="128">
        <f t="shared" si="10"/>
        <v>0.52665570190568722</v>
      </c>
      <c r="N39" s="128">
        <f t="shared" si="10"/>
        <v>0.52011497217767921</v>
      </c>
      <c r="O39" s="128">
        <f t="shared" si="10"/>
        <v>0.51430571993646312</v>
      </c>
      <c r="P39" s="128">
        <f t="shared" si="10"/>
        <v>0.50918882686645517</v>
      </c>
      <c r="Q39" s="128">
        <f t="shared" si="10"/>
        <v>0.50472759028009595</v>
      </c>
      <c r="R39" s="128">
        <f t="shared" si="10"/>
        <v>0.50088757938062278</v>
      </c>
      <c r="S39" s="128">
        <f t="shared" si="10"/>
        <v>0.49763650015109673</v>
      </c>
      <c r="T39" s="128">
        <f t="shared" si="10"/>
        <v>0.49494406835324711</v>
      </c>
      <c r="U39" s="128">
        <f t="shared" si="10"/>
        <v>0.49278189015061841</v>
      </c>
      <c r="V39" s="128">
        <f t="shared" si="10"/>
        <v>0.49112334989957529</v>
      </c>
      <c r="W39" s="128">
        <f t="shared" si="10"/>
        <v>0.4899435046790534</v>
      </c>
    </row>
    <row r="40" spans="1:23" ht="16.5" thickTop="1">
      <c r="A40" s="9" t="str">
        <f>'Energy Usage'!A27</f>
        <v>Electric Resistance</v>
      </c>
      <c r="B40" s="122">
        <f>(('Energy Usage'!B18*'Retail Rates'!B$5*'Device Energy Use'!$E5+'Energy Usage'!B18*'Retail Rates'!B$6*(1-'Device Energy Use'!$E5)))/1000000</f>
        <v>0.66099943760619428</v>
      </c>
      <c r="C40" s="122">
        <f>(('Energy Usage'!C18*'Retail Rates'!C$5*'Device Energy Use'!$E5+'Energy Usage'!C18*'Retail Rates'!C$6*(1-'Device Energy Use'!$E5)))/1000000</f>
        <v>0.6217650974085942</v>
      </c>
      <c r="D40" s="122">
        <f>(('Energy Usage'!D18*'Retail Rates'!D$5*'Device Energy Use'!$E5+'Energy Usage'!D18*'Retail Rates'!D$6*(1-'Device Energy Use'!$E5)))/1000000</f>
        <v>0.58485959603702031</v>
      </c>
      <c r="E40" s="122">
        <f>(('Energy Usage'!E18*'Retail Rates'!E$5*'Device Energy Use'!$E5+'Energy Usage'!E18*'Retail Rates'!E$6*(1-'Device Energy Use'!$E5)))/1000000</f>
        <v>0.55014470030287721</v>
      </c>
      <c r="F40" s="122">
        <f>(('Energy Usage'!F18*'Retail Rates'!F$5*'Device Energy Use'!$E5+'Energy Usage'!F18*'Retail Rates'!F$6*(1-'Device Energy Use'!$E5)))/1000000</f>
        <v>0.51749038214527965</v>
      </c>
      <c r="G40" s="122">
        <f>(('Energy Usage'!G18*'Retail Rates'!G$5*'Device Energy Use'!$E5+'Energy Usage'!G18*'Retail Rates'!G$6*(1-'Device Energy Use'!$E5)))/1000000</f>
        <v>0.48677433159811528</v>
      </c>
      <c r="H40" s="122">
        <f>(('Energy Usage'!H18*'Retail Rates'!H$5*'Device Energy Use'!$E5+'Energy Usage'!H18*'Retail Rates'!H$6*(1-'Device Energy Use'!$E5)))/1000000</f>
        <v>0.45788149866599226</v>
      </c>
      <c r="I40" s="122">
        <f>(('Energy Usage'!I18*'Retail Rates'!I$5*'Device Energy Use'!$E5+'Energy Usage'!I18*'Retail Rates'!I$6*(1-'Device Energy Use'!$E5)))/1000000</f>
        <v>0.43070366239312219</v>
      </c>
      <c r="J40" s="122">
        <f>(('Energy Usage'!J18*'Retail Rates'!J$5*'Device Energy Use'!$E5+'Energy Usage'!J18*'Retail Rates'!J$6*(1-'Device Energy Use'!$E5)))/1000000</f>
        <v>0.40513902551104186</v>
      </c>
      <c r="K40" s="122">
        <f>(('Energy Usage'!K18*'Retail Rates'!K$5*'Device Energy Use'!$E5+'Energy Usage'!K18*'Retail Rates'!K$6*(1-'Device Energy Use'!$E5)))/1000000</f>
        <v>0.38109183314688927</v>
      </c>
      <c r="L40" s="122">
        <f>(('Energy Usage'!L18*'Retail Rates'!L$5*'Device Energy Use'!$E5+'Energy Usage'!L18*'Retail Rates'!L$6*(1-'Device Energy Use'!$E5)))/1000000</f>
        <v>0.35847201416406682</v>
      </c>
      <c r="M40" s="122">
        <f>(('Energy Usage'!M18*'Retail Rates'!M$5*'Device Energy Use'!$E5+'Energy Usage'!M18*'Retail Rates'!M$6*(1-'Device Energy Use'!$E5)))/1000000</f>
        <v>0.33719484379189762</v>
      </c>
      <c r="N40" s="122">
        <f>(('Energy Usage'!N18*'Retail Rates'!N$5*'Device Energy Use'!$E5+'Energy Usage'!N18*'Retail Rates'!N$6*(1-'Device Energy Use'!$E5)))/1000000</f>
        <v>0.31718062628062305</v>
      </c>
      <c r="O40" s="122">
        <f>(('Energy Usage'!O18*'Retail Rates'!O$5*'Device Energy Use'!$E5+'Energy Usage'!O18*'Retail Rates'!O$6*(1-'Device Energy Use'!$E5)))/1000000</f>
        <v>0.29835439639309108</v>
      </c>
      <c r="P40" s="122">
        <f>(('Energy Usage'!P18*'Retail Rates'!P$5*'Device Energy Use'!$E5+'Energy Usage'!P18*'Retail Rates'!P$6*(1-'Device Energy Use'!$E5)))/1000000</f>
        <v>0.2806456386150471</v>
      </c>
      <c r="Q40" s="122">
        <f>(('Energy Usage'!Q18*'Retail Rates'!Q$5*'Device Energy Use'!$E5+'Energy Usage'!Q18*'Retail Rates'!Q$6*(1-'Device Energy Use'!$E5)))/1000000</f>
        <v>0.26398802303229901</v>
      </c>
      <c r="R40" s="122">
        <f>(('Energy Usage'!R18*'Retail Rates'!R$5*'Device Energy Use'!$E5+'Energy Usage'!R18*'Retail Rates'!R$6*(1-'Device Energy Use'!$E5)))/1000000</f>
        <v>0.24831915688545908</v>
      </c>
      <c r="S40" s="122">
        <f>(('Energy Usage'!S18*'Retail Rates'!S$5*'Device Energy Use'!$E5+'Energy Usage'!S18*'Retail Rates'!S$6*(1-'Device Energy Use'!$E5)))/1000000</f>
        <v>0.23358035087168727</v>
      </c>
      <c r="T40" s="122">
        <f>(('Energy Usage'!T18*'Retail Rates'!T$5*'Device Energy Use'!$E5+'Energy Usage'!T18*'Retail Rates'!T$6*(1-'Device Energy Use'!$E5)))/1000000</f>
        <v>0.21971639931809492</v>
      </c>
      <c r="U40" s="122">
        <f>(('Energy Usage'!U18*'Retail Rates'!U$5*'Device Energy Use'!$E5+'Energy Usage'!U18*'Retail Rates'!U$6*(1-'Device Energy Use'!$E5)))/1000000</f>
        <v>0.20667537340342801</v>
      </c>
      <c r="V40" s="122">
        <f>(('Energy Usage'!V18*'Retail Rates'!V$5*'Device Energy Use'!$E5+'Energy Usage'!V18*'Retail Rates'!V$6*(1-'Device Energy Use'!$E5)))/1000000</f>
        <v>0.19440842665352001</v>
      </c>
      <c r="W40" s="122">
        <f>(('Energy Usage'!W18*'Retail Rates'!W$5*'Device Energy Use'!$E5+'Energy Usage'!W18*'Retail Rates'!W$6*(1-'Device Energy Use'!$E5)))/1000000</f>
        <v>0.18286961198197937</v>
      </c>
    </row>
    <row r="41" spans="1:23">
      <c r="A41" s="9" t="str">
        <f>'Energy Usage'!A28</f>
        <v>HPWH</v>
      </c>
      <c r="B41" s="122">
        <f>(('Energy Usage'!B19*'Retail Rates'!B$5*'Device Energy Use'!$E6+'Energy Usage'!B19*'Retail Rates'!B$6*(1-'Device Energy Use'!$E6)))/1000000</f>
        <v>0</v>
      </c>
      <c r="C41" s="122">
        <f>(('Energy Usage'!C19*'Retail Rates'!C$5*'Device Energy Use'!$E6+'Energy Usage'!C19*'Retail Rates'!C$6*(1-'Device Energy Use'!$E6)))/1000000</f>
        <v>1.1382184650166155E-2</v>
      </c>
      <c r="D41" s="122">
        <f>(('Energy Usage'!D19*'Retail Rates'!D$5*'Device Energy Use'!$E6+'Energy Usage'!D19*'Retail Rates'!D$6*(1-'Device Energy Use'!$E6)))/1000000</f>
        <v>2.2204114966715979E-2</v>
      </c>
      <c r="E41" s="122">
        <f>(('Energy Usage'!E19*'Retail Rates'!E$5*'Device Energy Use'!$E6+'Energy Usage'!E19*'Retail Rates'!E$6*(1-'Device Energy Use'!$E6)))/1000000</f>
        <v>3.2500196844285144E-2</v>
      </c>
      <c r="F41" s="122">
        <f>(('Energy Usage'!F19*'Retail Rates'!F$5*'Device Energy Use'!$E6+'Energy Usage'!F19*'Retail Rates'!F$6*(1-'Device Energy Use'!$E6)))/1000000</f>
        <v>4.2302809462870003E-2</v>
      </c>
      <c r="G41" s="122">
        <f>(('Energy Usage'!G19*'Retail Rates'!G$5*'Device Energy Use'!$E6+'Energy Usage'!G19*'Retail Rates'!G$6*(1-'Device Energy Use'!$E6)))/1000000</f>
        <v>5.1642425908207688E-2</v>
      </c>
      <c r="H41" s="122">
        <f>(('Energy Usage'!H19*'Retail Rates'!H$5*'Device Energy Use'!$E6+'Energy Usage'!H19*'Retail Rates'!H$6*(1-'Device Energy Use'!$E6)))/1000000</f>
        <v>6.054772663853316E-2</v>
      </c>
      <c r="I41" s="122">
        <f>(('Energy Usage'!I19*'Retail Rates'!I$5*'Device Energy Use'!$E6+'Energy Usage'!I19*'Retail Rates'!I$6*(1-'Device Energy Use'!$E6)))/1000000</f>
        <v>6.9045706222394143E-2</v>
      </c>
      <c r="J41" s="122">
        <f>(('Energy Usage'!J19*'Retail Rates'!J$5*'Device Energy Use'!$E6+'Energy Usage'!J19*'Retail Rates'!J$6*(1-'Device Energy Use'!$E6)))/1000000</f>
        <v>7.7161773746997883E-2</v>
      </c>
      <c r="K41" s="122">
        <f>(('Energy Usage'!K19*'Retail Rates'!K$5*'Device Energy Use'!$E6+'Energy Usage'!K19*'Retail Rates'!K$6*(1-'Device Energy Use'!$E6)))/1000000</f>
        <v>8.4919847272851956E-2</v>
      </c>
      <c r="L41" s="122">
        <f>(('Energy Usage'!L19*'Retail Rates'!L$5*'Device Energy Use'!$E6+'Energy Usage'!L19*'Retail Rates'!L$6*(1-'Device Energy Use'!$E6)))/1000000</f>
        <v>9.2342442688158818E-2</v>
      </c>
      <c r="M41" s="122">
        <f>(('Energy Usage'!M19*'Retail Rates'!M$5*'Device Energy Use'!$E6+'Energy Usage'!M19*'Retail Rates'!M$6*(1-'Device Energy Use'!$E6)))/1000000</f>
        <v>9.9450757295443087E-2</v>
      </c>
      <c r="N41" s="122">
        <f>(('Energy Usage'!N19*'Retail Rates'!N$5*'Device Energy Use'!$E6+'Energy Usage'!N19*'Retail Rates'!N$6*(1-'Device Energy Use'!$E6)))/1000000</f>
        <v>0.10626474844315757</v>
      </c>
      <c r="O41" s="122">
        <f>(('Energy Usage'!O19*'Retail Rates'!O$5*'Device Energy Use'!$E6+'Energy Usage'!O19*'Retail Rates'!O$6*(1-'Device Energy Use'!$E6)))/1000000</f>
        <v>0.11280320749644999</v>
      </c>
      <c r="P41" s="122">
        <f>(('Energy Usage'!P19*'Retail Rates'!P$5*'Device Energy Use'!$E6+'Energy Usage'!P19*'Retail Rates'!P$6*(1-'Device Energy Use'!$E6)))/1000000</f>
        <v>0.11908382942381233</v>
      </c>
      <c r="Q41" s="122">
        <f>(('Energy Usage'!Q19*'Retail Rates'!Q$5*'Device Energy Use'!$E6+'Energy Usage'!Q19*'Retail Rates'!Q$6*(1-'Device Energy Use'!$E6)))/1000000</f>
        <v>0.12512327825991029</v>
      </c>
      <c r="R41" s="122">
        <f>(('Energy Usage'!R19*'Retail Rates'!R$5*'Device Energy Use'!$E6+'Energy Usage'!R19*'Retail Rates'!R$6*(1-'Device Energy Use'!$E6)))/1000000</f>
        <v>0.13093724868943996</v>
      </c>
      <c r="S41" s="122">
        <f>(('Energy Usage'!S19*'Retail Rates'!S$5*'Device Energy Use'!$E6+'Energy Usage'!S19*'Retail Rates'!S$6*(1-'Device Energy Use'!$E6)))/1000000</f>
        <v>0.13654052398232813</v>
      </c>
      <c r="T41" s="122">
        <f>(('Energy Usage'!T19*'Retail Rates'!T$5*'Device Energy Use'!$E6+'Energy Usage'!T19*'Retail Rates'!T$6*(1-'Device Energy Use'!$E6)))/1000000</f>
        <v>0.14194703049692126</v>
      </c>
      <c r="U41" s="122">
        <f>(('Energy Usage'!U19*'Retail Rates'!U$5*'Device Energy Use'!$E6+'Energy Usage'!U19*'Retail Rates'!U$6*(1-'Device Energy Use'!$E6)))/1000000</f>
        <v>0.14716988895495087</v>
      </c>
      <c r="V41" s="122">
        <f>(('Energy Usage'!V19*'Retail Rates'!V$5*'Device Energy Use'!$E6+'Energy Usage'!V19*'Retail Rates'!V$6*(1-'Device Energy Use'!$E6)))/1000000</f>
        <v>0.15222146267996886</v>
      </c>
      <c r="W41" s="122">
        <f>(('Energy Usage'!W19*'Retail Rates'!W$5*'Device Energy Use'!$E6+'Energy Usage'!W19*'Retail Rates'!W$6*(1-'Device Energy Use'!$E6)))/1000000</f>
        <v>0.15711340297956686</v>
      </c>
    </row>
    <row r="42" spans="1:23">
      <c r="A42" s="9" t="str">
        <f>'Energy Usage'!A29</f>
        <v>Gas Tank</v>
      </c>
      <c r="B42" s="122">
        <f>(('Energy Usage'!B20*'Retail Rates'!B$5*'Device Energy Use'!$E7+'Energy Usage'!B20*'Retail Rates'!B$6*(1-'Device Energy Use'!$E7)))/1000000</f>
        <v>0</v>
      </c>
      <c r="C42" s="122">
        <f>(('Energy Usage'!C20*'Retail Rates'!C$5*'Device Energy Use'!$E7+'Energy Usage'!C20*'Retail Rates'!C$6*(1-'Device Energy Use'!$E7)))/1000000</f>
        <v>1.0846530180769318E-6</v>
      </c>
      <c r="D42" s="122">
        <f>(('Energy Usage'!D20*'Retail Rates'!D$5*'Device Energy Use'!$E7+'Energy Usage'!D20*'Retail Rates'!D$6*(1-'Device Energy Use'!$E7)))/1000000</f>
        <v>2.1142019901009742E-6</v>
      </c>
      <c r="E42" s="122">
        <f>(('Energy Usage'!E20*'Retail Rates'!E$5*'Device Energy Use'!$E7+'Energy Usage'!E20*'Retail Rates'!E$6*(1-'Device Energy Use'!$E7)))/1000000</f>
        <v>3.0918346395577938E-6</v>
      </c>
      <c r="F42" s="122">
        <f>(('Energy Usage'!F20*'Retail Rates'!F$5*'Device Energy Use'!$E7+'Energy Usage'!F20*'Retail Rates'!F$6*(1-'Device Energy Use'!$E7)))/1000000</f>
        <v>4.0205559164573638E-6</v>
      </c>
      <c r="G42" s="122">
        <f>(('Energy Usage'!G20*'Retail Rates'!G$5*'Device Energy Use'!$E7+'Energy Usage'!G20*'Retail Rates'!G$6*(1-'Device Energy Use'!$E7)))/1000000</f>
        <v>4.9031985316408556E-6</v>
      </c>
      <c r="H42" s="122">
        <f>(('Energy Usage'!H20*'Retail Rates'!H$5*'Device Energy Use'!$E7+'Energy Usage'!H20*'Retail Rates'!H$6*(1-'Device Energy Use'!$E7)))/1000000</f>
        <v>5.7424328854665339E-6</v>
      </c>
      <c r="I42" s="122">
        <f>(('Energy Usage'!I20*'Retail Rates'!I$5*'Device Energy Use'!$E7+'Energy Usage'!I20*'Retail Rates'!I$6*(1-'Device Energy Use'!$E7)))/1000000</f>
        <v>6.5407764256874312E-6</v>
      </c>
      <c r="J42" s="122">
        <f>(('Energy Usage'!J20*'Retail Rates'!J$5*'Device Energy Use'!$E7+'Energy Usage'!J20*'Retail Rates'!J$6*(1-'Device Energy Use'!$E7)))/1000000</f>
        <v>7.3006024673320384E-6</v>
      </c>
      <c r="K42" s="122">
        <f>(('Energy Usage'!K20*'Retail Rates'!K$5*'Device Energy Use'!$E7+'Energy Usage'!K20*'Retail Rates'!K$6*(1-'Device Energy Use'!$E7)))/1000000</f>
        <v>8.024148505512959E-6</v>
      </c>
      <c r="L42" s="122">
        <f>(('Energy Usage'!L20*'Retail Rates'!L$5*'Device Energy Use'!$E7+'Energy Usage'!L20*'Retail Rates'!L$6*(1-'Device Energy Use'!$E7)))/1000000</f>
        <v>8.7135240503105006E-6</v>
      </c>
      <c r="M42" s="122">
        <f>(('Energy Usage'!M20*'Retail Rates'!M$5*'Device Energy Use'!$E7+'Energy Usage'!M20*'Retail Rates'!M$6*(1-'Device Energy Use'!$E7)))/1000000</f>
        <v>9.3707180112025571E-6</v>
      </c>
      <c r="N42" s="122">
        <f>(('Energy Usage'!N20*'Retail Rates'!N$5*'Device Energy Use'!$E7+'Energy Usage'!N20*'Retail Rates'!N$6*(1-'Device Energy Use'!$E7)))/1000000</f>
        <v>9.9976056569329068E-6</v>
      </c>
      <c r="O42" s="122">
        <f>(('Energy Usage'!O20*'Retail Rates'!O$5*'Device Energy Use'!$E7+'Energy Usage'!O20*'Retail Rates'!O$6*(1-'Device Energy Use'!$E7)))/1000000</f>
        <v>1.0595955175221445E-5</v>
      </c>
      <c r="P42" s="122">
        <f>(('Energy Usage'!P20*'Retail Rates'!P$5*'Device Energy Use'!$E7+'Energy Usage'!P20*'Retail Rates'!P$6*(1-'Device Energy Use'!$E7)))/1000000</f>
        <v>1.1167433855317158E-5</v>
      </c>
      <c r="Q42" s="122">
        <f>(('Energy Usage'!Q20*'Retail Rates'!Q$5*'Device Energy Use'!$E7+'Energy Usage'!Q20*'Retail Rates'!Q$6*(1-'Device Energy Use'!$E7)))/1000000</f>
        <v>1.1713613915072383E-5</v>
      </c>
      <c r="R42" s="122">
        <f>(('Energy Usage'!R20*'Retail Rates'!R$5*'Device Energy Use'!$E7+'Energy Usage'!R20*'Retail Rates'!R$6*(1-'Device Energy Use'!$E7)))/1000000</f>
        <v>1.2235977992970737E-5</v>
      </c>
      <c r="S42" s="122">
        <f>(('Energy Usage'!S20*'Retail Rates'!S$5*'Device Energy Use'!$E7+'Energy Usage'!S20*'Retail Rates'!S$6*(1-'Device Energy Use'!$E7)))/1000000</f>
        <v>1.273592432436661E-5</v>
      </c>
      <c r="T42" s="122">
        <f>(('Energy Usage'!T20*'Retail Rates'!T$5*'Device Energy Use'!$E7+'Energy Usage'!T20*'Retail Rates'!T$6*(1-'Device Energy Use'!$E7)))/1000000</f>
        <v>1.3214771620087271E-5</v>
      </c>
      <c r="U42" s="122">
        <f>(('Energy Usage'!U20*'Retail Rates'!U$5*'Device Energy Use'!$E7+'Energy Usage'!U20*'Retail Rates'!U$6*(1-'Device Energy Use'!$E7)))/1000000</f>
        <v>1.3673763664505145E-5</v>
      </c>
      <c r="V42" s="122">
        <f>(('Energy Usage'!V20*'Retail Rates'!V$5*'Device Energy Use'!$E7+'Energy Usage'!V20*'Retail Rates'!V$6*(1-'Device Energy Use'!$E7)))/1000000</f>
        <v>1.4114073649204774E-5</v>
      </c>
      <c r="W42" s="122">
        <f>(('Energy Usage'!W20*'Retail Rates'!W$5*'Device Energy Use'!$E7+'Energy Usage'!W20*'Retail Rates'!W$6*(1-'Device Energy Use'!$E7)))/1000000</f>
        <v>1.4536808257442006E-5</v>
      </c>
    </row>
    <row r="43" spans="1:23">
      <c r="A43" s="9" t="str">
        <f>'Energy Usage'!A30</f>
        <v>Instant Gas</v>
      </c>
      <c r="B43" s="122">
        <f>(('Energy Usage'!B21*'Retail Rates'!B$5*'Device Energy Use'!$E8+'Energy Usage'!B21*'Retail Rates'!B$6*(1-'Device Energy Use'!$E8)))/1000000</f>
        <v>0</v>
      </c>
      <c r="C43" s="122">
        <f>(('Energy Usage'!C21*'Retail Rates'!C$5*'Device Energy Use'!$E8+'Energy Usage'!C21*'Retail Rates'!C$6*(1-'Device Energy Use'!$E8)))/1000000</f>
        <v>2.691699777417986E-3</v>
      </c>
      <c r="D43" s="122">
        <f>(('Energy Usage'!D21*'Retail Rates'!D$5*'Device Energy Use'!$E8+'Energy Usage'!D21*'Retail Rates'!D$6*(1-'Device Energy Use'!$E8)))/1000000</f>
        <v>5.2833038246292065E-3</v>
      </c>
      <c r="E43" s="122">
        <f>(('Energy Usage'!E21*'Retail Rates'!E$5*'Device Energy Use'!$E8+'Energy Usage'!E21*'Retail Rates'!E$6*(1-'Device Energy Use'!$E8)))/1000000</f>
        <v>7.7816957825362068E-3</v>
      </c>
      <c r="F43" s="122">
        <f>(('Energy Usage'!F21*'Retail Rates'!F$5*'Device Energy Use'!$E8+'Energy Usage'!F21*'Retail Rates'!F$6*(1-'Device Energy Use'!$E8)))/1000000</f>
        <v>1.0193385859364378E-2</v>
      </c>
      <c r="G43" s="122">
        <f>(('Energy Usage'!G21*'Retail Rates'!G$5*'Device Energy Use'!$E8+'Energy Usage'!G21*'Retail Rates'!G$6*(1-'Device Energy Use'!$E8)))/1000000</f>
        <v>1.2524532692616391E-2</v>
      </c>
      <c r="H43" s="122">
        <f>(('Energy Usage'!H21*'Retail Rates'!H$5*'Device Energy Use'!$E8+'Energy Usage'!H21*'Retail Rates'!H$6*(1-'Device Energy Use'!$E8)))/1000000</f>
        <v>1.4780963958723831E-2</v>
      </c>
      <c r="I43" s="122">
        <f>(('Energy Usage'!I21*'Retail Rates'!I$5*'Device Energy Use'!$E8+'Energy Usage'!I21*'Retail Rates'!I$6*(1-'Device Energy Use'!$E8)))/1000000</f>
        <v>1.6968195802400634E-2</v>
      </c>
      <c r="J43" s="122">
        <f>(('Energy Usage'!J21*'Retail Rates'!J$5*'Device Energy Use'!$E8+'Energy Usage'!J21*'Retail Rates'!J$6*(1-'Device Energy Use'!$E8)))/1000000</f>
        <v>1.9091451153561007E-2</v>
      </c>
      <c r="K43" s="122">
        <f>(('Energy Usage'!K21*'Retail Rates'!K$5*'Device Energy Use'!$E8+'Energy Usage'!K21*'Retail Rates'!K$6*(1-'Device Energy Use'!$E8)))/1000000</f>
        <v>2.1155676995760684E-2</v>
      </c>
      <c r="L43" s="122">
        <f>(('Energy Usage'!L21*'Retail Rates'!L$5*'Device Energy Use'!$E8+'Energy Usage'!L21*'Retail Rates'!L$6*(1-'Device Energy Use'!$E8)))/1000000</f>
        <v>2.3165560646441426E-2</v>
      </c>
      <c r="M43" s="122">
        <f>(('Energy Usage'!M21*'Retail Rates'!M$5*'Device Energy Use'!$E8+'Energy Usage'!M21*'Retail Rates'!M$6*(1-'Device Energy Use'!$E8)))/1000000</f>
        <v>2.512554510579057E-2</v>
      </c>
      <c r="N43" s="122">
        <f>(('Energy Usage'!N21*'Retail Rates'!N$5*'Device Energy Use'!$E8+'Energy Usage'!N21*'Retail Rates'!N$6*(1-'Device Energy Use'!$E8)))/1000000</f>
        <v>2.7039843527759597E-2</v>
      </c>
      <c r="O43" s="122">
        <f>(('Energy Usage'!O21*'Retail Rates'!O$5*'Device Energy Use'!$E8+'Energy Usage'!O21*'Retail Rates'!O$6*(1-'Device Energy Use'!$E8)))/1000000</f>
        <v>2.8912452863705144E-2</v>
      </c>
      <c r="P43" s="122">
        <f>(('Energy Usage'!P21*'Retail Rates'!P$5*'Device Energy Use'!$E8+'Energy Usage'!P21*'Retail Rates'!P$6*(1-'Device Energy Use'!$E8)))/1000000</f>
        <v>3.074716672621269E-2</v>
      </c>
      <c r="Q43" s="122">
        <f>(('Energy Usage'!Q21*'Retail Rates'!Q$5*'Device Energy Use'!$E8+'Energy Usage'!Q21*'Retail Rates'!Q$6*(1-'Device Energy Use'!$E8)))/1000000</f>
        <v>3.2547587517927169E-2</v>
      </c>
      <c r="R43" s="122">
        <f>(('Energy Usage'!R21*'Retail Rates'!R$5*'Device Energy Use'!$E8+'Energy Usage'!R21*'Retail Rates'!R$6*(1-'Device Energy Use'!$E8)))/1000000</f>
        <v>3.4317137867635725E-2</v>
      </c>
      <c r="S43" s="122">
        <f>(('Energy Usage'!S21*'Retail Rates'!S$5*'Device Energy Use'!$E8+'Energy Usage'!S21*'Retail Rates'!S$6*(1-'Device Energy Use'!$E8)))/1000000</f>
        <v>3.6059071413417416E-2</v>
      </c>
      <c r="T43" s="122">
        <f>(('Energy Usage'!T21*'Retail Rates'!T$5*'Device Energy Use'!$E8+'Energy Usage'!T21*'Retail Rates'!T$6*(1-'Device Energy Use'!$E8)))/1000000</f>
        <v>3.7776482970384009E-2</v>
      </c>
      <c r="U43" s="122">
        <f>(('Energy Usage'!U21*'Retail Rates'!U$5*'Device Energy Use'!$E8+'Energy Usage'!U21*'Retail Rates'!U$6*(1-'Device Energy Use'!$E8)))/1000000</f>
        <v>3.947231811837696E-2</v>
      </c>
      <c r="V43" s="122">
        <f>(('Energy Usage'!V21*'Retail Rates'!V$5*'Device Energy Use'!$E8+'Energy Usage'!V21*'Retail Rates'!V$6*(1-'Device Energy Use'!$E8)))/1000000</f>
        <v>4.1149382242951067E-2</v>
      </c>
      <c r="W43" s="122">
        <f>(('Energy Usage'!W21*'Retail Rates'!W$5*'Device Energy Use'!$E8+'Energy Usage'!W21*'Retail Rates'!W$6*(1-'Device Energy Use'!$E8)))/1000000</f>
        <v>4.2810349061057566E-2</v>
      </c>
    </row>
    <row r="44" spans="1:23">
      <c r="A44" s="9" t="str">
        <f>'Energy Usage'!A31</f>
        <v>Condensing Gas</v>
      </c>
      <c r="B44" s="122">
        <f>(('Energy Usage'!B22*'Retail Rates'!B$5*'Device Energy Use'!$E9+'Energy Usage'!B22*'Retail Rates'!B$6*(1-'Device Energy Use'!$E9)))/1000000</f>
        <v>0</v>
      </c>
      <c r="C44" s="122">
        <f>(('Energy Usage'!C22*'Retail Rates'!C$5*'Device Energy Use'!$E9+'Energy Usage'!C22*'Retail Rates'!C$6*(1-'Device Energy Use'!$E9)))/1000000</f>
        <v>7.1250954283259534E-3</v>
      </c>
      <c r="D44" s="122">
        <f>(('Energy Usage'!D22*'Retail Rates'!D$5*'Device Energy Use'!$E9+'Energy Usage'!D22*'Retail Rates'!D$6*(1-'Device Energy Use'!$E9)))/1000000</f>
        <v>1.3954551335539607E-2</v>
      </c>
      <c r="E44" s="122">
        <f>(('Energy Usage'!E22*'Retail Rates'!E$5*'Device Energy Use'!$E9+'Energy Usage'!E22*'Retail Rates'!E$6*(1-'Device Energy Use'!$E9)))/1000000</f>
        <v>2.0507037085255194E-2</v>
      </c>
      <c r="F44" s="122">
        <f>(('Energy Usage'!F22*'Retail Rates'!F$5*'Device Energy Use'!$E9+'Energy Usage'!F22*'Retail Rates'!F$6*(1-'Device Energy Use'!$E9)))/1000000</f>
        <v>2.6800168558897549E-2</v>
      </c>
      <c r="G44" s="122">
        <f>(('Energy Usage'!G22*'Retail Rates'!G$5*'Device Energy Use'!$E9+'Energy Usage'!G22*'Retail Rates'!G$6*(1-'Device Energy Use'!$E9)))/1000000</f>
        <v>3.285056889473946E-2</v>
      </c>
      <c r="H44" s="122">
        <f>(('Energy Usage'!H22*'Retail Rates'!H$5*'Device Energy Use'!$E9+'Energy Usage'!H22*'Retail Rates'!H$6*(1-'Device Energy Use'!$E9)))/1000000</f>
        <v>3.8673925736100942E-2</v>
      </c>
      <c r="I44" s="122">
        <f>(('Energy Usage'!I22*'Retail Rates'!I$5*'Device Energy Use'!$E9+'Energy Usage'!I22*'Retail Rates'!I$6*(1-'Device Energy Use'!$E9)))/1000000</f>
        <v>4.428504518953142E-2</v>
      </c>
      <c r="J44" s="122">
        <f>(('Energy Usage'!J22*'Retail Rates'!J$5*'Device Energy Use'!$E9+'Energy Usage'!J22*'Retail Rates'!J$6*(1-'Device Energy Use'!$E9)))/1000000</f>
        <v>4.9697902682251341E-2</v>
      </c>
      <c r="K44" s="122">
        <f>(('Energy Usage'!K22*'Retail Rates'!K$5*'Device Energy Use'!$E9+'Energy Usage'!K22*'Retail Rates'!K$6*(1-'Device Energy Use'!$E9)))/1000000</f>
        <v>5.4925690897250266E-2</v>
      </c>
      <c r="L44" s="122">
        <f>(('Energy Usage'!L22*'Retail Rates'!L$5*'Device Energy Use'!$E9+'Energy Usage'!L22*'Retail Rates'!L$6*(1-'Device Energy Use'!$E9)))/1000000</f>
        <v>5.9980864954183526E-2</v>
      </c>
      <c r="M44" s="122">
        <f>(('Energy Usage'!M22*'Retail Rates'!M$5*'Device Energy Use'!$E9+'Energy Usage'!M22*'Retail Rates'!M$6*(1-'Device Energy Use'!$E9)))/1000000</f>
        <v>6.4875184994544685E-2</v>
      </c>
      <c r="N44" s="122">
        <f>(('Energy Usage'!N22*'Retail Rates'!N$5*'Device Energy Use'!$E9+'Energy Usage'!N22*'Retail Rates'!N$6*(1-'Device Energy Use'!$E9)))/1000000</f>
        <v>6.9619756320482021E-2</v>
      </c>
      <c r="O44" s="122">
        <f>(('Energy Usage'!O22*'Retail Rates'!O$5*'Device Energy Use'!$E9+'Energy Usage'!O22*'Retail Rates'!O$6*(1-'Device Energy Use'!$E9)))/1000000</f>
        <v>7.4225067228041633E-2</v>
      </c>
      <c r="P44" s="122">
        <f>(('Energy Usage'!P22*'Retail Rates'!P$5*'Device Energy Use'!$E9+'Energy Usage'!P22*'Retail Rates'!P$6*(1-'Device Energy Use'!$E9)))/1000000</f>
        <v>7.8701024667527722E-2</v>
      </c>
      <c r="Q44" s="122">
        <f>(('Energy Usage'!Q22*'Retail Rates'!Q$5*'Device Energy Use'!$E9+'Energy Usage'!Q22*'Retail Rates'!Q$6*(1-'Device Energy Use'!$E9)))/1000000</f>
        <v>8.3056987856044401E-2</v>
      </c>
      <c r="R44" s="122">
        <f>(('Energy Usage'!R22*'Retail Rates'!R$5*'Device Energy Use'!$E9+'Energy Usage'!R22*'Retail Rates'!R$6*(1-'Device Energy Use'!$E9)))/1000000</f>
        <v>8.7301799960094975E-2</v>
      </c>
      <c r="S44" s="122">
        <f>(('Energy Usage'!S22*'Retail Rates'!S$5*'Device Energy Use'!$E9+'Energy Usage'!S22*'Retail Rates'!S$6*(1-'Device Energy Use'!$E9)))/1000000</f>
        <v>9.1443817959339521E-2</v>
      </c>
      <c r="T44" s="122">
        <f>(('Energy Usage'!T22*'Retail Rates'!T$5*'Device Energy Use'!$E9+'Energy Usage'!T22*'Retail Rates'!T$6*(1-'Device Energy Use'!$E9)))/1000000</f>
        <v>9.5490940796226859E-2</v>
      </c>
      <c r="U44" s="122">
        <f>(('Energy Usage'!U22*'Retail Rates'!U$5*'Device Energy Use'!$E9+'Energy Usage'!U22*'Retail Rates'!U$6*(1-'Device Energy Use'!$E9)))/1000000</f>
        <v>9.9450635910198038E-2</v>
      </c>
      <c r="V44" s="122">
        <f>(('Energy Usage'!V22*'Retail Rates'!V$5*'Device Energy Use'!$E9+'Energy Usage'!V22*'Retail Rates'!V$6*(1-'Device Energy Use'!$E9)))/1000000</f>
        <v>0.10332996424948616</v>
      </c>
      <c r="W44" s="122">
        <f>(('Energy Usage'!W22*'Retail Rates'!W$5*'Device Energy Use'!$E9+'Energy Usage'!W22*'Retail Rates'!W$6*(1-'Device Energy Use'!$E9)))/1000000</f>
        <v>0.10713560384819217</v>
      </c>
    </row>
    <row r="47" spans="1:23">
      <c r="A47" s="12" t="s">
        <v>114</v>
      </c>
    </row>
    <row r="48" spans="1:23">
      <c r="A48" s="14" t="str">
        <f t="shared" ref="A48:W48" si="11">A57</f>
        <v>Water Heat Ending</v>
      </c>
      <c r="B48" s="9">
        <f t="shared" si="11"/>
        <v>2014</v>
      </c>
      <c r="C48" s="9">
        <f t="shared" si="11"/>
        <v>2015</v>
      </c>
      <c r="D48" s="9">
        <f t="shared" si="11"/>
        <v>2016</v>
      </c>
      <c r="E48" s="9">
        <f t="shared" si="11"/>
        <v>2017</v>
      </c>
      <c r="F48" s="9">
        <f t="shared" si="11"/>
        <v>2018</v>
      </c>
      <c r="G48" s="9">
        <f t="shared" si="11"/>
        <v>2019</v>
      </c>
      <c r="H48" s="9">
        <f t="shared" si="11"/>
        <v>2020</v>
      </c>
      <c r="I48" s="9">
        <f t="shared" si="11"/>
        <v>2021</v>
      </c>
      <c r="J48" s="9">
        <f t="shared" si="11"/>
        <v>2022</v>
      </c>
      <c r="K48" s="9">
        <f t="shared" si="11"/>
        <v>2023</v>
      </c>
      <c r="L48" s="9">
        <f t="shared" si="11"/>
        <v>2024</v>
      </c>
      <c r="M48" s="9">
        <f t="shared" si="11"/>
        <v>2025</v>
      </c>
      <c r="N48" s="9">
        <f t="shared" si="11"/>
        <v>2026</v>
      </c>
      <c r="O48" s="9">
        <f t="shared" si="11"/>
        <v>2027</v>
      </c>
      <c r="P48" s="9">
        <f t="shared" si="11"/>
        <v>2028</v>
      </c>
      <c r="Q48" s="9">
        <f t="shared" si="11"/>
        <v>2029</v>
      </c>
      <c r="R48" s="9">
        <f t="shared" si="11"/>
        <v>2030</v>
      </c>
      <c r="S48" s="9">
        <f t="shared" si="11"/>
        <v>2031</v>
      </c>
      <c r="T48" s="9">
        <f t="shared" si="11"/>
        <v>2032</v>
      </c>
      <c r="U48" s="9">
        <f t="shared" si="11"/>
        <v>2033</v>
      </c>
      <c r="V48" s="9">
        <f t="shared" si="11"/>
        <v>2034</v>
      </c>
      <c r="W48" s="9">
        <f t="shared" si="11"/>
        <v>2035</v>
      </c>
    </row>
    <row r="49" spans="1:23" ht="16.5" thickBot="1">
      <c r="A49" s="47" t="str">
        <f t="shared" ref="A49:A54" si="12">A58</f>
        <v>Total</v>
      </c>
      <c r="B49" s="128">
        <f t="shared" ref="B49:W49" si="13">SUM(B50:B54)</f>
        <v>0.66954249848790159</v>
      </c>
      <c r="C49" s="128">
        <f t="shared" si="13"/>
        <v>0.88150500142805355</v>
      </c>
      <c r="D49" s="128">
        <f t="shared" si="13"/>
        <v>0.87016334654326299</v>
      </c>
      <c r="E49" s="128">
        <f t="shared" si="13"/>
        <v>0.85983011148083377</v>
      </c>
      <c r="F49" s="128">
        <f t="shared" si="13"/>
        <v>0.85045049852730881</v>
      </c>
      <c r="G49" s="128">
        <f t="shared" si="13"/>
        <v>0.84197297827066597</v>
      </c>
      <c r="H49" s="128">
        <f t="shared" si="13"/>
        <v>0.83434909938579049</v>
      </c>
      <c r="I49" s="128">
        <f t="shared" si="13"/>
        <v>0.82753330950407888</v>
      </c>
      <c r="J49" s="128">
        <f t="shared" si="13"/>
        <v>0.82148278652482776</v>
      </c>
      <c r="K49" s="128">
        <f t="shared" si="13"/>
        <v>0.8161572797630845</v>
      </c>
      <c r="L49" s="128">
        <f t="shared" si="13"/>
        <v>0.81151896036354865</v>
      </c>
      <c r="M49" s="128">
        <f t="shared" si="13"/>
        <v>0.80753228044301895</v>
      </c>
      <c r="N49" s="128">
        <f t="shared" si="13"/>
        <v>0.80416384045490086</v>
      </c>
      <c r="O49" s="128">
        <f t="shared" si="13"/>
        <v>0.80138226429854109</v>
      </c>
      <c r="P49" s="128">
        <f t="shared" si="13"/>
        <v>0.79915808172371583</v>
      </c>
      <c r="Q49" s="128">
        <f t="shared" si="13"/>
        <v>0.79746361760659046</v>
      </c>
      <c r="R49" s="128">
        <f t="shared" si="13"/>
        <v>0.79627288769795967</v>
      </c>
      <c r="S49" s="128">
        <f t="shared" si="13"/>
        <v>0.79556150046766261</v>
      </c>
      <c r="T49" s="128">
        <f t="shared" si="13"/>
        <v>0.79530656469083039</v>
      </c>
      <c r="U49" s="128">
        <f t="shared" si="13"/>
        <v>0.79548660244213121</v>
      </c>
      <c r="V49" s="128">
        <f t="shared" si="13"/>
        <v>0.7960814671835057</v>
      </c>
      <c r="W49" s="128">
        <f t="shared" si="13"/>
        <v>0.7970722666491038</v>
      </c>
    </row>
    <row r="50" spans="1:23" ht="16.5" thickTop="1">
      <c r="A50" s="9" t="str">
        <f t="shared" si="12"/>
        <v>Electric Resistance</v>
      </c>
      <c r="B50" s="122">
        <f t="shared" ref="B50:W50" si="14">B59+B68+B77</f>
        <v>0.66954249848790159</v>
      </c>
      <c r="C50" s="122">
        <f t="shared" si="14"/>
        <v>0.62969724180701181</v>
      </c>
      <c r="D50" s="122">
        <f t="shared" si="14"/>
        <v>0.59222445192976747</v>
      </c>
      <c r="E50" s="122">
        <f t="shared" si="14"/>
        <v>0.55698277984727651</v>
      </c>
      <c r="F50" s="122">
        <f t="shared" si="14"/>
        <v>0.52383930420666769</v>
      </c>
      <c r="G50" s="122">
        <f t="shared" si="14"/>
        <v>0.49266902838502985</v>
      </c>
      <c r="H50" s="122">
        <f t="shared" si="14"/>
        <v>0.4633544076073518</v>
      </c>
      <c r="I50" s="122">
        <f t="shared" si="14"/>
        <v>0.43578490431144423</v>
      </c>
      <c r="J50" s="122">
        <f t="shared" si="14"/>
        <v>0.40985657007046322</v>
      </c>
      <c r="K50" s="122">
        <f t="shared" si="14"/>
        <v>0.38547165248484189</v>
      </c>
      <c r="L50" s="122">
        <f t="shared" si="14"/>
        <v>0.36253822555055348</v>
      </c>
      <c r="M50" s="122">
        <f t="shared" si="14"/>
        <v>0.34096984210003367</v>
      </c>
      <c r="N50" s="122">
        <f t="shared" si="14"/>
        <v>0.3206852069961369</v>
      </c>
      <c r="O50" s="122">
        <f t="shared" si="14"/>
        <v>0.30160786983850624</v>
      </c>
      <c r="P50" s="122">
        <f t="shared" si="14"/>
        <v>0.28366593601600282</v>
      </c>
      <c r="Q50" s="122">
        <f t="shared" si="14"/>
        <v>0.26679179500865358</v>
      </c>
      <c r="R50" s="122">
        <f t="shared" si="14"/>
        <v>0.25092186490820795</v>
      </c>
      <c r="S50" s="122">
        <f t="shared" si="14"/>
        <v>0.23599635218808193</v>
      </c>
      <c r="T50" s="122">
        <f t="shared" si="14"/>
        <v>0.22195902581147112</v>
      </c>
      <c r="U50" s="122">
        <f t="shared" si="14"/>
        <v>0.2087570048209304</v>
      </c>
      <c r="V50" s="122">
        <f t="shared" si="14"/>
        <v>0.19634055860397231</v>
      </c>
      <c r="W50" s="122">
        <f t="shared" si="14"/>
        <v>0.18466291907741886</v>
      </c>
    </row>
    <row r="51" spans="1:23">
      <c r="A51" s="9" t="str">
        <f t="shared" si="12"/>
        <v>HPWH</v>
      </c>
      <c r="B51" s="122">
        <f t="shared" ref="B51:W51" si="15">B60+B69+B78</f>
        <v>0</v>
      </c>
      <c r="C51" s="122">
        <f t="shared" si="15"/>
        <v>0.25180775962104174</v>
      </c>
      <c r="D51" s="122">
        <f t="shared" si="15"/>
        <v>0.27793889461349552</v>
      </c>
      <c r="E51" s="122">
        <f t="shared" si="15"/>
        <v>0.30284733163355726</v>
      </c>
      <c r="F51" s="122">
        <f t="shared" si="15"/>
        <v>0.32661119432064112</v>
      </c>
      <c r="G51" s="122">
        <f t="shared" si="15"/>
        <v>0.34930394988563612</v>
      </c>
      <c r="H51" s="122">
        <f t="shared" si="15"/>
        <v>0.37099469177843869</v>
      </c>
      <c r="I51" s="122">
        <f t="shared" si="15"/>
        <v>0.39174840519263465</v>
      </c>
      <c r="J51" s="122">
        <f t="shared" si="15"/>
        <v>0.41162621645436459</v>
      </c>
      <c r="K51" s="122">
        <f t="shared" si="15"/>
        <v>0.43068562727824256</v>
      </c>
      <c r="L51" s="122">
        <f t="shared" si="15"/>
        <v>0.44898073481299516</v>
      </c>
      <c r="M51" s="122">
        <f t="shared" si="15"/>
        <v>0.46656243834298528</v>
      </c>
      <c r="N51" s="122">
        <f t="shared" si="15"/>
        <v>0.48347863345876396</v>
      </c>
      <c r="O51" s="122">
        <f t="shared" si="15"/>
        <v>0.49977439446003485</v>
      </c>
      <c r="P51" s="122">
        <f t="shared" si="15"/>
        <v>0.51549214570771307</v>
      </c>
      <c r="Q51" s="122">
        <f t="shared" si="15"/>
        <v>0.53067182259793688</v>
      </c>
      <c r="R51" s="122">
        <f t="shared" si="15"/>
        <v>0.54535102278975178</v>
      </c>
      <c r="S51" s="122">
        <f t="shared" si="15"/>
        <v>0.5595651482795807</v>
      </c>
      <c r="T51" s="122">
        <f t="shared" si="15"/>
        <v>0.5733475388793593</v>
      </c>
      <c r="U51" s="122">
        <f t="shared" si="15"/>
        <v>0.5867295976212008</v>
      </c>
      <c r="V51" s="122">
        <f t="shared" si="15"/>
        <v>0.59974090857953333</v>
      </c>
      <c r="W51" s="122">
        <f t="shared" si="15"/>
        <v>0.61240934757168497</v>
      </c>
    </row>
    <row r="52" spans="1:23">
      <c r="A52" s="9" t="str">
        <f t="shared" si="12"/>
        <v>Gas Tank</v>
      </c>
      <c r="B52" s="122">
        <f t="shared" ref="B52:W52" si="16">B61+B70+B79</f>
        <v>0</v>
      </c>
      <c r="C52" s="122">
        <f t="shared" si="16"/>
        <v>0</v>
      </c>
      <c r="D52" s="122">
        <f t="shared" si="16"/>
        <v>0</v>
      </c>
      <c r="E52" s="122">
        <f t="shared" si="16"/>
        <v>0</v>
      </c>
      <c r="F52" s="122">
        <f t="shared" si="16"/>
        <v>0</v>
      </c>
      <c r="G52" s="122">
        <f t="shared" si="16"/>
        <v>0</v>
      </c>
      <c r="H52" s="122">
        <f t="shared" si="16"/>
        <v>0</v>
      </c>
      <c r="I52" s="122">
        <f t="shared" si="16"/>
        <v>0</v>
      </c>
      <c r="J52" s="122">
        <f t="shared" si="16"/>
        <v>0</v>
      </c>
      <c r="K52" s="122">
        <f t="shared" si="16"/>
        <v>0</v>
      </c>
      <c r="L52" s="122">
        <f t="shared" si="16"/>
        <v>0</v>
      </c>
      <c r="M52" s="122">
        <f t="shared" si="16"/>
        <v>0</v>
      </c>
      <c r="N52" s="122">
        <f t="shared" si="16"/>
        <v>0</v>
      </c>
      <c r="O52" s="122">
        <f t="shared" si="16"/>
        <v>0</v>
      </c>
      <c r="P52" s="122">
        <f t="shared" si="16"/>
        <v>0</v>
      </c>
      <c r="Q52" s="122">
        <f t="shared" si="16"/>
        <v>0</v>
      </c>
      <c r="R52" s="122">
        <f t="shared" si="16"/>
        <v>0</v>
      </c>
      <c r="S52" s="122">
        <f t="shared" si="16"/>
        <v>0</v>
      </c>
      <c r="T52" s="122">
        <f t="shared" si="16"/>
        <v>0</v>
      </c>
      <c r="U52" s="122">
        <f t="shared" si="16"/>
        <v>0</v>
      </c>
      <c r="V52" s="122">
        <f t="shared" si="16"/>
        <v>0</v>
      </c>
      <c r="W52" s="122">
        <f t="shared" si="16"/>
        <v>0</v>
      </c>
    </row>
    <row r="53" spans="1:23">
      <c r="A53" s="9" t="str">
        <f t="shared" si="12"/>
        <v>Instant Gas</v>
      </c>
      <c r="B53" s="122">
        <f t="shared" ref="B53:W53" si="17">B62+B71+B80</f>
        <v>0</v>
      </c>
      <c r="C53" s="122">
        <f t="shared" si="17"/>
        <v>0</v>
      </c>
      <c r="D53" s="122">
        <f t="shared" si="17"/>
        <v>0</v>
      </c>
      <c r="E53" s="122">
        <f t="shared" si="17"/>
        <v>0</v>
      </c>
      <c r="F53" s="122">
        <f t="shared" si="17"/>
        <v>0</v>
      </c>
      <c r="G53" s="122">
        <f t="shared" si="17"/>
        <v>0</v>
      </c>
      <c r="H53" s="122">
        <f t="shared" si="17"/>
        <v>0</v>
      </c>
      <c r="I53" s="122">
        <f t="shared" si="17"/>
        <v>0</v>
      </c>
      <c r="J53" s="122">
        <f t="shared" si="17"/>
        <v>0</v>
      </c>
      <c r="K53" s="122">
        <f t="shared" si="17"/>
        <v>0</v>
      </c>
      <c r="L53" s="122">
        <f t="shared" si="17"/>
        <v>0</v>
      </c>
      <c r="M53" s="122">
        <f t="shared" si="17"/>
        <v>0</v>
      </c>
      <c r="N53" s="122">
        <f t="shared" si="17"/>
        <v>0</v>
      </c>
      <c r="O53" s="122">
        <f t="shared" si="17"/>
        <v>0</v>
      </c>
      <c r="P53" s="122">
        <f t="shared" si="17"/>
        <v>0</v>
      </c>
      <c r="Q53" s="122">
        <f t="shared" si="17"/>
        <v>0</v>
      </c>
      <c r="R53" s="122">
        <f t="shared" si="17"/>
        <v>0</v>
      </c>
      <c r="S53" s="122">
        <f t="shared" si="17"/>
        <v>0</v>
      </c>
      <c r="T53" s="122">
        <f t="shared" si="17"/>
        <v>0</v>
      </c>
      <c r="U53" s="122">
        <f t="shared" si="17"/>
        <v>0</v>
      </c>
      <c r="V53" s="122">
        <f t="shared" si="17"/>
        <v>0</v>
      </c>
      <c r="W53" s="122">
        <f t="shared" si="17"/>
        <v>0</v>
      </c>
    </row>
    <row r="54" spans="1:23">
      <c r="A54" s="9" t="str">
        <f t="shared" si="12"/>
        <v>Condensing Gas</v>
      </c>
      <c r="B54" s="122">
        <f t="shared" ref="B54:W54" si="18">B63+B72+B81</f>
        <v>0</v>
      </c>
      <c r="C54" s="122">
        <f t="shared" si="18"/>
        <v>0</v>
      </c>
      <c r="D54" s="122">
        <f t="shared" si="18"/>
        <v>0</v>
      </c>
      <c r="E54" s="122">
        <f t="shared" si="18"/>
        <v>0</v>
      </c>
      <c r="F54" s="122">
        <f t="shared" si="18"/>
        <v>0</v>
      </c>
      <c r="G54" s="122">
        <f t="shared" si="18"/>
        <v>0</v>
      </c>
      <c r="H54" s="122">
        <f t="shared" si="18"/>
        <v>0</v>
      </c>
      <c r="I54" s="122">
        <f t="shared" si="18"/>
        <v>0</v>
      </c>
      <c r="J54" s="122">
        <f t="shared" si="18"/>
        <v>0</v>
      </c>
      <c r="K54" s="122">
        <f t="shared" si="18"/>
        <v>0</v>
      </c>
      <c r="L54" s="122">
        <f t="shared" si="18"/>
        <v>0</v>
      </c>
      <c r="M54" s="122">
        <f t="shared" si="18"/>
        <v>0</v>
      </c>
      <c r="N54" s="122">
        <f t="shared" si="18"/>
        <v>0</v>
      </c>
      <c r="O54" s="122">
        <f t="shared" si="18"/>
        <v>0</v>
      </c>
      <c r="P54" s="122">
        <f t="shared" si="18"/>
        <v>0</v>
      </c>
      <c r="Q54" s="122">
        <f t="shared" si="18"/>
        <v>0</v>
      </c>
      <c r="R54" s="122">
        <f t="shared" si="18"/>
        <v>0</v>
      </c>
      <c r="S54" s="122">
        <f t="shared" si="18"/>
        <v>0</v>
      </c>
      <c r="T54" s="122">
        <f t="shared" si="18"/>
        <v>0</v>
      </c>
      <c r="U54" s="122">
        <f t="shared" si="18"/>
        <v>0</v>
      </c>
      <c r="V54" s="122">
        <f t="shared" si="18"/>
        <v>0</v>
      </c>
      <c r="W54" s="122">
        <f t="shared" si="18"/>
        <v>0</v>
      </c>
    </row>
    <row r="55" spans="1:23">
      <c r="A55" s="12"/>
    </row>
    <row r="56" spans="1:23">
      <c r="A56" s="12" t="s">
        <v>115</v>
      </c>
    </row>
    <row r="57" spans="1:23">
      <c r="A57" s="14" t="str">
        <f>'Water Heaters Purchased'!A13</f>
        <v>Water Heat Ending</v>
      </c>
      <c r="B57" s="9">
        <f>'Water Heaters Purchased'!B13</f>
        <v>2014</v>
      </c>
      <c r="C57" s="9">
        <f>'Water Heaters Purchased'!C13</f>
        <v>2015</v>
      </c>
      <c r="D57" s="9">
        <f>'Water Heaters Purchased'!D13</f>
        <v>2016</v>
      </c>
      <c r="E57" s="9">
        <f>'Water Heaters Purchased'!E13</f>
        <v>2017</v>
      </c>
      <c r="F57" s="9">
        <f>'Water Heaters Purchased'!F13</f>
        <v>2018</v>
      </c>
      <c r="G57" s="9">
        <f>'Water Heaters Purchased'!G13</f>
        <v>2019</v>
      </c>
      <c r="H57" s="9">
        <f>'Water Heaters Purchased'!H13</f>
        <v>2020</v>
      </c>
      <c r="I57" s="9">
        <f>'Water Heaters Purchased'!I13</f>
        <v>2021</v>
      </c>
      <c r="J57" s="9">
        <f>'Water Heaters Purchased'!J13</f>
        <v>2022</v>
      </c>
      <c r="K57" s="9">
        <f>'Water Heaters Purchased'!K13</f>
        <v>2023</v>
      </c>
      <c r="L57" s="9">
        <f>'Water Heaters Purchased'!L13</f>
        <v>2024</v>
      </c>
      <c r="M57" s="9">
        <f>'Water Heaters Purchased'!M13</f>
        <v>2025</v>
      </c>
      <c r="N57" s="9">
        <f>'Water Heaters Purchased'!N13</f>
        <v>2026</v>
      </c>
      <c r="O57" s="9">
        <f>'Water Heaters Purchased'!O13</f>
        <v>2027</v>
      </c>
      <c r="P57" s="9">
        <f>'Water Heaters Purchased'!P13</f>
        <v>2028</v>
      </c>
      <c r="Q57" s="9">
        <f>'Water Heaters Purchased'!Q13</f>
        <v>2029</v>
      </c>
      <c r="R57" s="9">
        <f>'Water Heaters Purchased'!R13</f>
        <v>2030</v>
      </c>
      <c r="S57" s="9">
        <f>'Water Heaters Purchased'!S13</f>
        <v>2031</v>
      </c>
      <c r="T57" s="9">
        <f>'Water Heaters Purchased'!T13</f>
        <v>2032</v>
      </c>
      <c r="U57" s="9">
        <f>'Water Heaters Purchased'!U13</f>
        <v>2033</v>
      </c>
      <c r="V57" s="9">
        <f>'Water Heaters Purchased'!V13</f>
        <v>2034</v>
      </c>
      <c r="W57" s="9">
        <f>'Water Heaters Purchased'!W13</f>
        <v>2035</v>
      </c>
    </row>
    <row r="58" spans="1:23" ht="16.5" thickBot="1">
      <c r="A58" s="47" t="s">
        <v>44</v>
      </c>
      <c r="B58" s="128">
        <f t="shared" ref="B58" si="19">SUM(B59:B63)</f>
        <v>0</v>
      </c>
      <c r="C58" s="128">
        <f t="shared" ref="C58:D58" si="20">SUM(C59:C63)</f>
        <v>0.22437084564247334</v>
      </c>
      <c r="D58" s="128">
        <f t="shared" si="20"/>
        <v>0.22437084564247334</v>
      </c>
      <c r="E58" s="128">
        <f t="shared" ref="E58:W58" si="21">SUM(E59:E63)</f>
        <v>0.22437084564247334</v>
      </c>
      <c r="F58" s="128">
        <f t="shared" si="21"/>
        <v>0.22437084564247334</v>
      </c>
      <c r="G58" s="128">
        <f t="shared" si="21"/>
        <v>0.22437084564247334</v>
      </c>
      <c r="H58" s="128">
        <f t="shared" si="21"/>
        <v>0.22437084564247334</v>
      </c>
      <c r="I58" s="128">
        <f t="shared" si="21"/>
        <v>0.22437084564247334</v>
      </c>
      <c r="J58" s="128">
        <f t="shared" si="21"/>
        <v>0.22437084564247334</v>
      </c>
      <c r="K58" s="128">
        <f t="shared" si="21"/>
        <v>0.22437084564247334</v>
      </c>
      <c r="L58" s="128">
        <f t="shared" si="21"/>
        <v>0.22437084564247334</v>
      </c>
      <c r="M58" s="128">
        <f t="shared" si="21"/>
        <v>0.22437084564247334</v>
      </c>
      <c r="N58" s="128">
        <f t="shared" si="21"/>
        <v>0.22437084564247334</v>
      </c>
      <c r="O58" s="128">
        <f t="shared" si="21"/>
        <v>0.22437084564247334</v>
      </c>
      <c r="P58" s="128">
        <f t="shared" si="21"/>
        <v>0.22437084564247334</v>
      </c>
      <c r="Q58" s="128">
        <f t="shared" si="21"/>
        <v>0.22437084564247328</v>
      </c>
      <c r="R58" s="128">
        <f t="shared" si="21"/>
        <v>0.22437084564247328</v>
      </c>
      <c r="S58" s="128">
        <f t="shared" si="21"/>
        <v>0.22437084564247328</v>
      </c>
      <c r="T58" s="128">
        <f t="shared" si="21"/>
        <v>0.22437084564247328</v>
      </c>
      <c r="U58" s="128">
        <f t="shared" si="21"/>
        <v>0.22437084564247328</v>
      </c>
      <c r="V58" s="128">
        <f t="shared" si="21"/>
        <v>0.22437084564247328</v>
      </c>
      <c r="W58" s="128">
        <f t="shared" si="21"/>
        <v>0.22437084564247328</v>
      </c>
    </row>
    <row r="59" spans="1:23" ht="16.5" thickTop="1">
      <c r="A59" s="37" t="str">
        <f>'Water Heaters Purchased'!A15</f>
        <v>Electric Resistance</v>
      </c>
      <c r="B59" s="122">
        <f>'Water Heaters Purchased'!B15*'Capital Cost'!$E5/1000000</f>
        <v>0</v>
      </c>
      <c r="C59" s="122">
        <f>'Water Heaters Purchased'!C15*'Capital Cost'!$E5/1000000</f>
        <v>0</v>
      </c>
      <c r="D59" s="122">
        <f>'Water Heaters Purchased'!D15*'Capital Cost'!$E5/1000000</f>
        <v>0</v>
      </c>
      <c r="E59" s="122">
        <f>'Water Heaters Purchased'!E15*'Capital Cost'!$E5/1000000</f>
        <v>0</v>
      </c>
      <c r="F59" s="122">
        <f>'Water Heaters Purchased'!F15*'Capital Cost'!$E5/1000000</f>
        <v>0</v>
      </c>
      <c r="G59" s="122">
        <f>'Water Heaters Purchased'!G15*'Capital Cost'!$E5/1000000</f>
        <v>0</v>
      </c>
      <c r="H59" s="122">
        <f>'Water Heaters Purchased'!H15*'Capital Cost'!$E5/1000000</f>
        <v>0</v>
      </c>
      <c r="I59" s="122">
        <f>'Water Heaters Purchased'!I15*'Capital Cost'!$E5/1000000</f>
        <v>0</v>
      </c>
      <c r="J59" s="122">
        <f>'Water Heaters Purchased'!J15*'Capital Cost'!$E5/1000000</f>
        <v>0</v>
      </c>
      <c r="K59" s="122">
        <f>'Water Heaters Purchased'!K15*'Capital Cost'!$E5/1000000</f>
        <v>0</v>
      </c>
      <c r="L59" s="122">
        <f>'Water Heaters Purchased'!L15*'Capital Cost'!$E5/1000000</f>
        <v>0</v>
      </c>
      <c r="M59" s="122">
        <f>'Water Heaters Purchased'!M15*'Capital Cost'!$E5/1000000</f>
        <v>0</v>
      </c>
      <c r="N59" s="122">
        <f>'Water Heaters Purchased'!N15*'Capital Cost'!$E5/1000000</f>
        <v>0</v>
      </c>
      <c r="O59" s="122">
        <f>'Water Heaters Purchased'!O15*'Capital Cost'!$E5/1000000</f>
        <v>0</v>
      </c>
      <c r="P59" s="122">
        <f>'Water Heaters Purchased'!P15*'Capital Cost'!$E5/1000000</f>
        <v>0</v>
      </c>
      <c r="Q59" s="122">
        <f>'Water Heaters Purchased'!Q15*'Capital Cost'!$E5/1000000</f>
        <v>0</v>
      </c>
      <c r="R59" s="122">
        <f>'Water Heaters Purchased'!R15*'Capital Cost'!$E5/1000000</f>
        <v>0</v>
      </c>
      <c r="S59" s="122">
        <f>'Water Heaters Purchased'!S15*'Capital Cost'!$E5/1000000</f>
        <v>0</v>
      </c>
      <c r="T59" s="122">
        <f>'Water Heaters Purchased'!T15*'Capital Cost'!$E5/1000000</f>
        <v>0</v>
      </c>
      <c r="U59" s="122">
        <f>'Water Heaters Purchased'!U15*'Capital Cost'!$E5/1000000</f>
        <v>0</v>
      </c>
      <c r="V59" s="122">
        <f>'Water Heaters Purchased'!V15*'Capital Cost'!$E5/1000000</f>
        <v>0</v>
      </c>
      <c r="W59" s="122">
        <f>'Water Heaters Purchased'!W15*'Capital Cost'!$E5/1000000</f>
        <v>0</v>
      </c>
    </row>
    <row r="60" spans="1:23">
      <c r="A60" s="37" t="str">
        <f>'Water Heaters Purchased'!A16</f>
        <v>HPWH</v>
      </c>
      <c r="B60" s="122">
        <f>'Water Heaters Purchased'!B16*'Capital Cost'!$E6/1000000</f>
        <v>0</v>
      </c>
      <c r="C60" s="122">
        <f>'Water Heaters Purchased'!C16*'Capital Cost'!$E6/1000000</f>
        <v>0.22437084564247334</v>
      </c>
      <c r="D60" s="122">
        <f>'Water Heaters Purchased'!D16*'Capital Cost'!$E6/1000000</f>
        <v>0.22437084564247334</v>
      </c>
      <c r="E60" s="122">
        <f>'Water Heaters Purchased'!E16*'Capital Cost'!$E6/1000000</f>
        <v>0.22437084564247334</v>
      </c>
      <c r="F60" s="122">
        <f>'Water Heaters Purchased'!F16*'Capital Cost'!$E6/1000000</f>
        <v>0.22437084564247334</v>
      </c>
      <c r="G60" s="122">
        <f>'Water Heaters Purchased'!G16*'Capital Cost'!$E6/1000000</f>
        <v>0.22437084564247334</v>
      </c>
      <c r="H60" s="122">
        <f>'Water Heaters Purchased'!H16*'Capital Cost'!$E6/1000000</f>
        <v>0.22437084564247334</v>
      </c>
      <c r="I60" s="122">
        <f>'Water Heaters Purchased'!I16*'Capital Cost'!$E6/1000000</f>
        <v>0.22437084564247334</v>
      </c>
      <c r="J60" s="122">
        <f>'Water Heaters Purchased'!J16*'Capital Cost'!$E6/1000000</f>
        <v>0.22437084564247334</v>
      </c>
      <c r="K60" s="122">
        <f>'Water Heaters Purchased'!K16*'Capital Cost'!$E6/1000000</f>
        <v>0.22437084564247334</v>
      </c>
      <c r="L60" s="122">
        <f>'Water Heaters Purchased'!L16*'Capital Cost'!$E6/1000000</f>
        <v>0.22437084564247334</v>
      </c>
      <c r="M60" s="122">
        <f>'Water Heaters Purchased'!M16*'Capital Cost'!$E6/1000000</f>
        <v>0.22437084564247334</v>
      </c>
      <c r="N60" s="122">
        <f>'Water Heaters Purchased'!N16*'Capital Cost'!$E6/1000000</f>
        <v>0.22437084564247334</v>
      </c>
      <c r="O60" s="122">
        <f>'Water Heaters Purchased'!O16*'Capital Cost'!$E6/1000000</f>
        <v>0.22437084564247334</v>
      </c>
      <c r="P60" s="122">
        <f>'Water Heaters Purchased'!P16*'Capital Cost'!$E6/1000000</f>
        <v>0.22437084564247334</v>
      </c>
      <c r="Q60" s="122">
        <f>'Water Heaters Purchased'!Q16*'Capital Cost'!$E6/1000000</f>
        <v>0.22437084564247328</v>
      </c>
      <c r="R60" s="122">
        <f>'Water Heaters Purchased'!R16*'Capital Cost'!$E6/1000000</f>
        <v>0.22437084564247328</v>
      </c>
      <c r="S60" s="122">
        <f>'Water Heaters Purchased'!S16*'Capital Cost'!$E6/1000000</f>
        <v>0.22437084564247328</v>
      </c>
      <c r="T60" s="122">
        <f>'Water Heaters Purchased'!T16*'Capital Cost'!$E6/1000000</f>
        <v>0.22437084564247328</v>
      </c>
      <c r="U60" s="122">
        <f>'Water Heaters Purchased'!U16*'Capital Cost'!$E6/1000000</f>
        <v>0.22437084564247328</v>
      </c>
      <c r="V60" s="122">
        <f>'Water Heaters Purchased'!V16*'Capital Cost'!$E6/1000000</f>
        <v>0.22437084564247328</v>
      </c>
      <c r="W60" s="122">
        <f>'Water Heaters Purchased'!W16*'Capital Cost'!$E6/1000000</f>
        <v>0.22437084564247328</v>
      </c>
    </row>
    <row r="61" spans="1:23">
      <c r="A61" s="37" t="str">
        <f>'Water Heaters Purchased'!A17</f>
        <v>Gas Tank</v>
      </c>
      <c r="B61" s="122">
        <f>'Water Heaters Purchased'!B17*'Capital Cost'!$E7/1000000</f>
        <v>0</v>
      </c>
      <c r="C61" s="122">
        <f>'Water Heaters Purchased'!C17*'Capital Cost'!$E7/1000000</f>
        <v>0</v>
      </c>
      <c r="D61" s="122">
        <f>'Water Heaters Purchased'!D17*'Capital Cost'!$E7/1000000</f>
        <v>0</v>
      </c>
      <c r="E61" s="122">
        <f>'Water Heaters Purchased'!E17*'Capital Cost'!$E7/1000000</f>
        <v>0</v>
      </c>
      <c r="F61" s="122">
        <f>'Water Heaters Purchased'!F17*'Capital Cost'!$E7/1000000</f>
        <v>0</v>
      </c>
      <c r="G61" s="122">
        <f>'Water Heaters Purchased'!G17*'Capital Cost'!$E7/1000000</f>
        <v>0</v>
      </c>
      <c r="H61" s="122">
        <f>'Water Heaters Purchased'!H17*'Capital Cost'!$E7/1000000</f>
        <v>0</v>
      </c>
      <c r="I61" s="122">
        <f>'Water Heaters Purchased'!I17*'Capital Cost'!$E7/1000000</f>
        <v>0</v>
      </c>
      <c r="J61" s="122">
        <f>'Water Heaters Purchased'!J17*'Capital Cost'!$E7/1000000</f>
        <v>0</v>
      </c>
      <c r="K61" s="122">
        <f>'Water Heaters Purchased'!K17*'Capital Cost'!$E7/1000000</f>
        <v>0</v>
      </c>
      <c r="L61" s="122">
        <f>'Water Heaters Purchased'!L17*'Capital Cost'!$E7/1000000</f>
        <v>0</v>
      </c>
      <c r="M61" s="122">
        <f>'Water Heaters Purchased'!M17*'Capital Cost'!$E7/1000000</f>
        <v>0</v>
      </c>
      <c r="N61" s="122">
        <f>'Water Heaters Purchased'!N17*'Capital Cost'!$E7/1000000</f>
        <v>0</v>
      </c>
      <c r="O61" s="122">
        <f>'Water Heaters Purchased'!O17*'Capital Cost'!$E7/1000000</f>
        <v>0</v>
      </c>
      <c r="P61" s="122">
        <f>'Water Heaters Purchased'!P17*'Capital Cost'!$E7/1000000</f>
        <v>0</v>
      </c>
      <c r="Q61" s="122">
        <f>'Water Heaters Purchased'!Q17*'Capital Cost'!$E7/1000000</f>
        <v>0</v>
      </c>
      <c r="R61" s="122">
        <f>'Water Heaters Purchased'!R17*'Capital Cost'!$E7/1000000</f>
        <v>0</v>
      </c>
      <c r="S61" s="122">
        <f>'Water Heaters Purchased'!S17*'Capital Cost'!$E7/1000000</f>
        <v>0</v>
      </c>
      <c r="T61" s="122">
        <f>'Water Heaters Purchased'!T17*'Capital Cost'!$E7/1000000</f>
        <v>0</v>
      </c>
      <c r="U61" s="122">
        <f>'Water Heaters Purchased'!U17*'Capital Cost'!$E7/1000000</f>
        <v>0</v>
      </c>
      <c r="V61" s="122">
        <f>'Water Heaters Purchased'!V17*'Capital Cost'!$E7/1000000</f>
        <v>0</v>
      </c>
      <c r="W61" s="122">
        <f>'Water Heaters Purchased'!W17*'Capital Cost'!$E7/1000000</f>
        <v>0</v>
      </c>
    </row>
    <row r="62" spans="1:23">
      <c r="A62" s="37" t="str">
        <f>'Water Heaters Purchased'!A18</f>
        <v>Instant Gas</v>
      </c>
      <c r="B62" s="122">
        <f>'Water Heaters Purchased'!B18*'Capital Cost'!$E8/1000000</f>
        <v>0</v>
      </c>
      <c r="C62" s="122">
        <f>'Water Heaters Purchased'!C18*'Capital Cost'!$E8/1000000</f>
        <v>0</v>
      </c>
      <c r="D62" s="122">
        <f>'Water Heaters Purchased'!D18*'Capital Cost'!$E8/1000000</f>
        <v>0</v>
      </c>
      <c r="E62" s="122">
        <f>'Water Heaters Purchased'!E18*'Capital Cost'!$E8/1000000</f>
        <v>0</v>
      </c>
      <c r="F62" s="122">
        <f>'Water Heaters Purchased'!F18*'Capital Cost'!$E8/1000000</f>
        <v>0</v>
      </c>
      <c r="G62" s="122">
        <f>'Water Heaters Purchased'!G18*'Capital Cost'!$E8/1000000</f>
        <v>0</v>
      </c>
      <c r="H62" s="122">
        <f>'Water Heaters Purchased'!H18*'Capital Cost'!$E8/1000000</f>
        <v>0</v>
      </c>
      <c r="I62" s="122">
        <f>'Water Heaters Purchased'!I18*'Capital Cost'!$E8/1000000</f>
        <v>0</v>
      </c>
      <c r="J62" s="122">
        <f>'Water Heaters Purchased'!J18*'Capital Cost'!$E8/1000000</f>
        <v>0</v>
      </c>
      <c r="K62" s="122">
        <f>'Water Heaters Purchased'!K18*'Capital Cost'!$E8/1000000</f>
        <v>0</v>
      </c>
      <c r="L62" s="122">
        <f>'Water Heaters Purchased'!L18*'Capital Cost'!$E8/1000000</f>
        <v>0</v>
      </c>
      <c r="M62" s="122">
        <f>'Water Heaters Purchased'!M18*'Capital Cost'!$E8/1000000</f>
        <v>0</v>
      </c>
      <c r="N62" s="122">
        <f>'Water Heaters Purchased'!N18*'Capital Cost'!$E8/1000000</f>
        <v>0</v>
      </c>
      <c r="O62" s="122">
        <f>'Water Heaters Purchased'!O18*'Capital Cost'!$E8/1000000</f>
        <v>0</v>
      </c>
      <c r="P62" s="122">
        <f>'Water Heaters Purchased'!P18*'Capital Cost'!$E8/1000000</f>
        <v>0</v>
      </c>
      <c r="Q62" s="122">
        <f>'Water Heaters Purchased'!Q18*'Capital Cost'!$E8/1000000</f>
        <v>0</v>
      </c>
      <c r="R62" s="122">
        <f>'Water Heaters Purchased'!R18*'Capital Cost'!$E8/1000000</f>
        <v>0</v>
      </c>
      <c r="S62" s="122">
        <f>'Water Heaters Purchased'!S18*'Capital Cost'!$E8/1000000</f>
        <v>0</v>
      </c>
      <c r="T62" s="122">
        <f>'Water Heaters Purchased'!T18*'Capital Cost'!$E8/1000000</f>
        <v>0</v>
      </c>
      <c r="U62" s="122">
        <f>'Water Heaters Purchased'!U18*'Capital Cost'!$E8/1000000</f>
        <v>0</v>
      </c>
      <c r="V62" s="122">
        <f>'Water Heaters Purchased'!V18*'Capital Cost'!$E8/1000000</f>
        <v>0</v>
      </c>
      <c r="W62" s="122">
        <f>'Water Heaters Purchased'!W18*'Capital Cost'!$E8/1000000</f>
        <v>0</v>
      </c>
    </row>
    <row r="63" spans="1:23">
      <c r="A63" s="37" t="str">
        <f>'Water Heaters Purchased'!A19</f>
        <v>Condensing Gas</v>
      </c>
      <c r="B63" s="122">
        <f>'Water Heaters Purchased'!B19*'Capital Cost'!$E9/1000000</f>
        <v>0</v>
      </c>
      <c r="C63" s="122">
        <f>'Water Heaters Purchased'!C19*'Capital Cost'!$E9/1000000</f>
        <v>0</v>
      </c>
      <c r="D63" s="122">
        <f>'Water Heaters Purchased'!D19*'Capital Cost'!$E9/1000000</f>
        <v>0</v>
      </c>
      <c r="E63" s="122">
        <f>'Water Heaters Purchased'!E19*'Capital Cost'!$E9/1000000</f>
        <v>0</v>
      </c>
      <c r="F63" s="122">
        <f>'Water Heaters Purchased'!F19*'Capital Cost'!$E9/1000000</f>
        <v>0</v>
      </c>
      <c r="G63" s="122">
        <f>'Water Heaters Purchased'!G19*'Capital Cost'!$E9/1000000</f>
        <v>0</v>
      </c>
      <c r="H63" s="122">
        <f>'Water Heaters Purchased'!H19*'Capital Cost'!$E9/1000000</f>
        <v>0</v>
      </c>
      <c r="I63" s="122">
        <f>'Water Heaters Purchased'!I19*'Capital Cost'!$E9/1000000</f>
        <v>0</v>
      </c>
      <c r="J63" s="122">
        <f>'Water Heaters Purchased'!J19*'Capital Cost'!$E9/1000000</f>
        <v>0</v>
      </c>
      <c r="K63" s="122">
        <f>'Water Heaters Purchased'!K19*'Capital Cost'!$E9/1000000</f>
        <v>0</v>
      </c>
      <c r="L63" s="122">
        <f>'Water Heaters Purchased'!L19*'Capital Cost'!$E9/1000000</f>
        <v>0</v>
      </c>
      <c r="M63" s="122">
        <f>'Water Heaters Purchased'!M19*'Capital Cost'!$E9/1000000</f>
        <v>0</v>
      </c>
      <c r="N63" s="122">
        <f>'Water Heaters Purchased'!N19*'Capital Cost'!$E9/1000000</f>
        <v>0</v>
      </c>
      <c r="O63" s="122">
        <f>'Water Heaters Purchased'!O19*'Capital Cost'!$E9/1000000</f>
        <v>0</v>
      </c>
      <c r="P63" s="122">
        <f>'Water Heaters Purchased'!P19*'Capital Cost'!$E9/1000000</f>
        <v>0</v>
      </c>
      <c r="Q63" s="122">
        <f>'Water Heaters Purchased'!Q19*'Capital Cost'!$E9/1000000</f>
        <v>0</v>
      </c>
      <c r="R63" s="122">
        <f>'Water Heaters Purchased'!R19*'Capital Cost'!$E9/1000000</f>
        <v>0</v>
      </c>
      <c r="S63" s="122">
        <f>'Water Heaters Purchased'!S19*'Capital Cost'!$E9/1000000</f>
        <v>0</v>
      </c>
      <c r="T63" s="122">
        <f>'Water Heaters Purchased'!T19*'Capital Cost'!$E9/1000000</f>
        <v>0</v>
      </c>
      <c r="U63" s="122">
        <f>'Water Heaters Purchased'!U19*'Capital Cost'!$E9/1000000</f>
        <v>0</v>
      </c>
      <c r="V63" s="122">
        <f>'Water Heaters Purchased'!V19*'Capital Cost'!$E9/1000000</f>
        <v>0</v>
      </c>
      <c r="W63" s="122">
        <f>'Water Heaters Purchased'!W19*'Capital Cost'!$E9/1000000</f>
        <v>0</v>
      </c>
    </row>
    <row r="64" spans="1:23">
      <c r="A64" s="12"/>
    </row>
    <row r="65" spans="1:23">
      <c r="A65" s="12" t="s">
        <v>116</v>
      </c>
    </row>
    <row r="66" spans="1:23">
      <c r="A66" s="23" t="str">
        <f>'Water Heater Stock'!A13</f>
        <v>Water Heat Ending</v>
      </c>
      <c r="B66" s="9">
        <f>'Water Heater Stock'!B13</f>
        <v>2014</v>
      </c>
      <c r="C66" s="9">
        <f>'Water Heater Stock'!C13</f>
        <v>2015</v>
      </c>
      <c r="D66" s="9">
        <f>'Water Heater Stock'!D13</f>
        <v>2016</v>
      </c>
      <c r="E66" s="9">
        <f>'Water Heater Stock'!E13</f>
        <v>2017</v>
      </c>
      <c r="F66" s="9">
        <f>'Water Heater Stock'!F13</f>
        <v>2018</v>
      </c>
      <c r="G66" s="9">
        <f>'Water Heater Stock'!G13</f>
        <v>2019</v>
      </c>
      <c r="H66" s="9">
        <f>'Water Heater Stock'!H13</f>
        <v>2020</v>
      </c>
      <c r="I66" s="9">
        <f>'Water Heater Stock'!I13</f>
        <v>2021</v>
      </c>
      <c r="J66" s="9">
        <f>'Water Heater Stock'!J13</f>
        <v>2022</v>
      </c>
      <c r="K66" s="9">
        <f>'Water Heater Stock'!K13</f>
        <v>2023</v>
      </c>
      <c r="L66" s="9">
        <f>'Water Heater Stock'!L13</f>
        <v>2024</v>
      </c>
      <c r="M66" s="9">
        <f>'Water Heater Stock'!M13</f>
        <v>2025</v>
      </c>
      <c r="N66" s="9">
        <f>'Water Heater Stock'!N13</f>
        <v>2026</v>
      </c>
      <c r="O66" s="9">
        <f>'Water Heater Stock'!O13</f>
        <v>2027</v>
      </c>
      <c r="P66" s="9">
        <f>'Water Heater Stock'!P13</f>
        <v>2028</v>
      </c>
      <c r="Q66" s="9">
        <f>'Water Heater Stock'!Q13</f>
        <v>2029</v>
      </c>
      <c r="R66" s="9">
        <f>'Water Heater Stock'!R13</f>
        <v>2030</v>
      </c>
      <c r="S66" s="9">
        <f>'Water Heater Stock'!S13</f>
        <v>2031</v>
      </c>
      <c r="T66" s="9">
        <f>'Water Heater Stock'!T13</f>
        <v>2032</v>
      </c>
      <c r="U66" s="9">
        <f>'Water Heater Stock'!U13</f>
        <v>2033</v>
      </c>
      <c r="V66" s="9">
        <f>'Water Heater Stock'!V13</f>
        <v>2034</v>
      </c>
      <c r="W66" s="9">
        <f>'Water Heater Stock'!W13</f>
        <v>2035</v>
      </c>
    </row>
    <row r="67" spans="1:23" ht="16.5" thickBot="1">
      <c r="A67" s="47" t="str">
        <f t="shared" ref="A67" si="22">A68</f>
        <v>Electric Resistance</v>
      </c>
      <c r="B67" s="128">
        <f t="shared" ref="B67" si="23">SUM(B68:B72)</f>
        <v>8.5430608817073182E-3</v>
      </c>
      <c r="C67" s="128">
        <f t="shared" ref="C67:W67" si="24">SUM(C68:C72)</f>
        <v>9.284262855603638E-3</v>
      </c>
      <c r="D67" s="128">
        <f t="shared" si="24"/>
        <v>9.9725218313645066E-3</v>
      </c>
      <c r="E67" s="128">
        <f t="shared" si="24"/>
        <v>1.0611619451713884E-2</v>
      </c>
      <c r="F67" s="128">
        <f t="shared" si="24"/>
        <v>1.1205067242038305E-2</v>
      </c>
      <c r="G67" s="128">
        <f t="shared" si="24"/>
        <v>1.175612590448241E-2</v>
      </c>
      <c r="H67" s="128">
        <f t="shared" si="24"/>
        <v>1.2267823233894795E-2</v>
      </c>
      <c r="I67" s="128">
        <f t="shared" si="24"/>
        <v>1.2742970754063436E-2</v>
      </c>
      <c r="J67" s="128">
        <f t="shared" si="24"/>
        <v>1.3184179165648605E-2</v>
      </c>
      <c r="K67" s="128">
        <f t="shared" si="24"/>
        <v>1.3593872690691976E-2</v>
      </c>
      <c r="L67" s="128">
        <f t="shared" si="24"/>
        <v>1.3974302392517964E-2</v>
      </c>
      <c r="M67" s="128">
        <f t="shared" si="24"/>
        <v>1.432755854421352E-2</v>
      </c>
      <c r="N67" s="128">
        <f t="shared" si="24"/>
        <v>1.4655582113645109E-2</v>
      </c>
      <c r="O67" s="128">
        <f t="shared" si="24"/>
        <v>1.4960175428117299E-2</v>
      </c>
      <c r="P67" s="128">
        <f t="shared" si="24"/>
        <v>1.5243012077270048E-2</v>
      </c>
      <c r="Q67" s="128">
        <f t="shared" si="24"/>
        <v>1.5505646108626172E-2</v>
      </c>
      <c r="R67" s="128">
        <f t="shared" si="24"/>
        <v>1.5749520566313999E-2</v>
      </c>
      <c r="S67" s="128">
        <f t="shared" si="24"/>
        <v>1.5975975419881272E-2</v>
      </c>
      <c r="T67" s="128">
        <f t="shared" si="24"/>
        <v>1.6186254926765165E-2</v>
      </c>
      <c r="U67" s="128">
        <f t="shared" si="24"/>
        <v>1.6381514468871639E-2</v>
      </c>
      <c r="V67" s="128">
        <f t="shared" si="24"/>
        <v>1.6562826900827648E-2</v>
      </c>
      <c r="W67" s="128">
        <f t="shared" si="24"/>
        <v>1.6731188444786799E-2</v>
      </c>
    </row>
    <row r="68" spans="1:23" ht="16.5" thickTop="1">
      <c r="A68" s="37" t="str">
        <f>'Water Heater Stock'!A15</f>
        <v>Electric Resistance</v>
      </c>
      <c r="B68" s="122">
        <f>'Water Heater Stock'!B15*'O&amp;M Cost'!$D5/1000000</f>
        <v>8.5430608817073182E-3</v>
      </c>
      <c r="C68" s="122">
        <f>'Water Heater Stock'!C15*'O&amp;M Cost'!$D5/1000000</f>
        <v>7.9328422472996537E-3</v>
      </c>
      <c r="D68" s="122">
        <f>'Water Heater Stock'!D15*'O&amp;M Cost'!$D5/1000000</f>
        <v>7.3662106582068213E-3</v>
      </c>
      <c r="E68" s="122">
        <f>'Water Heater Stock'!E15*'O&amp;M Cost'!$D5/1000000</f>
        <v>6.8400527540491913E-3</v>
      </c>
      <c r="F68" s="122">
        <f>'Water Heater Stock'!F15*'O&amp;M Cost'!$D5/1000000</f>
        <v>6.3514775573313914E-3</v>
      </c>
      <c r="G68" s="122">
        <f>'Water Heater Stock'!G15*'O&amp;M Cost'!$D5/1000000</f>
        <v>5.8978005889505783E-3</v>
      </c>
      <c r="H68" s="122">
        <f>'Water Heater Stock'!H15*'O&amp;M Cost'!$D5/1000000</f>
        <v>5.4765291183112514E-3</v>
      </c>
      <c r="I68" s="122">
        <f>'Water Heater Stock'!I15*'O&amp;M Cost'!$D5/1000000</f>
        <v>5.0853484670033049E-3</v>
      </c>
      <c r="J68" s="122">
        <f>'Water Heater Stock'!J15*'O&amp;M Cost'!$D5/1000000</f>
        <v>4.7221092907887823E-3</v>
      </c>
      <c r="K68" s="122">
        <f>'Water Heater Stock'!K15*'O&amp;M Cost'!$D5/1000000</f>
        <v>4.3848157700181554E-3</v>
      </c>
      <c r="L68" s="122">
        <f>'Water Heater Stock'!L15*'O&amp;M Cost'!$D5/1000000</f>
        <v>4.0716146435882871E-3</v>
      </c>
      <c r="M68" s="122">
        <f>'Water Heater Stock'!M15*'O&amp;M Cost'!$D5/1000000</f>
        <v>3.7807850261891234E-3</v>
      </c>
      <c r="N68" s="122">
        <f>'Water Heater Stock'!N15*'O&amp;M Cost'!$D5/1000000</f>
        <v>3.5107289528899001E-3</v>
      </c>
      <c r="O68" s="122">
        <f>'Water Heater Stock'!O15*'O&amp;M Cost'!$D5/1000000</f>
        <v>3.2599625991120503E-3</v>
      </c>
      <c r="P68" s="122">
        <f>'Water Heater Stock'!P15*'O&amp;M Cost'!$D5/1000000</f>
        <v>3.0271081277469035E-3</v>
      </c>
      <c r="Q68" s="122">
        <f>'Water Heater Stock'!Q15*'O&amp;M Cost'!$D5/1000000</f>
        <v>2.8108861186221246E-3</v>
      </c>
      <c r="R68" s="122">
        <f>'Water Heater Stock'!R15*'O&amp;M Cost'!$D5/1000000</f>
        <v>2.6101085387205437E-3</v>
      </c>
      <c r="S68" s="122">
        <f>'Water Heater Stock'!S15*'O&amp;M Cost'!$D5/1000000</f>
        <v>2.4236722145262197E-3</v>
      </c>
      <c r="T68" s="122">
        <f>'Water Heater Stock'!T15*'O&amp;M Cost'!$D5/1000000</f>
        <v>2.2505527706314899E-3</v>
      </c>
      <c r="U68" s="122">
        <f>'Water Heater Stock'!U15*'O&amp;M Cost'!$D5/1000000</f>
        <v>2.0897990013006686E-3</v>
      </c>
      <c r="V68" s="122">
        <f>'Water Heater Stock'!V15*'O&amp;M Cost'!$D5/1000000</f>
        <v>1.9405276440649067E-3</v>
      </c>
      <c r="W68" s="122">
        <f>'Water Heater Stock'!W15*'O&amp;M Cost'!$D5/1000000</f>
        <v>1.801918526631699E-3</v>
      </c>
    </row>
    <row r="69" spans="1:23">
      <c r="A69" s="37" t="str">
        <f>'Water Heater Stock'!A16</f>
        <v>HPWH</v>
      </c>
      <c r="B69" s="122">
        <f>'Water Heater Stock'!B16*'O&amp;M Cost'!$D6/1000000</f>
        <v>0</v>
      </c>
      <c r="C69" s="122">
        <f>'Water Heater Stock'!C16*'O&amp;M Cost'!$D6/1000000</f>
        <v>1.3514206083039845E-3</v>
      </c>
      <c r="D69" s="122">
        <f>'Water Heater Stock'!D16*'O&amp;M Cost'!$D6/1000000</f>
        <v>2.6063111731576844E-3</v>
      </c>
      <c r="E69" s="122">
        <f>'Water Heater Stock'!E16*'O&amp;M Cost'!$D6/1000000</f>
        <v>3.7715666976646921E-3</v>
      </c>
      <c r="F69" s="122">
        <f>'Water Heater Stock'!F16*'O&amp;M Cost'!$D6/1000000</f>
        <v>4.8535896847069129E-3</v>
      </c>
      <c r="G69" s="122">
        <f>'Water Heater Stock'!G16*'O&amp;M Cost'!$D6/1000000</f>
        <v>5.8583253155318317E-3</v>
      </c>
      <c r="H69" s="122">
        <f>'Water Heater Stock'!H16*'O&amp;M Cost'!$D6/1000000</f>
        <v>6.7912941155835434E-3</v>
      </c>
      <c r="I69" s="122">
        <f>'Water Heater Stock'!I16*'O&amp;M Cost'!$D6/1000000</f>
        <v>7.6576222870601311E-3</v>
      </c>
      <c r="J69" s="122">
        <f>'Water Heater Stock'!J16*'O&amp;M Cost'!$D6/1000000</f>
        <v>8.4620698748598226E-3</v>
      </c>
      <c r="K69" s="122">
        <f>'Water Heater Stock'!K16*'O&amp;M Cost'!$D6/1000000</f>
        <v>9.2090569206738204E-3</v>
      </c>
      <c r="L69" s="122">
        <f>'Water Heater Stock'!L16*'O&amp;M Cost'!$D6/1000000</f>
        <v>9.9026877489296755E-3</v>
      </c>
      <c r="M69" s="122">
        <f>'Water Heater Stock'!M16*'O&amp;M Cost'!$D6/1000000</f>
        <v>1.0546773518024397E-2</v>
      </c>
      <c r="N69" s="122">
        <f>'Water Heater Stock'!N16*'O&amp;M Cost'!$D6/1000000</f>
        <v>1.1144853160755209E-2</v>
      </c>
      <c r="O69" s="122">
        <f>'Water Heater Stock'!O16*'O&amp;M Cost'!$D6/1000000</f>
        <v>1.170021282900525E-2</v>
      </c>
      <c r="P69" s="122">
        <f>'Water Heater Stock'!P16*'O&amp;M Cost'!$D6/1000000</f>
        <v>1.2215903949523144E-2</v>
      </c>
      <c r="Q69" s="122">
        <f>'Water Heater Stock'!Q16*'O&amp;M Cost'!$D6/1000000</f>
        <v>1.2694759990004047E-2</v>
      </c>
      <c r="R69" s="122">
        <f>'Water Heater Stock'!R16*'O&amp;M Cost'!$D6/1000000</f>
        <v>1.3139412027593457E-2</v>
      </c>
      <c r="S69" s="122">
        <f>'Water Heater Stock'!S16*'O&amp;M Cost'!$D6/1000000</f>
        <v>1.3552303205355052E-2</v>
      </c>
      <c r="T69" s="122">
        <f>'Water Heater Stock'!T16*'O&amp;M Cost'!$D6/1000000</f>
        <v>1.3935702156133675E-2</v>
      </c>
      <c r="U69" s="122">
        <f>'Water Heater Stock'!U16*'O&amp;M Cost'!$D6/1000000</f>
        <v>1.429171546757097E-2</v>
      </c>
      <c r="V69" s="122">
        <f>'Water Heater Stock'!V16*'O&amp;M Cost'!$D6/1000000</f>
        <v>1.4622299256762741E-2</v>
      </c>
      <c r="W69" s="122">
        <f>'Water Heater Stock'!W16*'O&amp;M Cost'!$D6/1000000</f>
        <v>1.4929269918155101E-2</v>
      </c>
    </row>
    <row r="70" spans="1:23">
      <c r="A70" s="37" t="str">
        <f>'Water Heater Stock'!A17</f>
        <v>Gas Tank</v>
      </c>
      <c r="B70" s="122">
        <f>'Water Heater Stock'!B17*'O&amp;M Cost'!$D7/1000000</f>
        <v>0</v>
      </c>
      <c r="C70" s="122">
        <f>'Water Heater Stock'!C17*'O&amp;M Cost'!$D7/1000000</f>
        <v>0</v>
      </c>
      <c r="D70" s="122">
        <f>'Water Heater Stock'!D17*'O&amp;M Cost'!$D7/1000000</f>
        <v>0</v>
      </c>
      <c r="E70" s="122">
        <f>'Water Heater Stock'!E17*'O&amp;M Cost'!$D7/1000000</f>
        <v>0</v>
      </c>
      <c r="F70" s="122">
        <f>'Water Heater Stock'!F17*'O&amp;M Cost'!$D7/1000000</f>
        <v>0</v>
      </c>
      <c r="G70" s="122">
        <f>'Water Heater Stock'!G17*'O&amp;M Cost'!$D7/1000000</f>
        <v>0</v>
      </c>
      <c r="H70" s="122">
        <f>'Water Heater Stock'!H17*'O&amp;M Cost'!$D7/1000000</f>
        <v>0</v>
      </c>
      <c r="I70" s="122">
        <f>'Water Heater Stock'!I17*'O&amp;M Cost'!$D7/1000000</f>
        <v>0</v>
      </c>
      <c r="J70" s="122">
        <f>'Water Heater Stock'!J17*'O&amp;M Cost'!$D7/1000000</f>
        <v>0</v>
      </c>
      <c r="K70" s="122">
        <f>'Water Heater Stock'!K17*'O&amp;M Cost'!$D7/1000000</f>
        <v>0</v>
      </c>
      <c r="L70" s="122">
        <f>'Water Heater Stock'!L17*'O&amp;M Cost'!$D7/1000000</f>
        <v>0</v>
      </c>
      <c r="M70" s="122">
        <f>'Water Heater Stock'!M17*'O&amp;M Cost'!$D7/1000000</f>
        <v>0</v>
      </c>
      <c r="N70" s="122">
        <f>'Water Heater Stock'!N17*'O&amp;M Cost'!$D7/1000000</f>
        <v>0</v>
      </c>
      <c r="O70" s="122">
        <f>'Water Heater Stock'!O17*'O&amp;M Cost'!$D7/1000000</f>
        <v>0</v>
      </c>
      <c r="P70" s="122">
        <f>'Water Heater Stock'!P17*'O&amp;M Cost'!$D7/1000000</f>
        <v>0</v>
      </c>
      <c r="Q70" s="122">
        <f>'Water Heater Stock'!Q17*'O&amp;M Cost'!$D7/1000000</f>
        <v>0</v>
      </c>
      <c r="R70" s="122">
        <f>'Water Heater Stock'!R17*'O&amp;M Cost'!$D7/1000000</f>
        <v>0</v>
      </c>
      <c r="S70" s="122">
        <f>'Water Heater Stock'!S17*'O&amp;M Cost'!$D7/1000000</f>
        <v>0</v>
      </c>
      <c r="T70" s="122">
        <f>'Water Heater Stock'!T17*'O&amp;M Cost'!$D7/1000000</f>
        <v>0</v>
      </c>
      <c r="U70" s="122">
        <f>'Water Heater Stock'!U17*'O&amp;M Cost'!$D7/1000000</f>
        <v>0</v>
      </c>
      <c r="V70" s="122">
        <f>'Water Heater Stock'!V17*'O&amp;M Cost'!$D7/1000000</f>
        <v>0</v>
      </c>
      <c r="W70" s="122">
        <f>'Water Heater Stock'!W17*'O&amp;M Cost'!$D7/1000000</f>
        <v>0</v>
      </c>
    </row>
    <row r="71" spans="1:23">
      <c r="A71" s="37" t="str">
        <f>'Water Heater Stock'!A18</f>
        <v>Instant Gas</v>
      </c>
      <c r="B71" s="122">
        <f>'Water Heater Stock'!B18*'O&amp;M Cost'!$D8/1000000</f>
        <v>0</v>
      </c>
      <c r="C71" s="122">
        <f>'Water Heater Stock'!C18*'O&amp;M Cost'!$D8/1000000</f>
        <v>0</v>
      </c>
      <c r="D71" s="122">
        <f>'Water Heater Stock'!D18*'O&amp;M Cost'!$D8/1000000</f>
        <v>0</v>
      </c>
      <c r="E71" s="122">
        <f>'Water Heater Stock'!E18*'O&amp;M Cost'!$D8/1000000</f>
        <v>0</v>
      </c>
      <c r="F71" s="122">
        <f>'Water Heater Stock'!F18*'O&amp;M Cost'!$D8/1000000</f>
        <v>0</v>
      </c>
      <c r="G71" s="122">
        <f>'Water Heater Stock'!G18*'O&amp;M Cost'!$D8/1000000</f>
        <v>0</v>
      </c>
      <c r="H71" s="122">
        <f>'Water Heater Stock'!H18*'O&amp;M Cost'!$D8/1000000</f>
        <v>0</v>
      </c>
      <c r="I71" s="122">
        <f>'Water Heater Stock'!I18*'O&amp;M Cost'!$D8/1000000</f>
        <v>0</v>
      </c>
      <c r="J71" s="122">
        <f>'Water Heater Stock'!J18*'O&amp;M Cost'!$D8/1000000</f>
        <v>0</v>
      </c>
      <c r="K71" s="122">
        <f>'Water Heater Stock'!K18*'O&amp;M Cost'!$D8/1000000</f>
        <v>0</v>
      </c>
      <c r="L71" s="122">
        <f>'Water Heater Stock'!L18*'O&amp;M Cost'!$D8/1000000</f>
        <v>0</v>
      </c>
      <c r="M71" s="122">
        <f>'Water Heater Stock'!M18*'O&amp;M Cost'!$D8/1000000</f>
        <v>0</v>
      </c>
      <c r="N71" s="122">
        <f>'Water Heater Stock'!N18*'O&amp;M Cost'!$D8/1000000</f>
        <v>0</v>
      </c>
      <c r="O71" s="122">
        <f>'Water Heater Stock'!O18*'O&amp;M Cost'!$D8/1000000</f>
        <v>0</v>
      </c>
      <c r="P71" s="122">
        <f>'Water Heater Stock'!P18*'O&amp;M Cost'!$D8/1000000</f>
        <v>0</v>
      </c>
      <c r="Q71" s="122">
        <f>'Water Heater Stock'!Q18*'O&amp;M Cost'!$D8/1000000</f>
        <v>0</v>
      </c>
      <c r="R71" s="122">
        <f>'Water Heater Stock'!R18*'O&amp;M Cost'!$D8/1000000</f>
        <v>0</v>
      </c>
      <c r="S71" s="122">
        <f>'Water Heater Stock'!S18*'O&amp;M Cost'!$D8/1000000</f>
        <v>0</v>
      </c>
      <c r="T71" s="122">
        <f>'Water Heater Stock'!T18*'O&amp;M Cost'!$D8/1000000</f>
        <v>0</v>
      </c>
      <c r="U71" s="122">
        <f>'Water Heater Stock'!U18*'O&amp;M Cost'!$D8/1000000</f>
        <v>0</v>
      </c>
      <c r="V71" s="122">
        <f>'Water Heater Stock'!V18*'O&amp;M Cost'!$D8/1000000</f>
        <v>0</v>
      </c>
      <c r="W71" s="122">
        <f>'Water Heater Stock'!W18*'O&amp;M Cost'!$D8/1000000</f>
        <v>0</v>
      </c>
    </row>
    <row r="72" spans="1:23">
      <c r="A72" s="37" t="str">
        <f>'Water Heater Stock'!A19</f>
        <v>Condensing Gas</v>
      </c>
      <c r="B72" s="122">
        <f>'Water Heater Stock'!B19*'O&amp;M Cost'!$D9/1000000</f>
        <v>0</v>
      </c>
      <c r="C72" s="122">
        <f>'Water Heater Stock'!C19*'O&amp;M Cost'!$D9/1000000</f>
        <v>0</v>
      </c>
      <c r="D72" s="122">
        <f>'Water Heater Stock'!D19*'O&amp;M Cost'!$D9/1000000</f>
        <v>0</v>
      </c>
      <c r="E72" s="122">
        <f>'Water Heater Stock'!E19*'O&amp;M Cost'!$D9/1000000</f>
        <v>0</v>
      </c>
      <c r="F72" s="122">
        <f>'Water Heater Stock'!F19*'O&amp;M Cost'!$D9/1000000</f>
        <v>0</v>
      </c>
      <c r="G72" s="122">
        <f>'Water Heater Stock'!G19*'O&amp;M Cost'!$D9/1000000</f>
        <v>0</v>
      </c>
      <c r="H72" s="122">
        <f>'Water Heater Stock'!H19*'O&amp;M Cost'!$D9/1000000</f>
        <v>0</v>
      </c>
      <c r="I72" s="122">
        <f>'Water Heater Stock'!I19*'O&amp;M Cost'!$D9/1000000</f>
        <v>0</v>
      </c>
      <c r="J72" s="122">
        <f>'Water Heater Stock'!J19*'O&amp;M Cost'!$D9/1000000</f>
        <v>0</v>
      </c>
      <c r="K72" s="122">
        <f>'Water Heater Stock'!K19*'O&amp;M Cost'!$D9/1000000</f>
        <v>0</v>
      </c>
      <c r="L72" s="122">
        <f>'Water Heater Stock'!L19*'O&amp;M Cost'!$D9/1000000</f>
        <v>0</v>
      </c>
      <c r="M72" s="122">
        <f>'Water Heater Stock'!M19*'O&amp;M Cost'!$D9/1000000</f>
        <v>0</v>
      </c>
      <c r="N72" s="122">
        <f>'Water Heater Stock'!N19*'O&amp;M Cost'!$D9/1000000</f>
        <v>0</v>
      </c>
      <c r="O72" s="122">
        <f>'Water Heater Stock'!O19*'O&amp;M Cost'!$D9/1000000</f>
        <v>0</v>
      </c>
      <c r="P72" s="122">
        <f>'Water Heater Stock'!P19*'O&amp;M Cost'!$D9/1000000</f>
        <v>0</v>
      </c>
      <c r="Q72" s="122">
        <f>'Water Heater Stock'!Q19*'O&amp;M Cost'!$D9/1000000</f>
        <v>0</v>
      </c>
      <c r="R72" s="122">
        <f>'Water Heater Stock'!R19*'O&amp;M Cost'!$D9/1000000</f>
        <v>0</v>
      </c>
      <c r="S72" s="122">
        <f>'Water Heater Stock'!S19*'O&amp;M Cost'!$D9/1000000</f>
        <v>0</v>
      </c>
      <c r="T72" s="122">
        <f>'Water Heater Stock'!T19*'O&amp;M Cost'!$D9/1000000</f>
        <v>0</v>
      </c>
      <c r="U72" s="122">
        <f>'Water Heater Stock'!U19*'O&amp;M Cost'!$D9/1000000</f>
        <v>0</v>
      </c>
      <c r="V72" s="122">
        <f>'Water Heater Stock'!V19*'O&amp;M Cost'!$D9/1000000</f>
        <v>0</v>
      </c>
      <c r="W72" s="122">
        <f>'Water Heater Stock'!W19*'O&amp;M Cost'!$D9/1000000</f>
        <v>0</v>
      </c>
    </row>
    <row r="74" spans="1:23">
      <c r="A74" s="12" t="s">
        <v>117</v>
      </c>
    </row>
    <row r="75" spans="1:23">
      <c r="A75" s="14" t="str">
        <f>'Energy Usage'!A25</f>
        <v>Water Heat Ending</v>
      </c>
      <c r="B75" s="55">
        <f>'Energy Usage'!B25</f>
        <v>2014</v>
      </c>
      <c r="C75" s="55">
        <f>'Energy Usage'!C25</f>
        <v>2015</v>
      </c>
      <c r="D75" s="55">
        <f>'Energy Usage'!D25</f>
        <v>2016</v>
      </c>
      <c r="E75" s="55">
        <f>'Energy Usage'!E25</f>
        <v>2017</v>
      </c>
      <c r="F75" s="55">
        <f>'Energy Usage'!F25</f>
        <v>2018</v>
      </c>
      <c r="G75" s="55">
        <f>'Energy Usage'!G25</f>
        <v>2019</v>
      </c>
      <c r="H75" s="55">
        <f>'Energy Usage'!H25</f>
        <v>2020</v>
      </c>
      <c r="I75" s="55">
        <f>'Energy Usage'!I25</f>
        <v>2021</v>
      </c>
      <c r="J75" s="55">
        <f>'Energy Usage'!J25</f>
        <v>2022</v>
      </c>
      <c r="K75" s="55">
        <f>'Energy Usage'!K25</f>
        <v>2023</v>
      </c>
      <c r="L75" s="55">
        <f>'Energy Usage'!L25</f>
        <v>2024</v>
      </c>
      <c r="M75" s="55">
        <f>'Energy Usage'!M25</f>
        <v>2025</v>
      </c>
      <c r="N75" s="55">
        <f>'Energy Usage'!N25</f>
        <v>2026</v>
      </c>
      <c r="O75" s="55">
        <f>'Energy Usage'!O25</f>
        <v>2027</v>
      </c>
      <c r="P75" s="55">
        <f>'Energy Usage'!P25</f>
        <v>2028</v>
      </c>
      <c r="Q75" s="55">
        <f>'Energy Usage'!Q25</f>
        <v>2029</v>
      </c>
      <c r="R75" s="55">
        <f>'Energy Usage'!R25</f>
        <v>2030</v>
      </c>
      <c r="S75" s="55">
        <f>'Energy Usage'!S25</f>
        <v>2031</v>
      </c>
      <c r="T75" s="55">
        <f>'Energy Usage'!T25</f>
        <v>2032</v>
      </c>
      <c r="U75" s="55">
        <f>'Energy Usage'!U25</f>
        <v>2033</v>
      </c>
      <c r="V75" s="55">
        <f>'Energy Usage'!V25</f>
        <v>2034</v>
      </c>
      <c r="W75" s="55">
        <f>'Energy Usage'!W25</f>
        <v>2035</v>
      </c>
    </row>
    <row r="76" spans="1:23" ht="16.5" thickBot="1">
      <c r="A76" s="48" t="s">
        <v>44</v>
      </c>
      <c r="B76" s="128">
        <f t="shared" ref="B76:W76" si="25">SUM(B77:B81)</f>
        <v>0.66099943760619428</v>
      </c>
      <c r="C76" s="128">
        <f t="shared" si="25"/>
        <v>0.64784989292997663</v>
      </c>
      <c r="D76" s="128">
        <f t="shared" si="25"/>
        <v>0.63581997906942511</v>
      </c>
      <c r="E76" s="128">
        <f t="shared" si="25"/>
        <v>0.62484764638664658</v>
      </c>
      <c r="F76" s="128">
        <f t="shared" si="25"/>
        <v>0.61487458564279718</v>
      </c>
      <c r="G76" s="128">
        <f t="shared" si="25"/>
        <v>0.60584600672371025</v>
      </c>
      <c r="H76" s="128">
        <f t="shared" si="25"/>
        <v>0.5977104305094223</v>
      </c>
      <c r="I76" s="128">
        <f t="shared" si="25"/>
        <v>0.59041949310754216</v>
      </c>
      <c r="J76" s="128">
        <f t="shared" si="25"/>
        <v>0.58392776171670591</v>
      </c>
      <c r="K76" s="128">
        <f t="shared" si="25"/>
        <v>0.57819256142991915</v>
      </c>
      <c r="L76" s="128">
        <f t="shared" si="25"/>
        <v>0.57317381232855735</v>
      </c>
      <c r="M76" s="128">
        <f t="shared" si="25"/>
        <v>0.56883387625633208</v>
      </c>
      <c r="N76" s="128">
        <f t="shared" si="25"/>
        <v>0.56513741269878237</v>
      </c>
      <c r="O76" s="128">
        <f t="shared" si="25"/>
        <v>0.56205124322795053</v>
      </c>
      <c r="P76" s="128">
        <f t="shared" si="25"/>
        <v>0.55954422400397241</v>
      </c>
      <c r="Q76" s="128">
        <f t="shared" si="25"/>
        <v>0.55758712585549097</v>
      </c>
      <c r="R76" s="128">
        <f t="shared" si="25"/>
        <v>0.55615252148917249</v>
      </c>
      <c r="S76" s="128">
        <f t="shared" si="25"/>
        <v>0.55521467940530811</v>
      </c>
      <c r="T76" s="128">
        <f t="shared" si="25"/>
        <v>0.55474946412159198</v>
      </c>
      <c r="U76" s="128">
        <f t="shared" si="25"/>
        <v>0.55473424233078628</v>
      </c>
      <c r="V76" s="128">
        <f t="shared" si="25"/>
        <v>0.55514779464020469</v>
      </c>
      <c r="W76" s="128">
        <f t="shared" si="25"/>
        <v>0.55597023256184375</v>
      </c>
    </row>
    <row r="77" spans="1:23" ht="16.5" thickTop="1">
      <c r="A77" s="37" t="str">
        <f>'Energy Usage'!A27</f>
        <v>Electric Resistance</v>
      </c>
      <c r="B77" s="122">
        <f>(('Energy Usage'!B27*'Retail Rates'!B$5*'Device Energy Use'!$E5+'Energy Usage'!B27*'Retail Rates'!B$6*(1-'Device Energy Use'!$E5)))/1000000</f>
        <v>0.66099943760619428</v>
      </c>
      <c r="C77" s="122">
        <f>(('Energy Usage'!C27*'Retail Rates'!C$5*'Device Energy Use'!$E5+'Energy Usage'!C27*'Retail Rates'!C$6*(1-'Device Energy Use'!$E5)))/1000000</f>
        <v>0.62176439955971219</v>
      </c>
      <c r="D77" s="122">
        <f>(('Energy Usage'!D27*'Retail Rates'!D$5*'Device Energy Use'!$E5+'Energy Usage'!D27*'Retail Rates'!D$6*(1-'Device Energy Use'!$E5)))/1000000</f>
        <v>0.58485824127156061</v>
      </c>
      <c r="E77" s="122">
        <f>(('Energy Usage'!E27*'Retail Rates'!E$5*'Device Energy Use'!$E5+'Energy Usage'!E27*'Retail Rates'!E$6*(1-'Device Energy Use'!$E5)))/1000000</f>
        <v>0.55014272709322731</v>
      </c>
      <c r="F77" s="122">
        <f>(('Energy Usage'!F27*'Retail Rates'!F$5*'Device Energy Use'!$E5+'Energy Usage'!F27*'Retail Rates'!F$6*(1-'Device Energy Use'!$E5)))/1000000</f>
        <v>0.51748782664933635</v>
      </c>
      <c r="G77" s="122">
        <f>(('Energy Usage'!G27*'Retail Rates'!G$5*'Device Energy Use'!$E5+'Energy Usage'!G27*'Retail Rates'!G$6*(1-'Device Energy Use'!$E5)))/1000000</f>
        <v>0.48677122779607929</v>
      </c>
      <c r="H77" s="122">
        <f>(('Energy Usage'!H27*'Retail Rates'!H$5*'Device Energy Use'!$E5+'Energy Usage'!H27*'Retail Rates'!H$6*(1-'Device Energy Use'!$E5)))/1000000</f>
        <v>0.45787787848904055</v>
      </c>
      <c r="I77" s="122">
        <f>(('Energy Usage'!I27*'Retail Rates'!I$5*'Device Energy Use'!$E5+'Energy Usage'!I27*'Retail Rates'!I$6*(1-'Device Energy Use'!$E5)))/1000000</f>
        <v>0.43069955584444092</v>
      </c>
      <c r="J77" s="122">
        <f>(('Energy Usage'!J27*'Retail Rates'!J$5*'Device Energy Use'!$E5+'Energy Usage'!J27*'Retail Rates'!J$6*(1-'Device Energy Use'!$E5)))/1000000</f>
        <v>0.40513446077967447</v>
      </c>
      <c r="K77" s="122">
        <f>(('Energy Usage'!K27*'Retail Rates'!K$5*'Device Energy Use'!$E5+'Energy Usage'!K27*'Retail Rates'!K$6*(1-'Device Energy Use'!$E5)))/1000000</f>
        <v>0.38108683671482374</v>
      </c>
      <c r="L77" s="122">
        <f>(('Energy Usage'!L27*'Retail Rates'!L$5*'Device Energy Use'!$E5+'Energy Usage'!L27*'Retail Rates'!L$6*(1-'Device Energy Use'!$E5)))/1000000</f>
        <v>0.35846661090696519</v>
      </c>
      <c r="M77" s="122">
        <f>(('Energy Usage'!M27*'Retail Rates'!M$5*'Device Energy Use'!$E5+'Energy Usage'!M27*'Retail Rates'!M$6*(1-'Device Energy Use'!$E5)))/1000000</f>
        <v>0.33718905707384456</v>
      </c>
      <c r="N77" s="122">
        <f>(('Energy Usage'!N27*'Retail Rates'!N$5*'Device Energy Use'!$E5+'Energy Usage'!N27*'Retail Rates'!N$6*(1-'Device Energy Use'!$E5)))/1000000</f>
        <v>0.317174478043247</v>
      </c>
      <c r="O77" s="122">
        <f>(('Energy Usage'!O27*'Retail Rates'!O$5*'Device Energy Use'!$E5+'Energy Usage'!O27*'Retail Rates'!O$6*(1-'Device Energy Use'!$E5)))/1000000</f>
        <v>0.29834790723939419</v>
      </c>
      <c r="P77" s="122">
        <f>(('Energy Usage'!P27*'Retail Rates'!P$5*'Device Energy Use'!$E5+'Energy Usage'!P27*'Retail Rates'!P$6*(1-'Device Energy Use'!$E5)))/1000000</f>
        <v>0.28063882788825589</v>
      </c>
      <c r="Q77" s="122">
        <f>(('Energy Usage'!Q27*'Retail Rates'!Q$5*'Device Energy Use'!$E5+'Energy Usage'!Q27*'Retail Rates'!Q$6*(1-'Device Energy Use'!$E5)))/1000000</f>
        <v>0.26398090889003145</v>
      </c>
      <c r="R77" s="122">
        <f>(('Energy Usage'!R27*'Retail Rates'!R$5*'Device Energy Use'!$E5+'Energy Usage'!R27*'Retail Rates'!R$6*(1-'Device Energy Use'!$E5)))/1000000</f>
        <v>0.24831175636948741</v>
      </c>
      <c r="S77" s="122">
        <f>(('Energy Usage'!S27*'Retail Rates'!S$5*'Device Energy Use'!$E5+'Energy Usage'!S27*'Retail Rates'!S$6*(1-'Device Energy Use'!$E5)))/1000000</f>
        <v>0.23357267997355571</v>
      </c>
      <c r="T77" s="122">
        <f>(('Energy Usage'!T27*'Retail Rates'!T$5*'Device Energy Use'!$E5+'Energy Usage'!T27*'Retail Rates'!T$6*(1-'Device Energy Use'!$E5)))/1000000</f>
        <v>0.21970847304083962</v>
      </c>
      <c r="U77" s="122">
        <f>(('Energy Usage'!U27*'Retail Rates'!U$5*'Device Energy Use'!$E5+'Energy Usage'!U27*'Retail Rates'!U$6*(1-'Device Energy Use'!$E5)))/1000000</f>
        <v>0.20666720581962975</v>
      </c>
      <c r="V77" s="122">
        <f>(('Energy Usage'!V27*'Retail Rates'!V$5*'Device Energy Use'!$E5+'Energy Usage'!V27*'Retail Rates'!V$6*(1-'Device Energy Use'!$E5)))/1000000</f>
        <v>0.19440003095990741</v>
      </c>
      <c r="W77" s="122">
        <f>(('Energy Usage'!W27*'Retail Rates'!W$5*'Device Energy Use'!$E5+'Energy Usage'!W27*'Retail Rates'!W$6*(1-'Device Energy Use'!$E5)))/1000000</f>
        <v>0.18286100055078716</v>
      </c>
    </row>
    <row r="78" spans="1:23">
      <c r="A78" s="37" t="str">
        <f>'Energy Usage'!A28</f>
        <v>HPWH</v>
      </c>
      <c r="B78" s="122">
        <f>(('Energy Usage'!B28*'Retail Rates'!B$5*'Device Energy Use'!$E6+'Energy Usage'!B28*'Retail Rates'!B$6*(1-'Device Energy Use'!$E6)))/1000000</f>
        <v>0</v>
      </c>
      <c r="C78" s="122">
        <f>(('Energy Usage'!C28*'Retail Rates'!C$5*'Device Energy Use'!$E6+'Energy Usage'!C28*'Retail Rates'!C$6*(1-'Device Energy Use'!$E6)))/1000000</f>
        <v>2.6085493370264445E-2</v>
      </c>
      <c r="D78" s="122">
        <f>(('Energy Usage'!D28*'Retail Rates'!D$5*'Device Energy Use'!$E6+'Energy Usage'!D28*'Retail Rates'!D$6*(1-'Device Energy Use'!$E6)))/1000000</f>
        <v>5.0961737797864483E-2</v>
      </c>
      <c r="E78" s="122">
        <f>(('Energy Usage'!E28*'Retail Rates'!E$5*'Device Energy Use'!$E6+'Energy Usage'!E28*'Retail Rates'!E$6*(1-'Device Energy Use'!$E6)))/1000000</f>
        <v>7.470491929341927E-2</v>
      </c>
      <c r="F78" s="122">
        <f>(('Energy Usage'!F28*'Retail Rates'!F$5*'Device Energy Use'!$E6+'Energy Usage'!F28*'Retail Rates'!F$6*(1-'Device Energy Use'!$E6)))/1000000</f>
        <v>9.7386758993460859E-2</v>
      </c>
      <c r="G78" s="122">
        <f>(('Energy Usage'!G28*'Retail Rates'!G$5*'Device Energy Use'!$E6+'Energy Usage'!G28*'Retail Rates'!G$6*(1-'Device Energy Use'!$E6)))/1000000</f>
        <v>0.11907477892763096</v>
      </c>
      <c r="H78" s="122">
        <f>(('Energy Usage'!H28*'Retail Rates'!H$5*'Device Energy Use'!$E6+'Energy Usage'!H28*'Retail Rates'!H$6*(1-'Device Energy Use'!$E6)))/1000000</f>
        <v>0.13983255202038181</v>
      </c>
      <c r="I78" s="122">
        <f>(('Energy Usage'!I28*'Retail Rates'!I$5*'Device Energy Use'!$E6+'Energy Usage'!I28*'Retail Rates'!I$6*(1-'Device Energy Use'!$E6)))/1000000</f>
        <v>0.15971993726310121</v>
      </c>
      <c r="J78" s="122">
        <f>(('Energy Usage'!J28*'Retail Rates'!J$5*'Device Energy Use'!$E6+'Energy Usage'!J28*'Retail Rates'!J$6*(1-'Device Energy Use'!$E6)))/1000000</f>
        <v>0.17879330093703144</v>
      </c>
      <c r="K78" s="122">
        <f>(('Energy Usage'!K28*'Retail Rates'!K$5*'Device Energy Use'!$E6+'Energy Usage'!K28*'Retail Rates'!K$6*(1-'Device Energy Use'!$E6)))/1000000</f>
        <v>0.19710572471509538</v>
      </c>
      <c r="L78" s="122">
        <f>(('Energy Usage'!L28*'Retail Rates'!L$5*'Device Energy Use'!$E6+'Energy Usage'!L28*'Retail Rates'!L$6*(1-'Device Energy Use'!$E6)))/1000000</f>
        <v>0.21470720142159214</v>
      </c>
      <c r="M78" s="122">
        <f>(('Energy Usage'!M28*'Retail Rates'!M$5*'Device Energy Use'!$E6+'Energy Usage'!M28*'Retail Rates'!M$6*(1-'Device Energy Use'!$E6)))/1000000</f>
        <v>0.2316448191824875</v>
      </c>
      <c r="N78" s="122">
        <f>(('Energy Usage'!N28*'Retail Rates'!N$5*'Device Energy Use'!$E6+'Energy Usage'!N28*'Retail Rates'!N$6*(1-'Device Energy Use'!$E6)))/1000000</f>
        <v>0.2479629346555354</v>
      </c>
      <c r="O78" s="122">
        <f>(('Energy Usage'!O28*'Retail Rates'!O$5*'Device Energy Use'!$E6+'Energy Usage'!O28*'Retail Rates'!O$6*(1-'Device Energy Use'!$E6)))/1000000</f>
        <v>0.26370333598855628</v>
      </c>
      <c r="P78" s="122">
        <f>(('Energy Usage'!P28*'Retail Rates'!P$5*'Device Energy Use'!$E6+'Energy Usage'!P28*'Retail Rates'!P$6*(1-'Device Energy Use'!$E6)))/1000000</f>
        <v>0.27890539611571652</v>
      </c>
      <c r="Q78" s="122">
        <f>(('Energy Usage'!Q28*'Retail Rates'!Q$5*'Device Energy Use'!$E6+'Energy Usage'!Q28*'Retail Rates'!Q$6*(1-'Device Energy Use'!$E6)))/1000000</f>
        <v>0.29360621696545958</v>
      </c>
      <c r="R78" s="122">
        <f>(('Energy Usage'!R28*'Retail Rates'!R$5*'Device Energy Use'!$E6+'Energy Usage'!R28*'Retail Rates'!R$6*(1-'Device Energy Use'!$E6)))/1000000</f>
        <v>0.30784076511968506</v>
      </c>
      <c r="S78" s="122">
        <f>(('Energy Usage'!S28*'Retail Rates'!S$5*'Device Energy Use'!$E6+'Energy Usage'!S28*'Retail Rates'!S$6*(1-'Device Energy Use'!$E6)))/1000000</f>
        <v>0.32164199943175242</v>
      </c>
      <c r="T78" s="122">
        <f>(('Energy Usage'!T28*'Retail Rates'!T$5*'Device Energy Use'!$E6+'Energy Usage'!T28*'Retail Rates'!T$6*(1-'Device Energy Use'!$E6)))/1000000</f>
        <v>0.3350409910807523</v>
      </c>
      <c r="U78" s="122">
        <f>(('Energy Usage'!U28*'Retail Rates'!U$5*'Device Energy Use'!$E6+'Energy Usage'!U28*'Retail Rates'!U$6*(1-'Device Energy Use'!$E6)))/1000000</f>
        <v>0.3480670365111565</v>
      </c>
      <c r="V78" s="122">
        <f>(('Energy Usage'!V28*'Retail Rates'!V$5*'Device Energy Use'!$E6+'Energy Usage'!V28*'Retail Rates'!V$6*(1-'Device Energy Use'!$E6)))/1000000</f>
        <v>0.36074776368029726</v>
      </c>
      <c r="W78" s="122">
        <f>(('Energy Usage'!W28*'Retail Rates'!W$5*'Device Energy Use'!$E6+'Energy Usage'!W28*'Retail Rates'!W$6*(1-'Device Energy Use'!$E6)))/1000000</f>
        <v>0.37310923201105656</v>
      </c>
    </row>
    <row r="79" spans="1:23">
      <c r="A79" s="37" t="str">
        <f>'Energy Usage'!A29</f>
        <v>Gas Tank</v>
      </c>
      <c r="B79" s="122">
        <f>(('Energy Usage'!B29*'Retail Rates'!B$5*'Device Energy Use'!$E7+'Energy Usage'!B29*'Retail Rates'!B$6*(1-'Device Energy Use'!$E7)))/1000000</f>
        <v>0</v>
      </c>
      <c r="C79" s="122">
        <f>(('Energy Usage'!C29*'Retail Rates'!C$5*'Device Energy Use'!$E7+'Energy Usage'!C29*'Retail Rates'!C$6*(1-'Device Energy Use'!$E7)))/1000000</f>
        <v>0</v>
      </c>
      <c r="D79" s="122">
        <f>(('Energy Usage'!D29*'Retail Rates'!D$5*'Device Energy Use'!$E7+'Energy Usage'!D29*'Retail Rates'!D$6*(1-'Device Energy Use'!$E7)))/1000000</f>
        <v>0</v>
      </c>
      <c r="E79" s="122">
        <f>(('Energy Usage'!E29*'Retail Rates'!E$5*'Device Energy Use'!$E7+'Energy Usage'!E29*'Retail Rates'!E$6*(1-'Device Energy Use'!$E7)))/1000000</f>
        <v>0</v>
      </c>
      <c r="F79" s="122">
        <f>(('Energy Usage'!F29*'Retail Rates'!F$5*'Device Energy Use'!$E7+'Energy Usage'!F29*'Retail Rates'!F$6*(1-'Device Energy Use'!$E7)))/1000000</f>
        <v>0</v>
      </c>
      <c r="G79" s="122">
        <f>(('Energy Usage'!G29*'Retail Rates'!G$5*'Device Energy Use'!$E7+'Energy Usage'!G29*'Retail Rates'!G$6*(1-'Device Energy Use'!$E7)))/1000000</f>
        <v>0</v>
      </c>
      <c r="H79" s="122">
        <f>(('Energy Usage'!H29*'Retail Rates'!H$5*'Device Energy Use'!$E7+'Energy Usage'!H29*'Retail Rates'!H$6*(1-'Device Energy Use'!$E7)))/1000000</f>
        <v>0</v>
      </c>
      <c r="I79" s="122">
        <f>(('Energy Usage'!I29*'Retail Rates'!I$5*'Device Energy Use'!$E7+'Energy Usage'!I29*'Retail Rates'!I$6*(1-'Device Energy Use'!$E7)))/1000000</f>
        <v>0</v>
      </c>
      <c r="J79" s="122">
        <f>(('Energy Usage'!J29*'Retail Rates'!J$5*'Device Energy Use'!$E7+'Energy Usage'!J29*'Retail Rates'!J$6*(1-'Device Energy Use'!$E7)))/1000000</f>
        <v>0</v>
      </c>
      <c r="K79" s="122">
        <f>(('Energy Usage'!K29*'Retail Rates'!K$5*'Device Energy Use'!$E7+'Energy Usage'!K29*'Retail Rates'!K$6*(1-'Device Energy Use'!$E7)))/1000000</f>
        <v>0</v>
      </c>
      <c r="L79" s="122">
        <f>(('Energy Usage'!L29*'Retail Rates'!L$5*'Device Energy Use'!$E7+'Energy Usage'!L29*'Retail Rates'!L$6*(1-'Device Energy Use'!$E7)))/1000000</f>
        <v>0</v>
      </c>
      <c r="M79" s="122">
        <f>(('Energy Usage'!M29*'Retail Rates'!M$5*'Device Energy Use'!$E7+'Energy Usage'!M29*'Retail Rates'!M$6*(1-'Device Energy Use'!$E7)))/1000000</f>
        <v>0</v>
      </c>
      <c r="N79" s="122">
        <f>(('Energy Usage'!N29*'Retail Rates'!N$5*'Device Energy Use'!$E7+'Energy Usage'!N29*'Retail Rates'!N$6*(1-'Device Energy Use'!$E7)))/1000000</f>
        <v>0</v>
      </c>
      <c r="O79" s="122">
        <f>(('Energy Usage'!O29*'Retail Rates'!O$5*'Device Energy Use'!$E7+'Energy Usage'!O29*'Retail Rates'!O$6*(1-'Device Energy Use'!$E7)))/1000000</f>
        <v>0</v>
      </c>
      <c r="P79" s="122">
        <f>(('Energy Usage'!P29*'Retail Rates'!P$5*'Device Energy Use'!$E7+'Energy Usage'!P29*'Retail Rates'!P$6*(1-'Device Energy Use'!$E7)))/1000000</f>
        <v>0</v>
      </c>
      <c r="Q79" s="122">
        <f>(('Energy Usage'!Q29*'Retail Rates'!Q$5*'Device Energy Use'!$E7+'Energy Usage'!Q29*'Retail Rates'!Q$6*(1-'Device Energy Use'!$E7)))/1000000</f>
        <v>0</v>
      </c>
      <c r="R79" s="122">
        <f>(('Energy Usage'!R29*'Retail Rates'!R$5*'Device Energy Use'!$E7+'Energy Usage'!R29*'Retail Rates'!R$6*(1-'Device Energy Use'!$E7)))/1000000</f>
        <v>0</v>
      </c>
      <c r="S79" s="122">
        <f>(('Energy Usage'!S29*'Retail Rates'!S$5*'Device Energy Use'!$E7+'Energy Usage'!S29*'Retail Rates'!S$6*(1-'Device Energy Use'!$E7)))/1000000</f>
        <v>0</v>
      </c>
      <c r="T79" s="122">
        <f>(('Energy Usage'!T29*'Retail Rates'!T$5*'Device Energy Use'!$E7+'Energy Usage'!T29*'Retail Rates'!T$6*(1-'Device Energy Use'!$E7)))/1000000</f>
        <v>0</v>
      </c>
      <c r="U79" s="122">
        <f>(('Energy Usage'!U29*'Retail Rates'!U$5*'Device Energy Use'!$E7+'Energy Usage'!U29*'Retail Rates'!U$6*(1-'Device Energy Use'!$E7)))/1000000</f>
        <v>0</v>
      </c>
      <c r="V79" s="122">
        <f>(('Energy Usage'!V29*'Retail Rates'!V$5*'Device Energy Use'!$E7+'Energy Usage'!V29*'Retail Rates'!V$6*(1-'Device Energy Use'!$E7)))/1000000</f>
        <v>0</v>
      </c>
      <c r="W79" s="122">
        <f>(('Energy Usage'!W29*'Retail Rates'!W$5*'Device Energy Use'!$E7+'Energy Usage'!W29*'Retail Rates'!W$6*(1-'Device Energy Use'!$E7)))/1000000</f>
        <v>0</v>
      </c>
    </row>
    <row r="80" spans="1:23">
      <c r="A80" s="37" t="str">
        <f>'Energy Usage'!A30</f>
        <v>Instant Gas</v>
      </c>
      <c r="B80" s="122">
        <f>(('Energy Usage'!B30*'Retail Rates'!B$5*'Device Energy Use'!$E8+'Energy Usage'!B30*'Retail Rates'!B$6*(1-'Device Energy Use'!$E8)))/1000000</f>
        <v>0</v>
      </c>
      <c r="C80" s="122">
        <f>(('Energy Usage'!C30*'Retail Rates'!C$5*'Device Energy Use'!$E8+'Energy Usage'!C30*'Retail Rates'!C$6*(1-'Device Energy Use'!$E8)))/1000000</f>
        <v>0</v>
      </c>
      <c r="D80" s="122">
        <f>(('Energy Usage'!D30*'Retail Rates'!D$5*'Device Energy Use'!$E8+'Energy Usage'!D30*'Retail Rates'!D$6*(1-'Device Energy Use'!$E8)))/1000000</f>
        <v>0</v>
      </c>
      <c r="E80" s="122">
        <f>(('Energy Usage'!E30*'Retail Rates'!E$5*'Device Energy Use'!$E8+'Energy Usage'!E30*'Retail Rates'!E$6*(1-'Device Energy Use'!$E8)))/1000000</f>
        <v>0</v>
      </c>
      <c r="F80" s="122">
        <f>(('Energy Usage'!F30*'Retail Rates'!F$5*'Device Energy Use'!$E8+'Energy Usage'!F30*'Retail Rates'!F$6*(1-'Device Energy Use'!$E8)))/1000000</f>
        <v>0</v>
      </c>
      <c r="G80" s="122">
        <f>(('Energy Usage'!G30*'Retail Rates'!G$5*'Device Energy Use'!$E8+'Energy Usage'!G30*'Retail Rates'!G$6*(1-'Device Energy Use'!$E8)))/1000000</f>
        <v>0</v>
      </c>
      <c r="H80" s="122">
        <f>(('Energy Usage'!H30*'Retail Rates'!H$5*'Device Energy Use'!$E8+'Energy Usage'!H30*'Retail Rates'!H$6*(1-'Device Energy Use'!$E8)))/1000000</f>
        <v>0</v>
      </c>
      <c r="I80" s="122">
        <f>(('Energy Usage'!I30*'Retail Rates'!I$5*'Device Energy Use'!$E8+'Energy Usage'!I30*'Retail Rates'!I$6*(1-'Device Energy Use'!$E8)))/1000000</f>
        <v>0</v>
      </c>
      <c r="J80" s="122">
        <f>(('Energy Usage'!J30*'Retail Rates'!J$5*'Device Energy Use'!$E8+'Energy Usage'!J30*'Retail Rates'!J$6*(1-'Device Energy Use'!$E8)))/1000000</f>
        <v>0</v>
      </c>
      <c r="K80" s="122">
        <f>(('Energy Usage'!K30*'Retail Rates'!K$5*'Device Energy Use'!$E8+'Energy Usage'!K30*'Retail Rates'!K$6*(1-'Device Energy Use'!$E8)))/1000000</f>
        <v>0</v>
      </c>
      <c r="L80" s="122">
        <f>(('Energy Usage'!L30*'Retail Rates'!L$5*'Device Energy Use'!$E8+'Energy Usage'!L30*'Retail Rates'!L$6*(1-'Device Energy Use'!$E8)))/1000000</f>
        <v>0</v>
      </c>
      <c r="M80" s="122">
        <f>(('Energy Usage'!M30*'Retail Rates'!M$5*'Device Energy Use'!$E8+'Energy Usage'!M30*'Retail Rates'!M$6*(1-'Device Energy Use'!$E8)))/1000000</f>
        <v>0</v>
      </c>
      <c r="N80" s="122">
        <f>(('Energy Usage'!N30*'Retail Rates'!N$5*'Device Energy Use'!$E8+'Energy Usage'!N30*'Retail Rates'!N$6*(1-'Device Energy Use'!$E8)))/1000000</f>
        <v>0</v>
      </c>
      <c r="O80" s="122">
        <f>(('Energy Usage'!O30*'Retail Rates'!O$5*'Device Energy Use'!$E8+'Energy Usage'!O30*'Retail Rates'!O$6*(1-'Device Energy Use'!$E8)))/1000000</f>
        <v>0</v>
      </c>
      <c r="P80" s="122">
        <f>(('Energy Usage'!P30*'Retail Rates'!P$5*'Device Energy Use'!$E8+'Energy Usage'!P30*'Retail Rates'!P$6*(1-'Device Energy Use'!$E8)))/1000000</f>
        <v>0</v>
      </c>
      <c r="Q80" s="122">
        <f>(('Energy Usage'!Q30*'Retail Rates'!Q$5*'Device Energy Use'!$E8+'Energy Usage'!Q30*'Retail Rates'!Q$6*(1-'Device Energy Use'!$E8)))/1000000</f>
        <v>0</v>
      </c>
      <c r="R80" s="122">
        <f>(('Energy Usage'!R30*'Retail Rates'!R$5*'Device Energy Use'!$E8+'Energy Usage'!R30*'Retail Rates'!R$6*(1-'Device Energy Use'!$E8)))/1000000</f>
        <v>0</v>
      </c>
      <c r="S80" s="122">
        <f>(('Energy Usage'!S30*'Retail Rates'!S$5*'Device Energy Use'!$E8+'Energy Usage'!S30*'Retail Rates'!S$6*(1-'Device Energy Use'!$E8)))/1000000</f>
        <v>0</v>
      </c>
      <c r="T80" s="122">
        <f>(('Energy Usage'!T30*'Retail Rates'!T$5*'Device Energy Use'!$E8+'Energy Usage'!T30*'Retail Rates'!T$6*(1-'Device Energy Use'!$E8)))/1000000</f>
        <v>0</v>
      </c>
      <c r="U80" s="122">
        <f>(('Energy Usage'!U30*'Retail Rates'!U$5*'Device Energy Use'!$E8+'Energy Usage'!U30*'Retail Rates'!U$6*(1-'Device Energy Use'!$E8)))/1000000</f>
        <v>0</v>
      </c>
      <c r="V80" s="122">
        <f>(('Energy Usage'!V30*'Retail Rates'!V$5*'Device Energy Use'!$E8+'Energy Usage'!V30*'Retail Rates'!V$6*(1-'Device Energy Use'!$E8)))/1000000</f>
        <v>0</v>
      </c>
      <c r="W80" s="122">
        <f>(('Energy Usage'!W30*'Retail Rates'!W$5*'Device Energy Use'!$E8+'Energy Usage'!W30*'Retail Rates'!W$6*(1-'Device Energy Use'!$E8)))/1000000</f>
        <v>0</v>
      </c>
    </row>
    <row r="81" spans="1:23">
      <c r="A81" s="37" t="str">
        <f>'Energy Usage'!A31</f>
        <v>Condensing Gas</v>
      </c>
      <c r="B81" s="122">
        <f>(('Energy Usage'!B31*'Retail Rates'!B$5*'Device Energy Use'!$E9+'Energy Usage'!B31*'Retail Rates'!B$6*(1-'Device Energy Use'!$E9)))/1000000</f>
        <v>0</v>
      </c>
      <c r="C81" s="122">
        <f>(('Energy Usage'!C31*'Retail Rates'!C$5*'Device Energy Use'!$E9+'Energy Usage'!C31*'Retail Rates'!C$6*(1-'Device Energy Use'!$E9)))/1000000</f>
        <v>0</v>
      </c>
      <c r="D81" s="122">
        <f>(('Energy Usage'!D31*'Retail Rates'!D$5*'Device Energy Use'!$E9+'Energy Usage'!D31*'Retail Rates'!D$6*(1-'Device Energy Use'!$E9)))/1000000</f>
        <v>0</v>
      </c>
      <c r="E81" s="122">
        <f>(('Energy Usage'!E31*'Retail Rates'!E$5*'Device Energy Use'!$E9+'Energy Usage'!E31*'Retail Rates'!E$6*(1-'Device Energy Use'!$E9)))/1000000</f>
        <v>0</v>
      </c>
      <c r="F81" s="122">
        <f>(('Energy Usage'!F31*'Retail Rates'!F$5*'Device Energy Use'!$E9+'Energy Usage'!F31*'Retail Rates'!F$6*(1-'Device Energy Use'!$E9)))/1000000</f>
        <v>0</v>
      </c>
      <c r="G81" s="122">
        <f>(('Energy Usage'!G31*'Retail Rates'!G$5*'Device Energy Use'!$E9+'Energy Usage'!G31*'Retail Rates'!G$6*(1-'Device Energy Use'!$E9)))/1000000</f>
        <v>0</v>
      </c>
      <c r="H81" s="122">
        <f>(('Energy Usage'!H31*'Retail Rates'!H$5*'Device Energy Use'!$E9+'Energy Usage'!H31*'Retail Rates'!H$6*(1-'Device Energy Use'!$E9)))/1000000</f>
        <v>0</v>
      </c>
      <c r="I81" s="122">
        <f>(('Energy Usage'!I31*'Retail Rates'!I$5*'Device Energy Use'!$E9+'Energy Usage'!I31*'Retail Rates'!I$6*(1-'Device Energy Use'!$E9)))/1000000</f>
        <v>0</v>
      </c>
      <c r="J81" s="122">
        <f>(('Energy Usage'!J31*'Retail Rates'!J$5*'Device Energy Use'!$E9+'Energy Usage'!J31*'Retail Rates'!J$6*(1-'Device Energy Use'!$E9)))/1000000</f>
        <v>0</v>
      </c>
      <c r="K81" s="122">
        <f>(('Energy Usage'!K31*'Retail Rates'!K$5*'Device Energy Use'!$E9+'Energy Usage'!K31*'Retail Rates'!K$6*(1-'Device Energy Use'!$E9)))/1000000</f>
        <v>0</v>
      </c>
      <c r="L81" s="122">
        <f>(('Energy Usage'!L31*'Retail Rates'!L$5*'Device Energy Use'!$E9+'Energy Usage'!L31*'Retail Rates'!L$6*(1-'Device Energy Use'!$E9)))/1000000</f>
        <v>0</v>
      </c>
      <c r="M81" s="122">
        <f>(('Energy Usage'!M31*'Retail Rates'!M$5*'Device Energy Use'!$E9+'Energy Usage'!M31*'Retail Rates'!M$6*(1-'Device Energy Use'!$E9)))/1000000</f>
        <v>0</v>
      </c>
      <c r="N81" s="122">
        <f>(('Energy Usage'!N31*'Retail Rates'!N$5*'Device Energy Use'!$E9+'Energy Usage'!N31*'Retail Rates'!N$6*(1-'Device Energy Use'!$E9)))/1000000</f>
        <v>0</v>
      </c>
      <c r="O81" s="122">
        <f>(('Energy Usage'!O31*'Retail Rates'!O$5*'Device Energy Use'!$E9+'Energy Usage'!O31*'Retail Rates'!O$6*(1-'Device Energy Use'!$E9)))/1000000</f>
        <v>0</v>
      </c>
      <c r="P81" s="122">
        <f>(('Energy Usage'!P31*'Retail Rates'!P$5*'Device Energy Use'!$E9+'Energy Usage'!P31*'Retail Rates'!P$6*(1-'Device Energy Use'!$E9)))/1000000</f>
        <v>0</v>
      </c>
      <c r="Q81" s="122">
        <f>(('Energy Usage'!Q31*'Retail Rates'!Q$5*'Device Energy Use'!$E9+'Energy Usage'!Q31*'Retail Rates'!Q$6*(1-'Device Energy Use'!$E9)))/1000000</f>
        <v>0</v>
      </c>
      <c r="R81" s="122">
        <f>(('Energy Usage'!R31*'Retail Rates'!R$5*'Device Energy Use'!$E9+'Energy Usage'!R31*'Retail Rates'!R$6*(1-'Device Energy Use'!$E9)))/1000000</f>
        <v>0</v>
      </c>
      <c r="S81" s="122">
        <f>(('Energy Usage'!S31*'Retail Rates'!S$5*'Device Energy Use'!$E9+'Energy Usage'!S31*'Retail Rates'!S$6*(1-'Device Energy Use'!$E9)))/1000000</f>
        <v>0</v>
      </c>
      <c r="T81" s="122">
        <f>(('Energy Usage'!T31*'Retail Rates'!T$5*'Device Energy Use'!$E9+'Energy Usage'!T31*'Retail Rates'!T$6*(1-'Device Energy Use'!$E9)))/1000000</f>
        <v>0</v>
      </c>
      <c r="U81" s="122">
        <f>(('Energy Usage'!U31*'Retail Rates'!U$5*'Device Energy Use'!$E9+'Energy Usage'!U31*'Retail Rates'!U$6*(1-'Device Energy Use'!$E9)))/1000000</f>
        <v>0</v>
      </c>
      <c r="V81" s="122">
        <f>(('Energy Usage'!V31*'Retail Rates'!V$5*'Device Energy Use'!$E9+'Energy Usage'!V31*'Retail Rates'!V$6*(1-'Device Energy Use'!$E9)))/1000000</f>
        <v>0</v>
      </c>
      <c r="W81" s="122">
        <f>(('Energy Usage'!W31*'Retail Rates'!W$5*'Device Energy Use'!$E9+'Energy Usage'!W31*'Retail Rates'!W$6*(1-'Device Energy Use'!$E9)))/1000000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Y16"/>
  <sheetViews>
    <sheetView workbookViewId="0">
      <selection activeCell="A2" sqref="A2"/>
    </sheetView>
  </sheetViews>
  <sheetFormatPr defaultColWidth="9.140625" defaultRowHeight="15.75"/>
  <cols>
    <col min="1" max="1" width="54.5703125" style="9" customWidth="1"/>
    <col min="2" max="2" width="9.42578125" style="9" bestFit="1" customWidth="1"/>
    <col min="3" max="3" width="13.42578125" style="9" customWidth="1"/>
    <col min="4" max="13" width="11" style="9" bestFit="1" customWidth="1"/>
    <col min="14" max="23" width="12.7109375" style="9" bestFit="1" customWidth="1"/>
    <col min="24" max="25" width="9.140625" style="44"/>
    <col min="26" max="16384" width="9.140625" style="9"/>
  </cols>
  <sheetData>
    <row r="1" spans="1:25">
      <c r="A1" s="147" t="str">
        <f>CONCATENATE("Segment:  ",State,", Single Family, ", SpaceHeat, ", ", TankSize,", ", StartWH, " is starting water heater")</f>
        <v>Segment:  Montana, Single Family, Gas FAF, &gt;55 Gallons, Electric Resistance is starting water heater</v>
      </c>
    </row>
    <row r="2" spans="1:25" s="148" customFormat="1">
      <c r="X2" s="149"/>
      <c r="Y2" s="149"/>
    </row>
    <row r="3" spans="1:25">
      <c r="A3" s="12" t="s">
        <v>148</v>
      </c>
      <c r="X3" s="9"/>
      <c r="Y3" s="9"/>
    </row>
    <row r="4" spans="1:25">
      <c r="B4" s="9">
        <f>'Energy Usage'!B10</f>
        <v>2014</v>
      </c>
      <c r="C4" s="9">
        <f>'Energy Usage'!C10</f>
        <v>2015</v>
      </c>
      <c r="D4" s="9">
        <f>'Energy Usage'!D10</f>
        <v>2016</v>
      </c>
      <c r="E4" s="9">
        <f>'Energy Usage'!E10</f>
        <v>2017</v>
      </c>
      <c r="F4" s="9">
        <f>'Energy Usage'!F10</f>
        <v>2018</v>
      </c>
      <c r="G4" s="9">
        <f>'Energy Usage'!G10</f>
        <v>2019</v>
      </c>
      <c r="H4" s="9">
        <f>'Energy Usage'!H10</f>
        <v>2020</v>
      </c>
      <c r="I4" s="9">
        <f>'Energy Usage'!I10</f>
        <v>2021</v>
      </c>
      <c r="J4" s="9">
        <f>'Energy Usage'!J10</f>
        <v>2022</v>
      </c>
      <c r="K4" s="9">
        <f>'Energy Usage'!K10</f>
        <v>2023</v>
      </c>
      <c r="L4" s="9">
        <f>'Energy Usage'!L10</f>
        <v>2024</v>
      </c>
      <c r="M4" s="9">
        <f>'Energy Usage'!M10</f>
        <v>2025</v>
      </c>
      <c r="N4" s="9">
        <f>'Energy Usage'!N10</f>
        <v>2026</v>
      </c>
      <c r="O4" s="9">
        <f>'Energy Usage'!O10</f>
        <v>2027</v>
      </c>
      <c r="P4" s="9">
        <f>'Energy Usage'!P10</f>
        <v>2028</v>
      </c>
      <c r="Q4" s="9">
        <f>'Energy Usage'!Q10</f>
        <v>2029</v>
      </c>
      <c r="R4" s="9">
        <f>'Energy Usage'!R10</f>
        <v>2030</v>
      </c>
      <c r="S4" s="9">
        <f>'Energy Usage'!S10</f>
        <v>2031</v>
      </c>
      <c r="T4" s="9">
        <f>'Energy Usage'!T10</f>
        <v>2032</v>
      </c>
      <c r="U4" s="9">
        <f>'Energy Usage'!U10</f>
        <v>2033</v>
      </c>
      <c r="V4" s="9">
        <f>'Energy Usage'!V10</f>
        <v>2034</v>
      </c>
      <c r="W4" s="9">
        <f>'Energy Usage'!W10</f>
        <v>2035</v>
      </c>
      <c r="X4" s="9"/>
      <c r="Y4" s="9"/>
    </row>
    <row r="5" spans="1:25">
      <c r="A5" s="9" t="s">
        <v>141</v>
      </c>
      <c r="B5" s="130">
        <f>'Energy Usage'!B13</f>
        <v>0</v>
      </c>
      <c r="C5" s="130">
        <f>'Energy Usage'!C13</f>
        <v>-1.1945299429315329E-3</v>
      </c>
      <c r="D5" s="130">
        <f>'Energy Usage'!D13</f>
        <v>-2.3063098885783527E-3</v>
      </c>
      <c r="E5" s="130">
        <f>'Energy Usage'!E13</f>
        <v>-3.3412440718317907E-3</v>
      </c>
      <c r="F5" s="130">
        <f>'Energy Usage'!F13</f>
        <v>-4.3048146736297003E-3</v>
      </c>
      <c r="G5" s="130">
        <f>'Energy Usage'!G13</f>
        <v>-5.2021119684825656E-3</v>
      </c>
      <c r="H5" s="130">
        <f>'Energy Usage'!H13</f>
        <v>-6.037862318727839E-3</v>
      </c>
      <c r="I5" s="130">
        <f>'Energy Usage'!I13</f>
        <v>-6.8164541693167468E-3</v>
      </c>
      <c r="J5" s="130">
        <f>'Energy Usage'!J13</f>
        <v>-7.5419621859516752E-3</v>
      </c>
      <c r="K5" s="130">
        <f>'Energy Usage'!K13</f>
        <v>-8.2181696691908269E-3</v>
      </c>
      <c r="L5" s="130">
        <f>'Energy Usage'!L13</f>
        <v>-8.8485893676641392E-3</v>
      </c>
      <c r="M5" s="130">
        <f>'Energy Usage'!M13</f>
        <v>-9.4364828047483005E-3</v>
      </c>
      <c r="N5" s="130">
        <f>'Energy Usage'!N13</f>
        <v>-9.9848782248809585E-3</v>
      </c>
      <c r="O5" s="130">
        <f>'Energy Usage'!O13</f>
        <v>-1.0496587258109724E-2</v>
      </c>
      <c r="P5" s="130">
        <f>'Energy Usage'!P13</f>
        <v>-1.0974220394429048E-2</v>
      </c>
      <c r="Q5" s="130">
        <f>'Energy Usage'!Q13</f>
        <v>-1.1420201352918324E-2</v>
      </c>
      <c r="R5" s="130">
        <f>'Energy Usage'!R13</f>
        <v>-1.1836780424622204E-2</v>
      </c>
      <c r="S5" s="130">
        <f>'Energy Usage'!S13</f>
        <v>-1.2226046862475274E-2</v>
      </c>
      <c r="T5" s="130">
        <f>'Energy Usage'!T13</f>
        <v>-1.2589940386337378E-2</v>
      </c>
      <c r="U5" s="130">
        <f>'Energy Usage'!U13</f>
        <v>-1.293026186634386E-2</v>
      </c>
      <c r="V5" s="130">
        <f>'Energy Usage'!V13</f>
        <v>-1.3248683243260293E-2</v>
      </c>
      <c r="W5" s="130">
        <f>'Energy Usage'!W13</f>
        <v>-1.3546756740339191E-2</v>
      </c>
      <c r="X5" s="9"/>
      <c r="Y5" s="9"/>
    </row>
    <row r="6" spans="1:25">
      <c r="A6" s="41" t="s">
        <v>142</v>
      </c>
      <c r="B6" s="131">
        <f t="shared" ref="B6" si="0">B13*ConvertMMBTU/1000</f>
        <v>0</v>
      </c>
      <c r="C6" s="131">
        <f>C13</f>
        <v>-9.0761967118047971E-4</v>
      </c>
      <c r="D6" s="131">
        <f t="shared" ref="D6:W6" si="1">D13</f>
        <v>-1.7523970562581031E-3</v>
      </c>
      <c r="E6" s="131">
        <f t="shared" si="1"/>
        <v>-2.5388163677557093E-3</v>
      </c>
      <c r="F6" s="131">
        <f t="shared" si="1"/>
        <v>-3.2710412727143651E-3</v>
      </c>
      <c r="G6" s="131">
        <f t="shared" si="1"/>
        <v>-3.9529377892957903E-3</v>
      </c>
      <c r="H6" s="131">
        <f t="shared" si="1"/>
        <v>-4.5880955480038666E-3</v>
      </c>
      <c r="I6" s="131">
        <f t="shared" si="1"/>
        <v>-5.1798475343378825E-3</v>
      </c>
      <c r="J6" s="131">
        <f t="shared" si="1"/>
        <v>-5.7312884213460112E-3</v>
      </c>
      <c r="K6" s="131">
        <f t="shared" si="1"/>
        <v>-6.24529159279936E-3</v>
      </c>
      <c r="L6" s="131">
        <f t="shared" si="1"/>
        <v>-6.7245249505130632E-3</v>
      </c>
      <c r="M6" s="131">
        <f t="shared" si="1"/>
        <v>-7.1714655926600037E-3</v>
      </c>
      <c r="N6" s="131">
        <f t="shared" si="1"/>
        <v>-7.5884134437195433E-3</v>
      </c>
      <c r="O6" s="131">
        <f t="shared" si="1"/>
        <v>-7.9775039109434044E-3</v>
      </c>
      <c r="P6" s="131">
        <f t="shared" si="1"/>
        <v>-8.3407196368719041E-3</v>
      </c>
      <c r="Q6" s="131">
        <f t="shared" si="1"/>
        <v>-8.6799014124672846E-3</v>
      </c>
      <c r="R6" s="131">
        <f t="shared" si="1"/>
        <v>-8.99675831081863E-3</v>
      </c>
      <c r="S6" s="131">
        <f t="shared" si="1"/>
        <v>-9.2928770970904569E-3</v>
      </c>
      <c r="T6" s="131">
        <f t="shared" si="1"/>
        <v>-9.5697309664104606E-3</v>
      </c>
      <c r="U6" s="131">
        <f t="shared" si="1"/>
        <v>-9.8286876576992605E-3</v>
      </c>
      <c r="V6" s="131">
        <f t="shared" si="1"/>
        <v>-1.0071016988016032E-2</v>
      </c>
      <c r="W6" s="131">
        <f t="shared" si="1"/>
        <v>-1.0297897848810291E-2</v>
      </c>
      <c r="X6" s="9"/>
      <c r="Y6" s="9"/>
    </row>
    <row r="7" spans="1:25">
      <c r="A7" s="9" t="s">
        <v>144</v>
      </c>
      <c r="B7" s="130">
        <f t="shared" ref="B7:W7" si="2">B5-B6</f>
        <v>0</v>
      </c>
      <c r="C7" s="130">
        <f t="shared" si="2"/>
        <v>-2.8691027175105322E-4</v>
      </c>
      <c r="D7" s="130">
        <f t="shared" si="2"/>
        <v>-5.5391283232024955E-4</v>
      </c>
      <c r="E7" s="130">
        <f t="shared" si="2"/>
        <v>-8.0242770407608138E-4</v>
      </c>
      <c r="F7" s="130">
        <f t="shared" si="2"/>
        <v>-1.0337734009153352E-3</v>
      </c>
      <c r="G7" s="130">
        <f t="shared" si="2"/>
        <v>-1.2491741791867753E-3</v>
      </c>
      <c r="H7" s="130">
        <f t="shared" si="2"/>
        <v>-1.4497667707239724E-3</v>
      </c>
      <c r="I7" s="130">
        <f t="shared" si="2"/>
        <v>-1.6366066349788643E-3</v>
      </c>
      <c r="J7" s="130">
        <f t="shared" si="2"/>
        <v>-1.810673764605664E-3</v>
      </c>
      <c r="K7" s="130">
        <f t="shared" si="2"/>
        <v>-1.9728780763914669E-3</v>
      </c>
      <c r="L7" s="130">
        <f t="shared" si="2"/>
        <v>-2.124064417151076E-3</v>
      </c>
      <c r="M7" s="130">
        <f t="shared" si="2"/>
        <v>-2.2650172120882968E-3</v>
      </c>
      <c r="N7" s="130">
        <f t="shared" si="2"/>
        <v>-2.3964647811614151E-3</v>
      </c>
      <c r="O7" s="130">
        <f t="shared" si="2"/>
        <v>-2.5190833471663201E-3</v>
      </c>
      <c r="P7" s="130">
        <f t="shared" si="2"/>
        <v>-2.6335007575571442E-3</v>
      </c>
      <c r="Q7" s="130">
        <f t="shared" si="2"/>
        <v>-2.7402999404510398E-3</v>
      </c>
      <c r="R7" s="130">
        <f t="shared" si="2"/>
        <v>-2.8400221138035735E-3</v>
      </c>
      <c r="S7" s="130">
        <f t="shared" si="2"/>
        <v>-2.9331697653848174E-3</v>
      </c>
      <c r="T7" s="130">
        <f t="shared" si="2"/>
        <v>-3.0202094199269173E-3</v>
      </c>
      <c r="U7" s="130">
        <f t="shared" si="2"/>
        <v>-3.1015742086445992E-3</v>
      </c>
      <c r="V7" s="130">
        <f t="shared" si="2"/>
        <v>-3.1776662552442606E-3</v>
      </c>
      <c r="W7" s="130">
        <f t="shared" si="2"/>
        <v>-3.2488588915288996E-3</v>
      </c>
      <c r="X7" s="9"/>
      <c r="Y7" s="9"/>
    </row>
    <row r="8" spans="1:25"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9"/>
      <c r="Y8" s="9"/>
    </row>
    <row r="9" spans="1:25" s="148" customFormat="1" ht="23.25" customHeight="1">
      <c r="A9" s="42" t="s">
        <v>146</v>
      </c>
      <c r="X9" s="149"/>
      <c r="Y9" s="149"/>
    </row>
    <row r="10" spans="1:25" s="148" customFormat="1">
      <c r="B10" s="148">
        <f>'Energy Usage'!B5</f>
        <v>2014</v>
      </c>
      <c r="C10" s="148">
        <f>'Energy Usage'!C5</f>
        <v>2015</v>
      </c>
      <c r="D10" s="148">
        <f>'Energy Usage'!D5</f>
        <v>2016</v>
      </c>
      <c r="E10" s="148">
        <f>'Energy Usage'!E5</f>
        <v>2017</v>
      </c>
      <c r="F10" s="148">
        <f>'Energy Usage'!F5</f>
        <v>2018</v>
      </c>
      <c r="G10" s="148">
        <f>'Energy Usage'!G5</f>
        <v>2019</v>
      </c>
      <c r="H10" s="148">
        <f>'Energy Usage'!H5</f>
        <v>2020</v>
      </c>
      <c r="I10" s="148">
        <f>'Energy Usage'!I5</f>
        <v>2021</v>
      </c>
      <c r="J10" s="148">
        <f>'Energy Usage'!J5</f>
        <v>2022</v>
      </c>
      <c r="K10" s="148">
        <f>'Energy Usage'!K5</f>
        <v>2023</v>
      </c>
      <c r="L10" s="148">
        <f>'Energy Usage'!L5</f>
        <v>2024</v>
      </c>
      <c r="M10" s="148">
        <f>'Energy Usage'!M5</f>
        <v>2025</v>
      </c>
      <c r="N10" s="148">
        <f>'Energy Usage'!N5</f>
        <v>2026</v>
      </c>
      <c r="O10" s="148">
        <f>'Energy Usage'!O5</f>
        <v>2027</v>
      </c>
      <c r="P10" s="148">
        <f>'Energy Usage'!P5</f>
        <v>2028</v>
      </c>
      <c r="Q10" s="148">
        <f>'Energy Usage'!Q5</f>
        <v>2029</v>
      </c>
      <c r="R10" s="148">
        <f>'Energy Usage'!R5</f>
        <v>2030</v>
      </c>
      <c r="S10" s="148">
        <f>'Energy Usage'!S5</f>
        <v>2031</v>
      </c>
      <c r="T10" s="148">
        <f>'Energy Usage'!T5</f>
        <v>2032</v>
      </c>
      <c r="U10" s="148">
        <f>'Energy Usage'!U5</f>
        <v>2033</v>
      </c>
      <c r="V10" s="148">
        <f>'Energy Usage'!V5</f>
        <v>2034</v>
      </c>
      <c r="W10" s="148">
        <f>'Energy Usage'!W5</f>
        <v>2035</v>
      </c>
      <c r="X10" s="149"/>
      <c r="Y10" s="149"/>
    </row>
    <row r="11" spans="1:25" s="148" customFormat="1">
      <c r="A11" s="148" t="s">
        <v>160</v>
      </c>
      <c r="B11" s="151">
        <f>-'Energy Usage'!B8/3412*1000000</f>
        <v>0</v>
      </c>
      <c r="C11" s="151">
        <f>-'Energy Usage'!C8/3412*1000000</f>
        <v>-0.14028124747766302</v>
      </c>
      <c r="D11" s="151">
        <f>-'Energy Usage'!D8/3412*1000000</f>
        <v>-0.27084962229646109</v>
      </c>
      <c r="E11" s="151">
        <f>-'Energy Usage'!E8/3412*1000000</f>
        <v>-0.39239820212607568</v>
      </c>
      <c r="F11" s="151">
        <f>-'Energy Usage'!F8/3412*1000000</f>
        <v>-0.50557052128506419</v>
      </c>
      <c r="G11" s="151">
        <f>-'Energy Usage'!G8/3412*1000000</f>
        <v>-0.61096410962840653</v>
      </c>
      <c r="H11" s="151">
        <f>-'Energy Usage'!H8/3412*1000000</f>
        <v>-0.70913377867138583</v>
      </c>
      <c r="I11" s="151">
        <f>-'Energy Usage'!I8/3412*1000000</f>
        <v>-0.80059467300430953</v>
      </c>
      <c r="J11" s="151">
        <f>-'Energy Usage'!J8/3412*1000000</f>
        <v>-0.88582510376290746</v>
      </c>
      <c r="K11" s="151">
        <f>-'Energy Usage'!K8/3412*1000000</f>
        <v>-0.9652691797216939</v>
      </c>
      <c r="L11" s="151">
        <f>-'Energy Usage'!L8/3412*1000000</f>
        <v>-1.0393392504656975</v>
      </c>
      <c r="M11" s="151">
        <f>-'Energy Usage'!M8/3412*1000000</f>
        <v>-1.1084181750633699</v>
      </c>
      <c r="N11" s="151">
        <f>-'Energy Usage'!N8/3412*1000000</f>
        <v>-1.1728614287047208</v>
      </c>
      <c r="O11" s="151">
        <f>-'Energy Usage'!O8/3412*1000000</f>
        <v>-1.2329990588784241</v>
      </c>
      <c r="P11" s="151">
        <f>-'Energy Usage'!P8/3412*1000000</f>
        <v>-1.2891375018349154</v>
      </c>
      <c r="Q11" s="151">
        <f>-'Energy Usage'!Q8/3412*1000000</f>
        <v>-1.3415612693148817</v>
      </c>
      <c r="R11" s="151">
        <f>-'Energy Usage'!R8/3412*1000000</f>
        <v>-1.3905345148096802</v>
      </c>
      <c r="S11" s="151">
        <f>-'Energy Usage'!S8/3412*1000000</f>
        <v>-1.4363024879583395</v>
      </c>
      <c r="T11" s="151">
        <f>-'Energy Usage'!T8/3412*1000000</f>
        <v>-1.4790928850711687</v>
      </c>
      <c r="U11" s="151">
        <f>-'Energy Usage'!U8/3412*1000000</f>
        <v>-1.5191171031992674</v>
      </c>
      <c r="V11" s="151">
        <f>-'Energy Usage'!V8/3412*1000000</f>
        <v>-1.5565714046392631</v>
      </c>
      <c r="W11" s="151">
        <f>-'Energy Usage'!W8/3412*1000000</f>
        <v>-1.5916379982705242</v>
      </c>
      <c r="X11" s="149"/>
      <c r="Y11" s="149"/>
    </row>
    <row r="12" spans="1:25" s="148" customFormat="1">
      <c r="A12" s="152" t="s">
        <v>145</v>
      </c>
      <c r="B12" s="152">
        <f t="shared" ref="B12:W12" si="3">HeatRate</f>
        <v>6470</v>
      </c>
      <c r="C12" s="152">
        <f t="shared" si="3"/>
        <v>6470</v>
      </c>
      <c r="D12" s="152">
        <f t="shared" si="3"/>
        <v>6470</v>
      </c>
      <c r="E12" s="152">
        <f t="shared" si="3"/>
        <v>6470</v>
      </c>
      <c r="F12" s="152">
        <f t="shared" si="3"/>
        <v>6470</v>
      </c>
      <c r="G12" s="152">
        <f t="shared" si="3"/>
        <v>6470</v>
      </c>
      <c r="H12" s="152">
        <f t="shared" si="3"/>
        <v>6470</v>
      </c>
      <c r="I12" s="152">
        <f t="shared" si="3"/>
        <v>6470</v>
      </c>
      <c r="J12" s="152">
        <f t="shared" si="3"/>
        <v>6470</v>
      </c>
      <c r="K12" s="152">
        <f t="shared" si="3"/>
        <v>6470</v>
      </c>
      <c r="L12" s="152">
        <f t="shared" si="3"/>
        <v>6470</v>
      </c>
      <c r="M12" s="152">
        <f t="shared" si="3"/>
        <v>6470</v>
      </c>
      <c r="N12" s="152">
        <f t="shared" si="3"/>
        <v>6470</v>
      </c>
      <c r="O12" s="152">
        <f t="shared" si="3"/>
        <v>6470</v>
      </c>
      <c r="P12" s="152">
        <f t="shared" si="3"/>
        <v>6470</v>
      </c>
      <c r="Q12" s="152">
        <f t="shared" si="3"/>
        <v>6470</v>
      </c>
      <c r="R12" s="152">
        <f t="shared" si="3"/>
        <v>6470</v>
      </c>
      <c r="S12" s="152">
        <f t="shared" si="3"/>
        <v>6470</v>
      </c>
      <c r="T12" s="152">
        <f t="shared" si="3"/>
        <v>6470</v>
      </c>
      <c r="U12" s="152">
        <f t="shared" si="3"/>
        <v>6470</v>
      </c>
      <c r="V12" s="152">
        <f t="shared" si="3"/>
        <v>6470</v>
      </c>
      <c r="W12" s="152">
        <f t="shared" si="3"/>
        <v>6470</v>
      </c>
      <c r="X12" s="149"/>
      <c r="Y12" s="149"/>
    </row>
    <row r="13" spans="1:25" s="148" customFormat="1">
      <c r="A13" s="148" t="s">
        <v>161</v>
      </c>
      <c r="B13" s="150">
        <f t="shared" ref="B13" si="4">B11*1000000000/HeatRate/1000</f>
        <v>0</v>
      </c>
      <c r="C13" s="150">
        <f t="shared" ref="C13:W13" si="5">C11*HeatRate/1000000</f>
        <v>-9.0761967118047971E-4</v>
      </c>
      <c r="D13" s="150">
        <f t="shared" si="5"/>
        <v>-1.7523970562581031E-3</v>
      </c>
      <c r="E13" s="150">
        <f t="shared" si="5"/>
        <v>-2.5388163677557093E-3</v>
      </c>
      <c r="F13" s="150">
        <f t="shared" si="5"/>
        <v>-3.2710412727143651E-3</v>
      </c>
      <c r="G13" s="150">
        <f t="shared" si="5"/>
        <v>-3.9529377892957903E-3</v>
      </c>
      <c r="H13" s="150">
        <f t="shared" si="5"/>
        <v>-4.5880955480038666E-3</v>
      </c>
      <c r="I13" s="150">
        <f t="shared" si="5"/>
        <v>-5.1798475343378825E-3</v>
      </c>
      <c r="J13" s="150">
        <f t="shared" si="5"/>
        <v>-5.7312884213460112E-3</v>
      </c>
      <c r="K13" s="150">
        <f t="shared" si="5"/>
        <v>-6.24529159279936E-3</v>
      </c>
      <c r="L13" s="150">
        <f t="shared" si="5"/>
        <v>-6.7245249505130632E-3</v>
      </c>
      <c r="M13" s="150">
        <f t="shared" si="5"/>
        <v>-7.1714655926600037E-3</v>
      </c>
      <c r="N13" s="150">
        <f t="shared" si="5"/>
        <v>-7.5884134437195433E-3</v>
      </c>
      <c r="O13" s="150">
        <f t="shared" si="5"/>
        <v>-7.9775039109434044E-3</v>
      </c>
      <c r="P13" s="150">
        <f t="shared" si="5"/>
        <v>-8.3407196368719041E-3</v>
      </c>
      <c r="Q13" s="150">
        <f t="shared" si="5"/>
        <v>-8.6799014124672846E-3</v>
      </c>
      <c r="R13" s="150">
        <f t="shared" si="5"/>
        <v>-8.99675831081863E-3</v>
      </c>
      <c r="S13" s="150">
        <f t="shared" si="5"/>
        <v>-9.2928770970904569E-3</v>
      </c>
      <c r="T13" s="150">
        <f t="shared" si="5"/>
        <v>-9.5697309664104606E-3</v>
      </c>
      <c r="U13" s="150">
        <f t="shared" si="5"/>
        <v>-9.8286876576992605E-3</v>
      </c>
      <c r="V13" s="150">
        <f t="shared" si="5"/>
        <v>-1.0071016988016032E-2</v>
      </c>
      <c r="W13" s="150">
        <f t="shared" si="5"/>
        <v>-1.0297897848810291E-2</v>
      </c>
      <c r="X13" s="149"/>
      <c r="Y13" s="149"/>
    </row>
    <row r="14" spans="1:25" s="148" customFormat="1">
      <c r="X14" s="149"/>
      <c r="Y14" s="149"/>
    </row>
    <row r="16" spans="1:25">
      <c r="B16" s="172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AG69"/>
  <sheetViews>
    <sheetView workbookViewId="0">
      <selection activeCell="A2" sqref="A2"/>
    </sheetView>
  </sheetViews>
  <sheetFormatPr defaultColWidth="9.140625" defaultRowHeight="15.75"/>
  <cols>
    <col min="1" max="1" width="35.7109375" style="9" customWidth="1"/>
    <col min="2" max="9" width="11.7109375" style="9" customWidth="1"/>
    <col min="10" max="11" width="11" style="9" bestFit="1" customWidth="1"/>
    <col min="12" max="12" width="12" style="9" bestFit="1" customWidth="1"/>
    <col min="13" max="28" width="11" style="9" bestFit="1" customWidth="1"/>
    <col min="29" max="29" width="14.28515625" style="9" bestFit="1" customWidth="1"/>
    <col min="30" max="31" width="11" style="9" bestFit="1" customWidth="1"/>
    <col min="32" max="16384" width="9.140625" style="9"/>
  </cols>
  <sheetData>
    <row r="1" spans="1:33">
      <c r="A1" s="147" t="str">
        <f>CONCATENATE("Segment:  ",State,", Single Family, ", SpaceHeat, ", ", TankSize,", ", StartWH, " is starting water heater")</f>
        <v>Segment:  Montana, Single Family, Gas FAF, &gt;55 Gallons, Electric Resistance is starting water heater</v>
      </c>
    </row>
    <row r="3" spans="1:33" ht="24" customHeight="1">
      <c r="A3" s="25" t="s">
        <v>47</v>
      </c>
      <c r="AG3" s="12"/>
    </row>
    <row r="4" spans="1:33">
      <c r="A4" s="41"/>
      <c r="B4" s="41">
        <f t="shared" ref="B4:W4" si="0">B16</f>
        <v>2014</v>
      </c>
      <c r="C4" s="41">
        <f t="shared" si="0"/>
        <v>2015</v>
      </c>
      <c r="D4" s="41">
        <f t="shared" si="0"/>
        <v>2016</v>
      </c>
      <c r="E4" s="41">
        <f t="shared" si="0"/>
        <v>2017</v>
      </c>
      <c r="F4" s="41">
        <f t="shared" si="0"/>
        <v>2018</v>
      </c>
      <c r="G4" s="41">
        <f t="shared" si="0"/>
        <v>2019</v>
      </c>
      <c r="H4" s="41">
        <f t="shared" si="0"/>
        <v>2020</v>
      </c>
      <c r="I4" s="41">
        <f t="shared" si="0"/>
        <v>2021</v>
      </c>
      <c r="J4" s="41">
        <f t="shared" si="0"/>
        <v>2022</v>
      </c>
      <c r="K4" s="41">
        <f t="shared" si="0"/>
        <v>2023</v>
      </c>
      <c r="L4" s="41">
        <f t="shared" si="0"/>
        <v>2024</v>
      </c>
      <c r="M4" s="41">
        <f t="shared" si="0"/>
        <v>2025</v>
      </c>
      <c r="N4" s="41">
        <f t="shared" si="0"/>
        <v>2026</v>
      </c>
      <c r="O4" s="41">
        <f t="shared" si="0"/>
        <v>2027</v>
      </c>
      <c r="P4" s="41">
        <f t="shared" si="0"/>
        <v>2028</v>
      </c>
      <c r="Q4" s="41">
        <f t="shared" si="0"/>
        <v>2029</v>
      </c>
      <c r="R4" s="41">
        <f t="shared" si="0"/>
        <v>2030</v>
      </c>
      <c r="S4" s="41">
        <f t="shared" si="0"/>
        <v>2031</v>
      </c>
      <c r="T4" s="41">
        <f t="shared" si="0"/>
        <v>2032</v>
      </c>
      <c r="U4" s="41">
        <f t="shared" si="0"/>
        <v>2033</v>
      </c>
      <c r="V4" s="41">
        <f t="shared" si="0"/>
        <v>2034</v>
      </c>
      <c r="W4" s="41">
        <f t="shared" si="0"/>
        <v>2035</v>
      </c>
      <c r="X4" s="44"/>
    </row>
    <row r="5" spans="1:33">
      <c r="A5" s="74" t="s">
        <v>73</v>
      </c>
      <c r="B5" s="90">
        <f t="shared" ref="B5:W5" si="1">B4</f>
        <v>2014</v>
      </c>
      <c r="C5" s="90">
        <f t="shared" si="1"/>
        <v>2015</v>
      </c>
      <c r="D5" s="90">
        <f t="shared" si="1"/>
        <v>2016</v>
      </c>
      <c r="E5" s="90">
        <f t="shared" si="1"/>
        <v>2017</v>
      </c>
      <c r="F5" s="90">
        <f t="shared" si="1"/>
        <v>2018</v>
      </c>
      <c r="G5" s="90">
        <f t="shared" si="1"/>
        <v>2019</v>
      </c>
      <c r="H5" s="90">
        <f t="shared" si="1"/>
        <v>2020</v>
      </c>
      <c r="I5" s="90">
        <f t="shared" si="1"/>
        <v>2021</v>
      </c>
      <c r="J5" s="90">
        <f t="shared" si="1"/>
        <v>2022</v>
      </c>
      <c r="K5" s="90">
        <f t="shared" si="1"/>
        <v>2023</v>
      </c>
      <c r="L5" s="90">
        <f t="shared" si="1"/>
        <v>2024</v>
      </c>
      <c r="M5" s="90">
        <f t="shared" si="1"/>
        <v>2025</v>
      </c>
      <c r="N5" s="90">
        <f t="shared" si="1"/>
        <v>2026</v>
      </c>
      <c r="O5" s="90">
        <f t="shared" si="1"/>
        <v>2027</v>
      </c>
      <c r="P5" s="90">
        <f t="shared" si="1"/>
        <v>2028</v>
      </c>
      <c r="Q5" s="90">
        <f t="shared" si="1"/>
        <v>2029</v>
      </c>
      <c r="R5" s="90">
        <f t="shared" si="1"/>
        <v>2030</v>
      </c>
      <c r="S5" s="90">
        <f t="shared" si="1"/>
        <v>2031</v>
      </c>
      <c r="T5" s="90">
        <f t="shared" si="1"/>
        <v>2032</v>
      </c>
      <c r="U5" s="90">
        <f t="shared" si="1"/>
        <v>2033</v>
      </c>
      <c r="V5" s="90">
        <f t="shared" si="1"/>
        <v>2034</v>
      </c>
      <c r="W5" s="90">
        <f t="shared" si="1"/>
        <v>2035</v>
      </c>
      <c r="X5" s="44"/>
      <c r="Y5" s="44"/>
    </row>
    <row r="6" spans="1:33">
      <c r="A6" s="50" t="s">
        <v>80</v>
      </c>
      <c r="B6" s="89">
        <f>(B$18*'Device Energy Use'!$E$5+B$19*'Device Energy Use'!$E$6+'Energy Usage'!B$20*'Device Energy Use'!$E$7+'Energy Usage'!B$21*'Device Energy Use'!$E$8+'Energy Usage'!B$22*'Device Energy Use'!$E$9)/1000000</f>
        <v>2.1798404840058426E-2</v>
      </c>
      <c r="C6" s="89">
        <f>(C$18*'Device Energy Use'!$E$5+C$19*'Device Energy Use'!$E$6+'Energy Usage'!C$20*'Device Energy Use'!$E$7+'Energy Usage'!C$21*'Device Energy Use'!$E$8+'Energy Usage'!C$22*'Device Energy Use'!$E$9)/1000000</f>
        <v>2.0611942658338378E-2</v>
      </c>
      <c r="D6" s="89">
        <f>(D$18*'Device Energy Use'!$E$5+D$19*'Device Energy Use'!$E$6+'Energy Usage'!D$20*'Device Energy Use'!$E$7+'Energy Usage'!D$21*'Device Energy Use'!$E$8+'Energy Usage'!D$22*'Device Energy Use'!$E$9)/1000000</f>
        <v>1.9509179552796539E-2</v>
      </c>
      <c r="E6" s="89">
        <f>(E$18*'Device Energy Use'!$E$5+E$19*'Device Energy Use'!$E$6+'Energy Usage'!E$20*'Device Energy Use'!$E$7+'Energy Usage'!E$21*'Device Energy Use'!$E$8+'Energy Usage'!E$22*'Device Energy Use'!$E$9)/1000000</f>
        <v>1.8484139402804953E-2</v>
      </c>
      <c r="F6" s="89">
        <f>(F$18*'Device Energy Use'!$E$5+F$19*'Device Energy Use'!$E$6+'Energy Usage'!F$20*'Device Energy Use'!$E$7+'Energy Usage'!F$21*'Device Energy Use'!$E$8+'Energy Usage'!F$22*'Device Energy Use'!$E$9)/1000000</f>
        <v>1.7531273082479603E-2</v>
      </c>
      <c r="G6" s="89">
        <f>(G$18*'Device Energy Use'!$E$5+G$19*'Device Energy Use'!$E$6+'Energy Usage'!G$20*'Device Energy Use'!$E$7+'Energy Usage'!G$21*'Device Energy Use'!$E$8+'Energy Usage'!G$22*'Device Energy Use'!$E$9)/1000000</f>
        <v>1.6645427960794011E-2</v>
      </c>
      <c r="H6" s="89">
        <f>(H$18*'Device Energy Use'!$E$5+H$19*'Device Energy Use'!$E$6+'Energy Usage'!H$20*'Device Energy Use'!$E$7+'Energy Usage'!H$21*'Device Energy Use'!$E$8+'Energy Usage'!H$22*'Device Energy Use'!$E$9)/1000000</f>
        <v>1.5821819580208275E-2</v>
      </c>
      <c r="I6" s="89">
        <f>(I$18*'Device Energy Use'!$E$5+I$19*'Device Energy Use'!$E$6+'Energy Usage'!I$20*'Device Energy Use'!$E$7+'Energy Usage'!I$21*'Device Energy Use'!$E$8+'Energy Usage'!I$22*'Device Energy Use'!$E$9)/1000000</f>
        <v>1.5056005358205463E-2</v>
      </c>
      <c r="J6" s="89">
        <f>(J$18*'Device Energy Use'!$E$5+J$19*'Device Energy Use'!$E$6+'Energy Usage'!J$20*'Device Energy Use'!$E$7+'Energy Usage'!J$21*'Device Energy Use'!$E$8+'Energy Usage'!J$22*'Device Energy Use'!$E$9)/1000000</f>
        <v>1.4343860167242456E-2</v>
      </c>
      <c r="K6" s="89">
        <f>(K$18*'Device Energy Use'!$E$5+K$19*'Device Energy Use'!$E$6+'Energy Usage'!K$20*'Device Energy Use'!$E$7+'Energy Usage'!K$21*'Device Energy Use'!$E$8+'Energy Usage'!K$22*'Device Energy Use'!$E$9)/1000000</f>
        <v>1.3681553658943168E-2</v>
      </c>
      <c r="L6" s="89">
        <f>(L$18*'Device Energy Use'!$E$5+L$19*'Device Energy Use'!$E$6+'Energy Usage'!L$20*'Device Energy Use'!$E$7+'Energy Usage'!L$21*'Device Energy Use'!$E$8+'Energy Usage'!L$22*'Device Energy Use'!$E$9)/1000000</f>
        <v>1.306552920794586E-2</v>
      </c>
      <c r="M6" s="89">
        <f>(M$18*'Device Energy Use'!$E$5+M$19*'Device Energy Use'!$E$6+'Energy Usage'!M$20*'Device Energy Use'!$E$7+'Energy Usage'!M$21*'Device Energy Use'!$E$8+'Energy Usage'!M$22*'Device Energy Use'!$E$9)/1000000</f>
        <v>1.2492484359715455E-2</v>
      </c>
      <c r="N6" s="89">
        <f>(N$18*'Device Energy Use'!$E$5+N$19*'Device Energy Use'!$E$6+'Energy Usage'!N$20*'Device Energy Use'!$E$7+'Energy Usage'!N$21*'Device Energy Use'!$E$8+'Energy Usage'!N$22*'Device Energy Use'!$E$9)/1000000</f>
        <v>1.1959352674895389E-2</v>
      </c>
      <c r="O6" s="89">
        <f>(O$18*'Device Energy Use'!$E$5+O$19*'Device Energy Use'!$E$6+'Energy Usage'!O$20*'Device Energy Use'!$E$7+'Energy Usage'!O$21*'Device Energy Use'!$E$8+'Energy Usage'!O$22*'Device Energy Use'!$E$9)/1000000</f>
        <v>1.1463286870446635E-2</v>
      </c>
      <c r="P6" s="89">
        <f>(P$18*'Device Energy Use'!$E$5+P$19*'Device Energy Use'!$E$6+'Energy Usage'!P$20*'Device Energy Use'!$E$7+'Energy Usage'!P$21*'Device Energy Use'!$E$8+'Energy Usage'!P$22*'Device Energy Use'!$E$9)/1000000</f>
        <v>1.1001643164947011E-2</v>
      </c>
      <c r="Q6" s="89">
        <f>(Q$18*'Device Energy Use'!$E$5+Q$19*'Device Energy Use'!$E$6+'Energy Usage'!Q$20*'Device Energy Use'!$E$7+'Energy Usage'!Q$21*'Device Energy Use'!$E$8+'Energy Usage'!Q$22*'Device Energy Use'!$E$9)/1000000</f>
        <v>1.0571966742039869E-2</v>
      </c>
      <c r="R6" s="89">
        <f>(R$18*'Device Energy Use'!$E$5+R$19*'Device Energy Use'!$E$6+'Energy Usage'!R$20*'Device Energy Use'!$E$7+'Energy Usage'!R$21*'Device Energy Use'!$E$8+'Energy Usage'!R$22*'Device Energy Use'!$E$9)/1000000</f>
        <v>1.0171978252165086E-2</v>
      </c>
      <c r="S6" s="89">
        <f>(S$18*'Device Energy Use'!$E$5+S$19*'Device Energy Use'!$E$6+'Energy Usage'!S$20*'Device Energy Use'!$E$7+'Energy Usage'!S$21*'Device Energy Use'!$E$8+'Energy Usage'!S$22*'Device Energy Use'!$E$9)/1000000</f>
        <v>9.7995612784100815E-3</v>
      </c>
      <c r="T6" s="89">
        <f>(T$18*'Device Energy Use'!$E$5+T$19*'Device Energy Use'!$E$6+'Energy Usage'!T$20*'Device Energy Use'!$E$7+'Energy Usage'!T$21*'Device Energy Use'!$E$8+'Energy Usage'!T$22*'Device Energy Use'!$E$9)/1000000</f>
        <v>9.4527506976158828E-3</v>
      </c>
      <c r="U6" s="89">
        <f>(U$18*'Device Energy Use'!$E$5+U$19*'Device Energy Use'!$E$6+'Energy Usage'!U$20*'Device Energy Use'!$E$7+'Energy Usage'!U$21*'Device Energy Use'!$E$8+'Energy Usage'!U$22*'Device Energy Use'!$E$9)/1000000</f>
        <v>9.1297218727922451E-3</v>
      </c>
      <c r="V6" s="89">
        <f>(V$18*'Device Energy Use'!$E$5+V$19*'Device Energy Use'!$E$6+'Energy Usage'!V$20*'Device Energy Use'!$E$7+'Energy Usage'!V$21*'Device Energy Use'!$E$8+'Energy Usage'!V$22*'Device Energy Use'!$E$9)/1000000</f>
        <v>8.828780617463455E-3</v>
      </c>
      <c r="W6" s="89">
        <f>(W$18*'Device Energy Use'!$E$5+W$19*'Device Energy Use'!$E$6+'Energy Usage'!W$20*'Device Energy Use'!$E$7+'Energy Usage'!W$21*'Device Energy Use'!$E$8+'Energy Usage'!W$22*'Device Energy Use'!$E$9)/1000000</f>
        <v>8.5483538768077478E-3</v>
      </c>
      <c r="X6" s="44"/>
    </row>
    <row r="7" spans="1:33">
      <c r="A7" s="52" t="s">
        <v>94</v>
      </c>
      <c r="B7" s="91">
        <f>(B$27*'Device Energy Use'!$E$5+B$28*'Device Energy Use'!$E$6+'Energy Usage'!B$29*'Device Energy Use'!$E$7+'Energy Usage'!B$30*'Device Energy Use'!$E$8+'Energy Usage'!B$31*'Device Energy Use'!$E$9)/1000000</f>
        <v>2.1798404840058426E-2</v>
      </c>
      <c r="C7" s="91">
        <f>(C$27*'Device Energy Use'!$E$5+C$28*'Device Energy Use'!$E$6+'Energy Usage'!C$29*'Device Energy Use'!$E$7+'Energy Usage'!C$30*'Device Energy Use'!$E$8+'Energy Usage'!C$31*'Device Energy Use'!$E$9)/1000000</f>
        <v>2.1090582274732164E-2</v>
      </c>
      <c r="D7" s="91">
        <f>(D$27*'Device Energy Use'!$E$5+D$28*'Device Energy Use'!$E$6+'Energy Usage'!D$29*'Device Energy Use'!$E$7+'Energy Usage'!D$30*'Device Energy Use'!$E$8+'Energy Usage'!D$31*'Device Energy Use'!$E$9)/1000000</f>
        <v>2.0433318464072064E-2</v>
      </c>
      <c r="E7" s="91">
        <f>(E$27*'Device Energy Use'!$E$5+E$28*'Device Energy Use'!$E$6+'Energy Usage'!E$29*'Device Energy Use'!$E$7+'Energy Usage'!E$30*'Device Energy Use'!$E$8+'Energy Usage'!E$31*'Device Energy Use'!$E$9)/1000000</f>
        <v>1.9823002068459123E-2</v>
      </c>
      <c r="F7" s="91">
        <f>(F$27*'Device Energy Use'!$E$5+F$28*'Device Energy Use'!$E$6+'Energy Usage'!F$29*'Device Energy Use'!$E$7+'Energy Usage'!F$30*'Device Energy Use'!$E$8+'Energy Usage'!F$31*'Device Energy Use'!$E$9)/1000000</f>
        <v>1.9256279701104242E-2</v>
      </c>
      <c r="G7" s="91">
        <f>(G$27*'Device Energy Use'!$E$5+G$28*'Device Energy Use'!$E$6+'Energy Usage'!G$29*'Device Energy Use'!$E$7+'Energy Usage'!G$30*'Device Energy Use'!$E$8+'Energy Usage'!G$31*'Device Energy Use'!$E$9)/1000000</f>
        <v>1.8730037502846134E-2</v>
      </c>
      <c r="H7" s="91">
        <f>(H$27*'Device Energy Use'!$E$5+H$28*'Device Energy Use'!$E$6+'Energy Usage'!H$29*'Device Energy Use'!$E$7+'Energy Usage'!H$30*'Device Energy Use'!$E$8+'Energy Usage'!H$31*'Device Energy Use'!$E$9)/1000000</f>
        <v>1.8241384033035043E-2</v>
      </c>
      <c r="I7" s="91">
        <f>(I$27*'Device Energy Use'!$E$5+I$28*'Device Energy Use'!$E$6+'Energy Usage'!I$29*'Device Energy Use'!$E$7+'Energy Usage'!I$30*'Device Energy Use'!$E$8+'Energy Usage'!I$31*'Device Energy Use'!$E$9)/1000000</f>
        <v>1.7787634382496167E-2</v>
      </c>
      <c r="J7" s="91">
        <f>(J$27*'Device Energy Use'!$E$5+J$28*'Device Energy Use'!$E$6+'Energy Usage'!J$29*'Device Energy Use'!$E$7+'Energy Usage'!J$30*'Device Energy Use'!$E$8+'Energy Usage'!J$31*'Device Energy Use'!$E$9)/1000000</f>
        <v>1.7366295421281496E-2</v>
      </c>
      <c r="K7" s="91">
        <f>(K$27*'Device Energy Use'!$E$5+K$28*'Device Energy Use'!$E$6+'Energy Usage'!K$29*'Device Energy Use'!$E$7+'Energy Usage'!K$30*'Device Energy Use'!$E$8+'Energy Usage'!K$31*'Device Energy Use'!$E$9)/1000000</f>
        <v>1.6975052100153588E-2</v>
      </c>
      <c r="L7" s="91">
        <f>(L$27*'Device Energy Use'!$E$5+L$28*'Device Energy Use'!$E$6+'Energy Usage'!L$29*'Device Energy Use'!$E$7+'Energy Usage'!L$30*'Device Energy Use'!$E$8+'Energy Usage'!L$31*'Device Energy Use'!$E$9)/1000000</f>
        <v>1.661175473053482E-2</v>
      </c>
      <c r="M7" s="91">
        <f>(M$27*'Device Energy Use'!$E$5+M$28*'Device Energy Use'!$E$6+'Energy Usage'!M$29*'Device Energy Use'!$E$7+'Energy Usage'!M$30*'Device Energy Use'!$E$8+'Energy Usage'!M$31*'Device Energy Use'!$E$9)/1000000</f>
        <v>1.6274407173031673E-2</v>
      </c>
      <c r="N7" s="91">
        <f>(N$27*'Device Energy Use'!$E$5+N$28*'Device Energy Use'!$E$6+'Energy Usage'!N$29*'Device Energy Use'!$E$7+'Energy Usage'!N$30*'Device Energy Use'!$E$8+'Energy Usage'!N$31*'Device Energy Use'!$E$9)/1000000</f>
        <v>1.5961155869635896E-2</v>
      </c>
      <c r="O7" s="91">
        <f>(O$27*'Device Energy Use'!$E$5+O$28*'Device Energy Use'!$E$6+'Energy Usage'!O$29*'Device Energy Use'!$E$7+'Energy Usage'!O$30*'Device Energy Use'!$E$8+'Energy Usage'!O$31*'Device Energy Use'!$E$9)/1000000</f>
        <v>1.5670279659339818E-2</v>
      </c>
      <c r="P7" s="91">
        <f>(P$27*'Device Energy Use'!$E$5+P$28*'Device Energy Use'!$E$6+'Energy Usage'!P$29*'Device Energy Use'!$E$7+'Energy Usage'!P$30*'Device Energy Use'!$E$8+'Energy Usage'!P$31*'Device Energy Use'!$E$9)/1000000</f>
        <v>1.5400180321207742E-2</v>
      </c>
      <c r="Q7" s="91">
        <f>(Q$27*'Device Energy Use'!$E$5+Q$28*'Device Energy Use'!$E$6+'Energy Usage'!Q$29*'Device Energy Use'!$E$7+'Energy Usage'!Q$30*'Device Energy Use'!$E$8+'Energy Usage'!Q$31*'Device Energy Use'!$E$9)/1000000</f>
        <v>1.5149373792942246E-2</v>
      </c>
      <c r="R7" s="91">
        <f>(R$27*'Device Energy Use'!$E$5+R$28*'Device Energy Use'!$E$6+'Energy Usage'!R$29*'Device Energy Use'!$E$7+'Energy Usage'!R$30*'Device Energy Use'!$E$8+'Energy Usage'!R$31*'Device Energy Use'!$E$9)/1000000</f>
        <v>1.4916482016695714E-2</v>
      </c>
      <c r="S7" s="91">
        <f>(S$27*'Device Energy Use'!$E$5+S$28*'Device Energy Use'!$E$6+'Energy Usage'!S$29*'Device Energy Use'!$E$7+'Energy Usage'!S$30*'Device Energy Use'!$E$8+'Energy Usage'!S$31*'Device Energy Use'!$E$9)/1000000</f>
        <v>1.4700225367323936E-2</v>
      </c>
      <c r="T7" s="91">
        <f>(T$27*'Device Energy Use'!$E$5+T$28*'Device Energy Use'!$E$6+'Energy Usage'!T$29*'Device Energy Use'!$E$7+'Energy Usage'!T$30*'Device Energy Use'!$E$8+'Energy Usage'!T$31*'Device Energy Use'!$E$9)/1000000</f>
        <v>1.449941562147871E-2</v>
      </c>
      <c r="U7" s="91">
        <f>(U$27*'Device Energy Use'!$E$5+U$28*'Device Energy Use'!$E$6+'Energy Usage'!U$29*'Device Energy Use'!$E$7+'Energy Usage'!U$30*'Device Energy Use'!$E$8+'Energy Usage'!U$31*'Device Energy Use'!$E$9)/1000000</f>
        <v>1.4312949428908145E-2</v>
      </c>
      <c r="V7" s="91">
        <f>(V$27*'Device Energy Use'!$E$5+V$28*'Device Energy Use'!$E$6+'Energy Usage'!V$29*'Device Energy Use'!$E$7+'Energy Usage'!V$30*'Device Energy Use'!$E$8+'Energy Usage'!V$31*'Device Energy Use'!$E$9)/1000000</f>
        <v>1.413980225009262E-2</v>
      </c>
      <c r="W7" s="91">
        <f>(W$27*'Device Energy Use'!$E$5+W$28*'Device Energy Use'!$E$6+'Energy Usage'!W$29*'Device Energy Use'!$E$7+'Energy Usage'!W$30*'Device Energy Use'!$E$8+'Energy Usage'!W$31*'Device Energy Use'!$E$9)/1000000</f>
        <v>1.3979022726906777E-2</v>
      </c>
      <c r="X7" s="44"/>
    </row>
    <row r="8" spans="1:33">
      <c r="A8" s="34" t="s">
        <v>75</v>
      </c>
      <c r="B8" s="89">
        <f t="shared" ref="B8:W8" si="2">B7-B6</f>
        <v>0</v>
      </c>
      <c r="C8" s="89">
        <f t="shared" si="2"/>
        <v>4.7863961639378616E-4</v>
      </c>
      <c r="D8" s="89">
        <f t="shared" si="2"/>
        <v>9.2413891127552522E-4</v>
      </c>
      <c r="E8" s="89">
        <f t="shared" si="2"/>
        <v>1.3388626656541704E-3</v>
      </c>
      <c r="F8" s="89">
        <f t="shared" si="2"/>
        <v>1.7250066186246388E-3</v>
      </c>
      <c r="G8" s="89">
        <f t="shared" si="2"/>
        <v>2.0846095420521231E-3</v>
      </c>
      <c r="H8" s="89">
        <f t="shared" si="2"/>
        <v>2.4195644528267682E-3</v>
      </c>
      <c r="I8" s="89">
        <f t="shared" si="2"/>
        <v>2.7316290242907042E-3</v>
      </c>
      <c r="J8" s="89">
        <f t="shared" si="2"/>
        <v>3.0224352540390402E-3</v>
      </c>
      <c r="K8" s="89">
        <f t="shared" si="2"/>
        <v>3.2934984412104195E-3</v>
      </c>
      <c r="L8" s="89">
        <f t="shared" si="2"/>
        <v>3.54622552258896E-3</v>
      </c>
      <c r="M8" s="89">
        <f t="shared" si="2"/>
        <v>3.7819228133162183E-3</v>
      </c>
      <c r="N8" s="89">
        <f t="shared" si="2"/>
        <v>4.0018031947405067E-3</v>
      </c>
      <c r="O8" s="89">
        <f t="shared" si="2"/>
        <v>4.2069927888931831E-3</v>
      </c>
      <c r="P8" s="89">
        <f t="shared" si="2"/>
        <v>4.398537156260731E-3</v>
      </c>
      <c r="Q8" s="89">
        <f t="shared" si="2"/>
        <v>4.5774070509023764E-3</v>
      </c>
      <c r="R8" s="89">
        <f t="shared" si="2"/>
        <v>4.7445037645306287E-3</v>
      </c>
      <c r="S8" s="89">
        <f t="shared" si="2"/>
        <v>4.9006640889138545E-3</v>
      </c>
      <c r="T8" s="89">
        <f t="shared" si="2"/>
        <v>5.0466649238628276E-3</v>
      </c>
      <c r="U8" s="89">
        <f t="shared" si="2"/>
        <v>5.1832275561159002E-3</v>
      </c>
      <c r="V8" s="89">
        <f t="shared" si="2"/>
        <v>5.3110216326291652E-3</v>
      </c>
      <c r="W8" s="89">
        <f t="shared" si="2"/>
        <v>5.430668850099029E-3</v>
      </c>
      <c r="X8" s="44"/>
    </row>
    <row r="9" spans="1:33">
      <c r="A9" s="50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4"/>
    </row>
    <row r="10" spans="1:33">
      <c r="A10" s="74" t="s">
        <v>74</v>
      </c>
      <c r="B10" s="44">
        <f t="shared" ref="B10:W10" si="3">B4</f>
        <v>2014</v>
      </c>
      <c r="C10" s="44">
        <f t="shared" si="3"/>
        <v>2015</v>
      </c>
      <c r="D10" s="44">
        <f t="shared" si="3"/>
        <v>2016</v>
      </c>
      <c r="E10" s="44">
        <f t="shared" si="3"/>
        <v>2017</v>
      </c>
      <c r="F10" s="44">
        <f t="shared" si="3"/>
        <v>2018</v>
      </c>
      <c r="G10" s="44">
        <f t="shared" si="3"/>
        <v>2019</v>
      </c>
      <c r="H10" s="44">
        <f t="shared" si="3"/>
        <v>2020</v>
      </c>
      <c r="I10" s="44">
        <f t="shared" si="3"/>
        <v>2021</v>
      </c>
      <c r="J10" s="44">
        <f t="shared" si="3"/>
        <v>2022</v>
      </c>
      <c r="K10" s="44">
        <f t="shared" si="3"/>
        <v>2023</v>
      </c>
      <c r="L10" s="44">
        <f t="shared" si="3"/>
        <v>2024</v>
      </c>
      <c r="M10" s="44">
        <f t="shared" si="3"/>
        <v>2025</v>
      </c>
      <c r="N10" s="44">
        <f t="shared" si="3"/>
        <v>2026</v>
      </c>
      <c r="O10" s="44">
        <f t="shared" si="3"/>
        <v>2027</v>
      </c>
      <c r="P10" s="44">
        <f t="shared" si="3"/>
        <v>2028</v>
      </c>
      <c r="Q10" s="44">
        <f t="shared" si="3"/>
        <v>2029</v>
      </c>
      <c r="R10" s="44">
        <f t="shared" si="3"/>
        <v>2030</v>
      </c>
      <c r="S10" s="44">
        <f t="shared" si="3"/>
        <v>2031</v>
      </c>
      <c r="T10" s="44">
        <f t="shared" si="3"/>
        <v>2032</v>
      </c>
      <c r="U10" s="44">
        <f t="shared" si="3"/>
        <v>2033</v>
      </c>
      <c r="V10" s="44">
        <f t="shared" si="3"/>
        <v>2034</v>
      </c>
      <c r="W10" s="44">
        <f t="shared" si="3"/>
        <v>2035</v>
      </c>
      <c r="X10" s="44"/>
    </row>
    <row r="11" spans="1:33">
      <c r="A11" s="50" t="s">
        <v>81</v>
      </c>
      <c r="B11" s="89">
        <f t="shared" ref="B11:W11" si="4">B54/1000000</f>
        <v>0</v>
      </c>
      <c r="C11" s="89">
        <f t="shared" si="4"/>
        <v>1.1945299429315329E-3</v>
      </c>
      <c r="D11" s="89">
        <f t="shared" si="4"/>
        <v>2.3063098885783527E-3</v>
      </c>
      <c r="E11" s="89">
        <f t="shared" si="4"/>
        <v>3.3412440718317907E-3</v>
      </c>
      <c r="F11" s="89">
        <f t="shared" si="4"/>
        <v>4.3048146736297003E-3</v>
      </c>
      <c r="G11" s="89">
        <f t="shared" si="4"/>
        <v>5.2021119684825656E-3</v>
      </c>
      <c r="H11" s="89">
        <f t="shared" si="4"/>
        <v>6.037862318727839E-3</v>
      </c>
      <c r="I11" s="89">
        <f t="shared" si="4"/>
        <v>6.8164541693167468E-3</v>
      </c>
      <c r="J11" s="89">
        <f t="shared" si="4"/>
        <v>7.5419621859516752E-3</v>
      </c>
      <c r="K11" s="89">
        <f t="shared" si="4"/>
        <v>8.2181696691908269E-3</v>
      </c>
      <c r="L11" s="89">
        <f t="shared" si="4"/>
        <v>8.8485893676641392E-3</v>
      </c>
      <c r="M11" s="89">
        <f t="shared" si="4"/>
        <v>9.4364828047483005E-3</v>
      </c>
      <c r="N11" s="89">
        <f t="shared" si="4"/>
        <v>9.9848782248809585E-3</v>
      </c>
      <c r="O11" s="89">
        <f t="shared" si="4"/>
        <v>1.0496587258109724E-2</v>
      </c>
      <c r="P11" s="89">
        <f t="shared" si="4"/>
        <v>1.0974220394429048E-2</v>
      </c>
      <c r="Q11" s="89">
        <f t="shared" si="4"/>
        <v>1.1420201352918324E-2</v>
      </c>
      <c r="R11" s="89">
        <f t="shared" si="4"/>
        <v>1.1836780424622204E-2</v>
      </c>
      <c r="S11" s="89">
        <f t="shared" si="4"/>
        <v>1.2226046862475274E-2</v>
      </c>
      <c r="T11" s="89">
        <f t="shared" si="4"/>
        <v>1.2589940386337378E-2</v>
      </c>
      <c r="U11" s="89">
        <f t="shared" si="4"/>
        <v>1.293026186634386E-2</v>
      </c>
      <c r="V11" s="89">
        <f t="shared" si="4"/>
        <v>1.3248683243260293E-2</v>
      </c>
      <c r="W11" s="89">
        <f t="shared" si="4"/>
        <v>1.3546756740339191E-2</v>
      </c>
      <c r="X11" s="44"/>
    </row>
    <row r="12" spans="1:33">
      <c r="A12" s="52" t="s">
        <v>96</v>
      </c>
      <c r="B12" s="91">
        <f t="shared" ref="B12:W12" si="5">B63/1000000</f>
        <v>0</v>
      </c>
      <c r="C12" s="91">
        <f t="shared" si="5"/>
        <v>0</v>
      </c>
      <c r="D12" s="91">
        <f t="shared" si="5"/>
        <v>0</v>
      </c>
      <c r="E12" s="91">
        <f t="shared" si="5"/>
        <v>0</v>
      </c>
      <c r="F12" s="91">
        <f t="shared" si="5"/>
        <v>0</v>
      </c>
      <c r="G12" s="91">
        <f t="shared" si="5"/>
        <v>0</v>
      </c>
      <c r="H12" s="91">
        <f t="shared" si="5"/>
        <v>0</v>
      </c>
      <c r="I12" s="91">
        <f t="shared" si="5"/>
        <v>0</v>
      </c>
      <c r="J12" s="91">
        <f t="shared" si="5"/>
        <v>0</v>
      </c>
      <c r="K12" s="91">
        <f t="shared" si="5"/>
        <v>0</v>
      </c>
      <c r="L12" s="91">
        <f t="shared" si="5"/>
        <v>0</v>
      </c>
      <c r="M12" s="91">
        <f t="shared" si="5"/>
        <v>0</v>
      </c>
      <c r="N12" s="91">
        <f t="shared" si="5"/>
        <v>0</v>
      </c>
      <c r="O12" s="91">
        <f t="shared" si="5"/>
        <v>0</v>
      </c>
      <c r="P12" s="91">
        <f t="shared" si="5"/>
        <v>0</v>
      </c>
      <c r="Q12" s="91">
        <f t="shared" si="5"/>
        <v>0</v>
      </c>
      <c r="R12" s="91">
        <f t="shared" si="5"/>
        <v>0</v>
      </c>
      <c r="S12" s="91">
        <f t="shared" si="5"/>
        <v>0</v>
      </c>
      <c r="T12" s="91">
        <f t="shared" si="5"/>
        <v>0</v>
      </c>
      <c r="U12" s="91">
        <f t="shared" si="5"/>
        <v>0</v>
      </c>
      <c r="V12" s="91">
        <f t="shared" si="5"/>
        <v>0</v>
      </c>
      <c r="W12" s="91">
        <f t="shared" si="5"/>
        <v>0</v>
      </c>
      <c r="X12" s="44"/>
    </row>
    <row r="13" spans="1:33">
      <c r="A13" s="34" t="s">
        <v>75</v>
      </c>
      <c r="B13" s="89">
        <f t="shared" ref="B13:W13" si="6">B12-B11</f>
        <v>0</v>
      </c>
      <c r="C13" s="89">
        <f t="shared" si="6"/>
        <v>-1.1945299429315329E-3</v>
      </c>
      <c r="D13" s="89">
        <f t="shared" si="6"/>
        <v>-2.3063098885783527E-3</v>
      </c>
      <c r="E13" s="89">
        <f t="shared" si="6"/>
        <v>-3.3412440718317907E-3</v>
      </c>
      <c r="F13" s="89">
        <f t="shared" si="6"/>
        <v>-4.3048146736297003E-3</v>
      </c>
      <c r="G13" s="89">
        <f t="shared" si="6"/>
        <v>-5.2021119684825656E-3</v>
      </c>
      <c r="H13" s="89">
        <f t="shared" si="6"/>
        <v>-6.037862318727839E-3</v>
      </c>
      <c r="I13" s="89">
        <f t="shared" si="6"/>
        <v>-6.8164541693167468E-3</v>
      </c>
      <c r="J13" s="89">
        <f t="shared" si="6"/>
        <v>-7.5419621859516752E-3</v>
      </c>
      <c r="K13" s="89">
        <f t="shared" si="6"/>
        <v>-8.2181696691908269E-3</v>
      </c>
      <c r="L13" s="89">
        <f t="shared" si="6"/>
        <v>-8.8485893676641392E-3</v>
      </c>
      <c r="M13" s="89">
        <f t="shared" si="6"/>
        <v>-9.4364828047483005E-3</v>
      </c>
      <c r="N13" s="89">
        <f t="shared" si="6"/>
        <v>-9.9848782248809585E-3</v>
      </c>
      <c r="O13" s="89">
        <f t="shared" si="6"/>
        <v>-1.0496587258109724E-2</v>
      </c>
      <c r="P13" s="89">
        <f t="shared" si="6"/>
        <v>-1.0974220394429048E-2</v>
      </c>
      <c r="Q13" s="89">
        <f t="shared" si="6"/>
        <v>-1.1420201352918324E-2</v>
      </c>
      <c r="R13" s="89">
        <f t="shared" si="6"/>
        <v>-1.1836780424622204E-2</v>
      </c>
      <c r="S13" s="89">
        <f t="shared" si="6"/>
        <v>-1.2226046862475274E-2</v>
      </c>
      <c r="T13" s="89">
        <f t="shared" si="6"/>
        <v>-1.2589940386337378E-2</v>
      </c>
      <c r="U13" s="89">
        <f t="shared" si="6"/>
        <v>-1.293026186634386E-2</v>
      </c>
      <c r="V13" s="89">
        <f t="shared" si="6"/>
        <v>-1.3248683243260293E-2</v>
      </c>
      <c r="W13" s="89">
        <f t="shared" si="6"/>
        <v>-1.3546756740339191E-2</v>
      </c>
      <c r="X13" s="44"/>
    </row>
    <row r="14" spans="1:33">
      <c r="A14" s="51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33">
      <c r="A15" s="12" t="s">
        <v>43</v>
      </c>
    </row>
    <row r="16" spans="1:33">
      <c r="A16" s="38" t="str">
        <f>'Device Energy Use'!A4</f>
        <v>Water Heat Ending</v>
      </c>
      <c r="B16" s="41">
        <f>'Water Heater Stock'!B4</f>
        <v>2014</v>
      </c>
      <c r="C16" s="41">
        <f>'Water Heater Stock'!C4</f>
        <v>2015</v>
      </c>
      <c r="D16" s="41">
        <f>'Water Heater Stock'!D4</f>
        <v>2016</v>
      </c>
      <c r="E16" s="41">
        <f>'Water Heater Stock'!E4</f>
        <v>2017</v>
      </c>
      <c r="F16" s="41">
        <f>'Water Heater Stock'!F4</f>
        <v>2018</v>
      </c>
      <c r="G16" s="41">
        <f>'Water Heater Stock'!G4</f>
        <v>2019</v>
      </c>
      <c r="H16" s="41">
        <f>'Water Heater Stock'!H4</f>
        <v>2020</v>
      </c>
      <c r="I16" s="41">
        <f>'Water Heater Stock'!I4</f>
        <v>2021</v>
      </c>
      <c r="J16" s="41">
        <f>'Water Heater Stock'!J4</f>
        <v>2022</v>
      </c>
      <c r="K16" s="41">
        <f>'Water Heater Stock'!K4</f>
        <v>2023</v>
      </c>
      <c r="L16" s="41">
        <f>'Water Heater Stock'!L4</f>
        <v>2024</v>
      </c>
      <c r="M16" s="41">
        <f>'Water Heater Stock'!M4</f>
        <v>2025</v>
      </c>
      <c r="N16" s="41">
        <f>'Water Heater Stock'!N4</f>
        <v>2026</v>
      </c>
      <c r="O16" s="41">
        <f>'Water Heater Stock'!O4</f>
        <v>2027</v>
      </c>
      <c r="P16" s="41">
        <f>'Water Heater Stock'!P4</f>
        <v>2028</v>
      </c>
      <c r="Q16" s="41">
        <f>'Water Heater Stock'!Q4</f>
        <v>2029</v>
      </c>
      <c r="R16" s="41">
        <f>'Water Heater Stock'!R4</f>
        <v>2030</v>
      </c>
      <c r="S16" s="41">
        <f>'Water Heater Stock'!S4</f>
        <v>2031</v>
      </c>
      <c r="T16" s="41">
        <f>'Water Heater Stock'!T4</f>
        <v>2032</v>
      </c>
      <c r="U16" s="41">
        <f>'Water Heater Stock'!U4</f>
        <v>2033</v>
      </c>
      <c r="V16" s="41">
        <f>'Water Heater Stock'!V4</f>
        <v>2034</v>
      </c>
      <c r="W16" s="41">
        <f>'Water Heater Stock'!W4</f>
        <v>2035</v>
      </c>
    </row>
    <row r="17" spans="1:23" ht="16.5" thickBot="1">
      <c r="A17" s="48" t="s">
        <v>44</v>
      </c>
      <c r="B17" s="49">
        <f t="shared" ref="B17:W17" si="7">SUM(B18:B22)</f>
        <v>21798.404840058425</v>
      </c>
      <c r="C17" s="49">
        <f t="shared" si="7"/>
        <v>21806.47260126991</v>
      </c>
      <c r="D17" s="49">
        <f t="shared" si="7"/>
        <v>21815.489441374892</v>
      </c>
      <c r="E17" s="49">
        <f t="shared" si="7"/>
        <v>21825.383474636743</v>
      </c>
      <c r="F17" s="49">
        <f t="shared" si="7"/>
        <v>21836.087756109304</v>
      </c>
      <c r="G17" s="49">
        <f t="shared" si="7"/>
        <v>21847.53992927658</v>
      </c>
      <c r="H17" s="49">
        <f t="shared" si="7"/>
        <v>21859.681898936113</v>
      </c>
      <c r="I17" s="49">
        <f t="shared" si="7"/>
        <v>21872.459527522209</v>
      </c>
      <c r="J17" s="49">
        <f t="shared" si="7"/>
        <v>21885.822353194133</v>
      </c>
      <c r="K17" s="49">
        <f t="shared" si="7"/>
        <v>21899.723328133994</v>
      </c>
      <c r="L17" s="49">
        <f t="shared" si="7"/>
        <v>21914.118575609995</v>
      </c>
      <c r="M17" s="49">
        <f t="shared" si="7"/>
        <v>21928.967164463756</v>
      </c>
      <c r="N17" s="49">
        <f t="shared" si="7"/>
        <v>21944.230899776347</v>
      </c>
      <c r="O17" s="49">
        <f t="shared" si="7"/>
        <v>21959.874128556359</v>
      </c>
      <c r="P17" s="49">
        <f t="shared" si="7"/>
        <v>21975.863559376059</v>
      </c>
      <c r="Q17" s="49">
        <f t="shared" si="7"/>
        <v>21992.168094958193</v>
      </c>
      <c r="R17" s="49">
        <f t="shared" si="7"/>
        <v>22008.758676787289</v>
      </c>
      <c r="S17" s="49">
        <f t="shared" si="7"/>
        <v>22025.608140885353</v>
      </c>
      <c r="T17" s="49">
        <f t="shared" si="7"/>
        <v>22042.691083953257</v>
      </c>
      <c r="U17" s="49">
        <f t="shared" si="7"/>
        <v>22059.9837391361</v>
      </c>
      <c r="V17" s="49">
        <f t="shared" si="7"/>
        <v>22077.46386072375</v>
      </c>
      <c r="W17" s="49">
        <f t="shared" si="7"/>
        <v>22095.11061714694</v>
      </c>
    </row>
    <row r="18" spans="1:23" ht="16.5" thickTop="1">
      <c r="A18" s="9" t="str">
        <f>'Device Energy Use'!A5</f>
        <v>Electric Resistance</v>
      </c>
      <c r="B18" s="33">
        <f>'Water Heater Stock'!B6*'Device Energy Use'!$D5</f>
        <v>21798.404840058425</v>
      </c>
      <c r="C18" s="33">
        <f>'Water Heater Stock'!C6*'Device Energy Use'!$D5</f>
        <v>20241.39864119756</v>
      </c>
      <c r="D18" s="33">
        <f>'Water Heater Stock'!D6*'Device Energy Use'!$D5</f>
        <v>18795.606895026634</v>
      </c>
      <c r="E18" s="33">
        <f>'Water Heater Stock'!E6*'Device Energy Use'!$D5</f>
        <v>17453.085716366102</v>
      </c>
      <c r="F18" s="33">
        <f>'Water Heater Stock'!F6*'Device Energy Use'!$D5</f>
        <v>16206.458640347542</v>
      </c>
      <c r="G18" s="33">
        <f>'Water Heater Stock'!G6*'Device Energy Use'!$D5</f>
        <v>15048.876092391925</v>
      </c>
      <c r="H18" s="33">
        <f>'Water Heater Stock'!H6*'Device Energy Use'!$D5</f>
        <v>13973.977753189502</v>
      </c>
      <c r="I18" s="33">
        <f>'Water Heater Stock'!I6*'Device Energy Use'!$D5</f>
        <v>12975.857611895393</v>
      </c>
      <c r="J18" s="33">
        <f>'Water Heater Stock'!J6*'Device Energy Use'!$D5</f>
        <v>12049.031515525499</v>
      </c>
      <c r="K18" s="33">
        <f>'Water Heater Stock'!K6*'Device Energy Use'!$D5</f>
        <v>11188.407036252711</v>
      </c>
      <c r="L18" s="33">
        <f>'Water Heater Stock'!L6*'Device Energy Use'!$D5</f>
        <v>10389.255491039105</v>
      </c>
      <c r="M18" s="33">
        <f>'Water Heater Stock'!M6*'Device Energy Use'!$D5</f>
        <v>9647.1859598658484</v>
      </c>
      <c r="N18" s="33">
        <f>'Water Heater Stock'!N6*'Device Energy Use'!$D5</f>
        <v>8958.1211598038353</v>
      </c>
      <c r="O18" s="33">
        <f>'Water Heater Stock'!O6*'Device Energy Use'!$D5</f>
        <v>8318.2750423649704</v>
      </c>
      <c r="P18" s="33">
        <f>'Water Heater Stock'!P6*'Device Energy Use'!$D5</f>
        <v>7724.1319910426682</v>
      </c>
      <c r="Q18" s="33">
        <f>'Water Heater Stock'!Q6*'Device Energy Use'!$D5</f>
        <v>7172.4275047423262</v>
      </c>
      <c r="R18" s="33">
        <f>'Water Heater Stock'!R6*'Device Energy Use'!$D5</f>
        <v>6660.1302609667391</v>
      </c>
      <c r="S18" s="33">
        <f>'Water Heater Stock'!S6*'Device Energy Use'!$D5</f>
        <v>6184.425460202584</v>
      </c>
      <c r="T18" s="33">
        <f>'Water Heater Stock'!T6*'Device Energy Use'!$D5</f>
        <v>5742.6993599935668</v>
      </c>
      <c r="U18" s="33">
        <f>'Water Heater Stock'!U6*'Device Energy Use'!$D5</f>
        <v>5332.5249137226447</v>
      </c>
      <c r="V18" s="33">
        <f>'Water Heater Stock'!V6*'Device Energy Use'!$D5</f>
        <v>4951.6484351955105</v>
      </c>
      <c r="W18" s="33">
        <f>'Water Heater Stock'!W6*'Device Energy Use'!$D5</f>
        <v>4597.9772157538264</v>
      </c>
    </row>
    <row r="19" spans="1:23">
      <c r="A19" s="9" t="str">
        <f>'Device Energy Use'!A6</f>
        <v>HPWH</v>
      </c>
      <c r="B19" s="33">
        <f>'Water Heater Stock'!B7*'Device Energy Use'!$D6</f>
        <v>0</v>
      </c>
      <c r="C19" s="33">
        <f>'Water Heater Stock'!C7*'Device Energy Use'!$D6</f>
        <v>370.54401714081871</v>
      </c>
      <c r="D19" s="33">
        <f>'Water Heater Stock'!D7*'Device Energy Use'!$D6</f>
        <v>713.57265776990732</v>
      </c>
      <c r="E19" s="33">
        <f>'Water Heater Stock'!E7*'Device Energy Use'!$D6</f>
        <v>1031.0536864388534</v>
      </c>
      <c r="F19" s="33">
        <f>'Water Heater Stock'!F7*'Device Energy Use'!$D6</f>
        <v>1324.8144421320603</v>
      </c>
      <c r="G19" s="33">
        <f>'Water Heater Stock'!G7*'Device Energy Use'!$D6</f>
        <v>1596.5518684020872</v>
      </c>
      <c r="H19" s="33">
        <f>'Water Heater Stock'!H7*'Device Energy Use'!$D6</f>
        <v>1847.8418270187744</v>
      </c>
      <c r="I19" s="33">
        <f>'Water Heater Stock'!I7*'Device Energy Use'!$D6</f>
        <v>2080.1477463100696</v>
      </c>
      <c r="J19" s="33">
        <f>'Water Heater Stock'!J7*'Device Energy Use'!$D6</f>
        <v>2294.8286517169558</v>
      </c>
      <c r="K19" s="33">
        <f>'Water Heater Stock'!K7*'Device Energy Use'!$D6</f>
        <v>2493.1466226904572</v>
      </c>
      <c r="L19" s="33">
        <f>'Water Heater Stock'!L7*'Device Energy Use'!$D6</f>
        <v>2676.2737169067541</v>
      </c>
      <c r="M19" s="33">
        <f>'Water Heater Stock'!M7*'Device Energy Use'!$D6</f>
        <v>2845.2983998496074</v>
      </c>
      <c r="N19" s="33">
        <f>'Water Heater Stock'!N7*'Device Energy Use'!$D6</f>
        <v>3001.231515091552</v>
      </c>
      <c r="O19" s="33">
        <f>'Water Heater Stock'!O7*'Device Energy Use'!$D6</f>
        <v>3145.011828081665</v>
      </c>
      <c r="P19" s="33">
        <f>'Water Heater Stock'!P7*'Device Energy Use'!$D6</f>
        <v>3277.5111739043432</v>
      </c>
      <c r="Q19" s="33">
        <f>'Water Heater Stock'!Q7*'Device Energy Use'!$D6</f>
        <v>3399.539237297543</v>
      </c>
      <c r="R19" s="33">
        <f>'Water Heater Stock'!R7*'Device Energy Use'!$D6</f>
        <v>3511.8479911983463</v>
      </c>
      <c r="S19" s="33">
        <f>'Water Heater Stock'!S7*'Device Energy Use'!$D6</f>
        <v>3615.1358182074982</v>
      </c>
      <c r="T19" s="33">
        <f>'Water Heater Stock'!T7*'Device Energy Use'!$D6</f>
        <v>3710.0513376223157</v>
      </c>
      <c r="U19" s="33">
        <f>'Water Heater Stock'!U7*'Device Energy Use'!$D6</f>
        <v>3797.196959069599</v>
      </c>
      <c r="V19" s="33">
        <f>'Water Heater Stock'!V7*'Device Energy Use'!$D6</f>
        <v>3877.1321822679447</v>
      </c>
      <c r="W19" s="33">
        <f>'Water Heater Stock'!W7*'Device Energy Use'!$D6</f>
        <v>3950.3766610539205</v>
      </c>
    </row>
    <row r="20" spans="1:23">
      <c r="A20" s="9" t="str">
        <f>'Device Energy Use'!A7</f>
        <v>Gas Tank</v>
      </c>
      <c r="B20" s="33">
        <f>'Water Heater Stock'!B8*'Device Energy Use'!$D7</f>
        <v>0</v>
      </c>
      <c r="C20" s="33">
        <f>'Water Heater Stock'!C8*'Device Energy Use'!$D7</f>
        <v>0.13196846227728512</v>
      </c>
      <c r="D20" s="33">
        <f>'Water Heater Stock'!D8*'Device Energy Use'!$D7</f>
        <v>0.25343101459464973</v>
      </c>
      <c r="E20" s="33">
        <f>'Water Heater Stock'!E8*'Device Energy Use'!$D7</f>
        <v>0.36514343875526034</v>
      </c>
      <c r="F20" s="33">
        <f>'Water Heater Stock'!F8*'Device Energy Use'!$D7</f>
        <v>0.46780763651114748</v>
      </c>
      <c r="G20" s="33">
        <f>'Water Heater Stock'!G8*'Device Energy Use'!$D7</f>
        <v>0.56207547543554537</v>
      </c>
      <c r="H20" s="33">
        <f>'Water Heater Stock'!H8*'Device Energy Use'!$D7</f>
        <v>0.648552360064789</v>
      </c>
      <c r="I20" s="33">
        <f>'Water Heater Stock'!I8*'Device Energy Use'!$D7</f>
        <v>0.72780054793592219</v>
      </c>
      <c r="J20" s="33">
        <f>'Water Heater Stock'!J8*'Device Energy Use'!$D7</f>
        <v>0.80034222874429328</v>
      </c>
      <c r="K20" s="33">
        <f>'Water Heater Stock'!K8*'Device Energy Use'!$D7</f>
        <v>0.86666238354367131</v>
      </c>
      <c r="L20" s="33">
        <f>'Water Heater Stock'!L8*'Device Energy Use'!$D7</f>
        <v>0.9272114397026372</v>
      </c>
      <c r="M20" s="33">
        <f>'Water Heater Stock'!M8*'Device Energy Use'!$D7</f>
        <v>0.98240773620858368</v>
      </c>
      <c r="N20" s="33">
        <f>'Water Heater Stock'!N8*'Device Energy Use'!$D7</f>
        <v>1.0326398128683865</v>
      </c>
      <c r="O20" s="33">
        <f>'Water Heater Stock'!O8*'Device Energy Use'!$D7</f>
        <v>1.0782685359869946</v>
      </c>
      <c r="P20" s="33">
        <f>'Water Heater Stock'!P8*'Device Energy Use'!$D7</f>
        <v>1.1196290722064963</v>
      </c>
      <c r="Q20" s="33">
        <f>'Water Heater Stock'!Q8*'Device Energy Use'!$D7</f>
        <v>1.1570327213537195</v>
      </c>
      <c r="R20" s="33">
        <f>'Water Heater Stock'!R8*'Device Energy Use'!$D7</f>
        <v>1.1907686183695165</v>
      </c>
      <c r="S20" s="33">
        <f>'Water Heater Stock'!S8*'Device Energy Use'!$D7</f>
        <v>1.2211053136733427</v>
      </c>
      <c r="T20" s="33">
        <f>'Water Heater Stock'!T8*'Device Energy Use'!$D7</f>
        <v>1.2482922406485795</v>
      </c>
      <c r="U20" s="33">
        <f>'Water Heater Stock'!U8*'Device Energy Use'!$D7</f>
        <v>1.2725610783136112</v>
      </c>
      <c r="V20" s="33">
        <f>'Water Heater Stock'!V8*'Device Energy Use'!$D7</f>
        <v>1.2941270166675585</v>
      </c>
      <c r="W20" s="33">
        <f>'Water Heater Stock'!W8*'Device Energy Use'!$D7</f>
        <v>1.3131899316645848</v>
      </c>
    </row>
    <row r="21" spans="1:23">
      <c r="A21" s="9" t="str">
        <f>'Device Energy Use'!A8</f>
        <v>Instant Gas</v>
      </c>
      <c r="B21" s="33">
        <f>'Water Heater Stock'!B9*'Device Energy Use'!$D8</f>
        <v>0</v>
      </c>
      <c r="C21" s="33">
        <f>'Water Heater Stock'!C9*'Device Energy Use'!$D8</f>
        <v>327.49595918495601</v>
      </c>
      <c r="D21" s="33">
        <f>'Water Heater Stock'!D9*'Device Energy Use'!$D8</f>
        <v>633.31368287266855</v>
      </c>
      <c r="E21" s="33">
        <f>'Water Heater Stock'!E9*'Device Energy Use'!$D8</f>
        <v>919.01265385556655</v>
      </c>
      <c r="F21" s="33">
        <f>'Water Heater Stock'!F9*'Device Energy Use'!$D8</f>
        <v>1186.0408973287238</v>
      </c>
      <c r="G21" s="33">
        <f>'Water Heater Stock'!G9*'Device Energy Use'!$D8</f>
        <v>1435.7429384884692</v>
      </c>
      <c r="H21" s="33">
        <f>'Water Heater Stock'!H9*'Device Energy Use'!$D8</f>
        <v>1669.3671916871015</v>
      </c>
      <c r="I21" s="33">
        <f>'Water Heater Stock'!I9*'Device Energy Use'!$D8</f>
        <v>1888.0728217481119</v>
      </c>
      <c r="J21" s="33">
        <f>'Water Heater Stock'!J9*'Device Energy Use'!$D8</f>
        <v>2092.936115146083</v>
      </c>
      <c r="K21" s="33">
        <f>'Water Heater Stock'!K9*'Device Energy Use'!$D8</f>
        <v>2284.9563960623482</v>
      </c>
      <c r="L21" s="33">
        <f>'Water Heater Stock'!L9*'Device Energy Use'!$D8</f>
        <v>2465.0615198267924</v>
      </c>
      <c r="M21" s="33">
        <f>'Water Heater Stock'!M9*'Device Energy Use'!$D8</f>
        <v>2634.1129739340754</v>
      </c>
      <c r="N21" s="33">
        <f>'Water Heater Stock'!N9*'Device Energy Use'!$D8</f>
        <v>2792.9106146663362</v>
      </c>
      <c r="O21" s="33">
        <f>'Water Heater Stock'!O9*'Device Energy Use'!$D8</f>
        <v>2942.1970653522326</v>
      </c>
      <c r="P21" s="33">
        <f>'Water Heater Stock'!P9*'Device Energy Use'!$D8</f>
        <v>3082.6618004329589</v>
      </c>
      <c r="Q21" s="33">
        <f>'Water Heater Stock'!Q9*'Device Energy Use'!$D8</f>
        <v>3214.9449377795131</v>
      </c>
      <c r="R21" s="33">
        <f>'Water Heater Stock'!R9*'Device Energy Use'!$D8</f>
        <v>3339.640760102382</v>
      </c>
      <c r="S21" s="33">
        <f>'Water Heater Stock'!S9*'Device Energy Use'!$D8</f>
        <v>3457.3009848062488</v>
      </c>
      <c r="T21" s="33">
        <f>'Water Heater Stock'!T9*'Device Energy Use'!$D8</f>
        <v>3568.4378002600806</v>
      </c>
      <c r="U21" s="33">
        <f>'Water Heater Stock'!U9*'Device Energy Use'!$D8</f>
        <v>3673.5266851694223</v>
      </c>
      <c r="V21" s="33">
        <f>'Water Heater Stock'!V9*'Device Energy Use'!$D8</f>
        <v>3773.0090265459021</v>
      </c>
      <c r="W21" s="33">
        <f>'Water Heater Stock'!W9*'Device Energy Use'!$D8</f>
        <v>3867.2945506622318</v>
      </c>
    </row>
    <row r="22" spans="1:23">
      <c r="A22" s="9" t="str">
        <f>'Device Energy Use'!A9</f>
        <v>Condensing Gas</v>
      </c>
      <c r="B22" s="33">
        <f>'Water Heater Stock'!B10*'Device Energy Use'!$D9</f>
        <v>0</v>
      </c>
      <c r="C22" s="33">
        <f>'Water Heater Stock'!C10*'Device Energy Use'!$D9</f>
        <v>866.90201528429975</v>
      </c>
      <c r="D22" s="33">
        <f>'Water Heater Stock'!D10*'Device Energy Use'!$D9</f>
        <v>1672.7427746910896</v>
      </c>
      <c r="E22" s="33">
        <f>'Water Heater Stock'!E10*'Device Energy Use'!$D9</f>
        <v>2421.8662745374691</v>
      </c>
      <c r="F22" s="33">
        <f>'Water Heater Stock'!F10*'Device Energy Use'!$D9</f>
        <v>3118.3059686644651</v>
      </c>
      <c r="G22" s="33">
        <f>'Water Heater Stock'!G10*'Device Energy Use'!$D9</f>
        <v>3765.8069545186609</v>
      </c>
      <c r="H22" s="33">
        <f>'Water Heater Stock'!H10*'Device Energy Use'!$D9</f>
        <v>4367.8465746806723</v>
      </c>
      <c r="I22" s="33">
        <f>'Water Heater Stock'!I10*'Device Energy Use'!$D9</f>
        <v>4927.6535470206991</v>
      </c>
      <c r="J22" s="33">
        <f>'Water Heater Stock'!J10*'Device Energy Use'!$D9</f>
        <v>5448.2257285768483</v>
      </c>
      <c r="K22" s="33">
        <f>'Water Heater Stock'!K10*'Device Energy Use'!$D9</f>
        <v>5932.3466107449349</v>
      </c>
      <c r="L22" s="33">
        <f>'Water Heater Stock'!L10*'Device Energy Use'!$D9</f>
        <v>6382.600636397643</v>
      </c>
      <c r="M22" s="33">
        <f>'Water Heater Stock'!M10*'Device Energy Use'!$D9</f>
        <v>6801.3874230780166</v>
      </c>
      <c r="N22" s="33">
        <f>'Water Heater Stock'!N10*'Device Energy Use'!$D9</f>
        <v>7190.9349704017532</v>
      </c>
      <c r="O22" s="33">
        <f>'Water Heater Stock'!O10*'Device Energy Use'!$D9</f>
        <v>7553.3119242215053</v>
      </c>
      <c r="P22" s="33">
        <f>'Water Heater Stock'!P10*'Device Energy Use'!$D9</f>
        <v>7890.4389649238828</v>
      </c>
      <c r="Q22" s="33">
        <f>'Water Heater Stock'!Q10*'Device Energy Use'!$D9</f>
        <v>8204.0993824174584</v>
      </c>
      <c r="R22" s="33">
        <f>'Water Heater Stock'!R10*'Device Energy Use'!$D9</f>
        <v>8495.9488959014525</v>
      </c>
      <c r="S22" s="33">
        <f>'Water Heater Stock'!S10*'Device Energy Use'!$D9</f>
        <v>8767.5247723553512</v>
      </c>
      <c r="T22" s="33">
        <f>'Water Heater Stock'!T10*'Device Energy Use'!$D9</f>
        <v>9020.2542938366478</v>
      </c>
      <c r="U22" s="33">
        <f>'Water Heater Stock'!U10*'Device Energy Use'!$D9</f>
        <v>9255.4626200961229</v>
      </c>
      <c r="V22" s="33">
        <f>'Water Heater Stock'!V10*'Device Energy Use'!$D9</f>
        <v>9474.3800896977227</v>
      </c>
      <c r="W22" s="33">
        <f>'Water Heater Stock'!W10*'Device Energy Use'!$D9</f>
        <v>9678.1489997452954</v>
      </c>
    </row>
    <row r="24" spans="1:23">
      <c r="A24" s="12" t="s">
        <v>97</v>
      </c>
    </row>
    <row r="25" spans="1:23">
      <c r="A25" s="38" t="str">
        <f>'Device Energy Use'!A4</f>
        <v>Water Heat Ending</v>
      </c>
      <c r="B25" s="41">
        <f>'Water Heater Stock'!B4</f>
        <v>2014</v>
      </c>
      <c r="C25" s="41">
        <f>'Water Heater Stock'!C4</f>
        <v>2015</v>
      </c>
      <c r="D25" s="41">
        <f>'Water Heater Stock'!D4</f>
        <v>2016</v>
      </c>
      <c r="E25" s="41">
        <f>'Water Heater Stock'!E4</f>
        <v>2017</v>
      </c>
      <c r="F25" s="41">
        <f>'Water Heater Stock'!F4</f>
        <v>2018</v>
      </c>
      <c r="G25" s="41">
        <f>'Water Heater Stock'!G4</f>
        <v>2019</v>
      </c>
      <c r="H25" s="41">
        <f>'Water Heater Stock'!H4</f>
        <v>2020</v>
      </c>
      <c r="I25" s="41">
        <f>'Water Heater Stock'!I4</f>
        <v>2021</v>
      </c>
      <c r="J25" s="41">
        <f>'Water Heater Stock'!J4</f>
        <v>2022</v>
      </c>
      <c r="K25" s="41">
        <f>'Water Heater Stock'!K4</f>
        <v>2023</v>
      </c>
      <c r="L25" s="41">
        <f>'Water Heater Stock'!L4</f>
        <v>2024</v>
      </c>
      <c r="M25" s="41">
        <f>'Water Heater Stock'!M4</f>
        <v>2025</v>
      </c>
      <c r="N25" s="41">
        <f>'Water Heater Stock'!N4</f>
        <v>2026</v>
      </c>
      <c r="O25" s="41">
        <f>'Water Heater Stock'!O4</f>
        <v>2027</v>
      </c>
      <c r="P25" s="41">
        <f>'Water Heater Stock'!P4</f>
        <v>2028</v>
      </c>
      <c r="Q25" s="41">
        <f>'Water Heater Stock'!Q4</f>
        <v>2029</v>
      </c>
      <c r="R25" s="41">
        <f>'Water Heater Stock'!R4</f>
        <v>2030</v>
      </c>
      <c r="S25" s="41">
        <f>'Water Heater Stock'!S4</f>
        <v>2031</v>
      </c>
      <c r="T25" s="41">
        <f>'Water Heater Stock'!T4</f>
        <v>2032</v>
      </c>
      <c r="U25" s="41">
        <f>'Water Heater Stock'!U4</f>
        <v>2033</v>
      </c>
      <c r="V25" s="41">
        <f>'Water Heater Stock'!V4</f>
        <v>2034</v>
      </c>
      <c r="W25" s="41">
        <f>'Water Heater Stock'!W4</f>
        <v>2035</v>
      </c>
    </row>
    <row r="26" spans="1:23" ht="16.5" thickBot="1">
      <c r="A26" s="48" t="s">
        <v>44</v>
      </c>
      <c r="B26" s="49">
        <f t="shared" ref="B26:W26" si="8">SUM(B27:B31)</f>
        <v>21798.404840058425</v>
      </c>
      <c r="C26" s="49">
        <f t="shared" si="8"/>
        <v>21090.582274732165</v>
      </c>
      <c r="D26" s="49">
        <f t="shared" si="8"/>
        <v>20433.318464072065</v>
      </c>
      <c r="E26" s="49">
        <f t="shared" si="8"/>
        <v>19823.002068459122</v>
      </c>
      <c r="F26" s="49">
        <f t="shared" si="8"/>
        <v>19256.279701104242</v>
      </c>
      <c r="G26" s="49">
        <f t="shared" si="8"/>
        <v>18730.037502846135</v>
      </c>
      <c r="H26" s="49">
        <f t="shared" si="8"/>
        <v>18241.384033035043</v>
      </c>
      <c r="I26" s="49">
        <f t="shared" si="8"/>
        <v>17787.634382496166</v>
      </c>
      <c r="J26" s="49">
        <f t="shared" si="8"/>
        <v>17366.295421281495</v>
      </c>
      <c r="K26" s="49">
        <f t="shared" si="8"/>
        <v>16975.052100153589</v>
      </c>
      <c r="L26" s="49">
        <f t="shared" si="8"/>
        <v>16611.75473053482</v>
      </c>
      <c r="M26" s="49">
        <f t="shared" si="8"/>
        <v>16274.407173031674</v>
      </c>
      <c r="N26" s="49">
        <f t="shared" si="8"/>
        <v>15961.155869635895</v>
      </c>
      <c r="O26" s="49">
        <f t="shared" si="8"/>
        <v>15670.279659339816</v>
      </c>
      <c r="P26" s="49">
        <f t="shared" si="8"/>
        <v>15400.180321207743</v>
      </c>
      <c r="Q26" s="49">
        <f t="shared" si="8"/>
        <v>15149.373792942246</v>
      </c>
      <c r="R26" s="49">
        <f t="shared" si="8"/>
        <v>14916.482016695714</v>
      </c>
      <c r="S26" s="49">
        <f t="shared" si="8"/>
        <v>14700.225367323936</v>
      </c>
      <c r="T26" s="49">
        <f t="shared" si="8"/>
        <v>14499.415621478711</v>
      </c>
      <c r="U26" s="49">
        <f t="shared" si="8"/>
        <v>14312.949428908145</v>
      </c>
      <c r="V26" s="49">
        <f t="shared" si="8"/>
        <v>14139.80225009262</v>
      </c>
      <c r="W26" s="49">
        <f t="shared" si="8"/>
        <v>13979.022726906776</v>
      </c>
    </row>
    <row r="27" spans="1:23" ht="16.5" thickTop="1">
      <c r="A27" s="14" t="str">
        <f>'Device Energy Use'!A5</f>
        <v>Electric Resistance</v>
      </c>
      <c r="B27" s="33">
        <f>'Water Heater Stock'!B15*'Device Energy Use'!$D5</f>
        <v>21798.404840058425</v>
      </c>
      <c r="C27" s="33">
        <f>'Water Heater Stock'!C15*'Device Energy Use'!$D5</f>
        <v>20241.375922911393</v>
      </c>
      <c r="D27" s="33">
        <f>'Water Heater Stock'!D15*'Device Energy Use'!$D5</f>
        <v>18795.563356989151</v>
      </c>
      <c r="E27" s="33">
        <f>'Water Heater Stock'!E15*'Device Energy Use'!$D5</f>
        <v>17453.023117204215</v>
      </c>
      <c r="F27" s="33">
        <f>'Water Heater Stock'!F15*'Device Energy Use'!$D5</f>
        <v>16206.378608832485</v>
      </c>
      <c r="G27" s="33">
        <f>'Water Heater Stock'!G15*'Device Energy Use'!$D5</f>
        <v>15048.780136773021</v>
      </c>
      <c r="H27" s="33">
        <f>'Water Heater Stock'!H15*'Device Energy Use'!$D5</f>
        <v>13973.867269860662</v>
      </c>
      <c r="I27" s="33">
        <f>'Water Heater Stock'!I15*'Device Energy Use'!$D5</f>
        <v>12975.733893442042</v>
      </c>
      <c r="J27" s="33">
        <f>'Water Heater Stock'!J15*'Device Energy Use'!$D5</f>
        <v>12048.895758196182</v>
      </c>
      <c r="K27" s="33">
        <f>'Water Heater Stock'!K15*'Device Energy Use'!$D5</f>
        <v>11188.260346896455</v>
      </c>
      <c r="L27" s="33">
        <f>'Water Heater Stock'!L15*'Device Energy Use'!$D5</f>
        <v>10389.098893546708</v>
      </c>
      <c r="M27" s="33">
        <f>'Water Heater Stock'!M15*'Device Energy Use'!$D5</f>
        <v>9647.0204011505139</v>
      </c>
      <c r="N27" s="33">
        <f>'Water Heater Stock'!N15*'Device Energy Use'!$D5</f>
        <v>8957.9475153540479</v>
      </c>
      <c r="O27" s="33">
        <f>'Water Heater Stock'!O15*'Device Energy Use'!$D5</f>
        <v>8318.0941214001869</v>
      </c>
      <c r="P27" s="33">
        <f>'Water Heater Stock'!P15*'Device Energy Use'!$D5</f>
        <v>7723.944541300174</v>
      </c>
      <c r="Q27" s="33">
        <f>'Water Heater Stock'!Q15*'Device Energy Use'!$D5</f>
        <v>7172.2342169215899</v>
      </c>
      <c r="R27" s="33">
        <f>'Water Heater Stock'!R15*'Device Energy Use'!$D5</f>
        <v>6659.9317728557617</v>
      </c>
      <c r="S27" s="33">
        <f>'Water Heater Stock'!S15*'Device Energy Use'!$D5</f>
        <v>6184.2223605089221</v>
      </c>
      <c r="T27" s="33">
        <f>'Water Heater Stock'!T15*'Device Energy Use'!$D5</f>
        <v>5742.4921919011422</v>
      </c>
      <c r="U27" s="33">
        <f>'Water Heater Stock'!U15*'Device Energy Use'!$D5</f>
        <v>5332.3141781939175</v>
      </c>
      <c r="V27" s="33">
        <f>'Water Heater Stock'!V15*'Device Energy Use'!$D5</f>
        <v>4951.4345940372086</v>
      </c>
      <c r="W27" s="33">
        <f>'Water Heater Stock'!W15*'Device Energy Use'!$D5</f>
        <v>4597.7606944631225</v>
      </c>
    </row>
    <row r="28" spans="1:23">
      <c r="A28" s="14" t="str">
        <f>'Device Energy Use'!A6</f>
        <v>HPWH</v>
      </c>
      <c r="B28" s="33">
        <f>'Water Heater Stock'!B16*'Device Energy Use'!$D6</f>
        <v>0</v>
      </c>
      <c r="C28" s="33">
        <f>'Water Heater Stock'!C16*'Device Energy Use'!$D6</f>
        <v>849.20635182077115</v>
      </c>
      <c r="D28" s="33">
        <f>'Water Heater Stock'!D16*'Device Energy Use'!$D6</f>
        <v>1637.7551070829159</v>
      </c>
      <c r="E28" s="33">
        <f>'Water Heater Stock'!E16*'Device Energy Use'!$D6</f>
        <v>2369.9789512549073</v>
      </c>
      <c r="F28" s="33">
        <f>'Water Heater Stock'!F16*'Device Energy Use'!$D6</f>
        <v>3049.9010922717566</v>
      </c>
      <c r="G28" s="33">
        <f>'Water Heater Stock'!G16*'Device Energy Use'!$D6</f>
        <v>3681.2573660731159</v>
      </c>
      <c r="H28" s="33">
        <f>'Water Heater Stock'!H16*'Device Energy Use'!$D6</f>
        <v>4267.5167631743789</v>
      </c>
      <c r="I28" s="33">
        <f>'Water Heater Stock'!I16*'Device Energy Use'!$D6</f>
        <v>4811.9004890541237</v>
      </c>
      <c r="J28" s="33">
        <f>'Water Heater Stock'!J16*'Device Energy Use'!$D6</f>
        <v>5317.3996630853144</v>
      </c>
      <c r="K28" s="33">
        <f>'Water Heater Stock'!K16*'Device Energy Use'!$D6</f>
        <v>5786.7917532571346</v>
      </c>
      <c r="L28" s="33">
        <f>'Water Heater Stock'!L16*'Device Energy Use'!$D6</f>
        <v>6222.6558369881104</v>
      </c>
      <c r="M28" s="33">
        <f>'Water Heater Stock'!M16*'Device Energy Use'!$D6</f>
        <v>6627.3867718811598</v>
      </c>
      <c r="N28" s="33">
        <f>'Water Heater Stock'!N16*'Device Energy Use'!$D6</f>
        <v>7003.2083542818473</v>
      </c>
      <c r="O28" s="33">
        <f>'Water Heater Stock'!O16*'Device Energy Use'!$D6</f>
        <v>7352.1855379396293</v>
      </c>
      <c r="P28" s="33">
        <f>'Water Heater Stock'!P16*'Device Energy Use'!$D6</f>
        <v>7676.2357799075689</v>
      </c>
      <c r="Q28" s="33">
        <f>'Water Heater Stock'!Q16*'Device Energy Use'!$D6</f>
        <v>7977.1395760206569</v>
      </c>
      <c r="R28" s="33">
        <f>'Water Heater Stock'!R16*'Device Energy Use'!$D6</f>
        <v>8256.5502438399526</v>
      </c>
      <c r="S28" s="33">
        <f>'Water Heater Stock'!S16*'Device Energy Use'!$D6</f>
        <v>8516.0030068150136</v>
      </c>
      <c r="T28" s="33">
        <f>'Water Heater Stock'!T16*'Device Energy Use'!$D6</f>
        <v>8756.9234295775696</v>
      </c>
      <c r="U28" s="33">
        <f>'Water Heater Stock'!U16*'Device Energy Use'!$D6</f>
        <v>8980.6352507142274</v>
      </c>
      <c r="V28" s="33">
        <f>'Water Heater Stock'!V16*'Device Energy Use'!$D6</f>
        <v>9188.3676560554104</v>
      </c>
      <c r="W28" s="33">
        <f>'Water Heater Stock'!W16*'Device Energy Use'!$D6</f>
        <v>9381.2620324436539</v>
      </c>
    </row>
    <row r="29" spans="1:23">
      <c r="A29" s="14" t="str">
        <f>'Device Energy Use'!A7</f>
        <v>Gas Tank</v>
      </c>
      <c r="B29" s="33">
        <f>'Water Heater Stock'!B17*'Device Energy Use'!$D7</f>
        <v>0</v>
      </c>
      <c r="C29" s="33">
        <f>'Water Heater Stock'!C17*'Device Energy Use'!$D7</f>
        <v>0</v>
      </c>
      <c r="D29" s="33">
        <f>'Water Heater Stock'!D17*'Device Energy Use'!$D7</f>
        <v>0</v>
      </c>
      <c r="E29" s="33">
        <f>'Water Heater Stock'!E17*'Device Energy Use'!$D7</f>
        <v>0</v>
      </c>
      <c r="F29" s="33">
        <f>'Water Heater Stock'!F17*'Device Energy Use'!$D7</f>
        <v>0</v>
      </c>
      <c r="G29" s="33">
        <f>'Water Heater Stock'!G17*'Device Energy Use'!$D7</f>
        <v>0</v>
      </c>
      <c r="H29" s="33">
        <f>'Water Heater Stock'!H17*'Device Energy Use'!$D7</f>
        <v>0</v>
      </c>
      <c r="I29" s="33">
        <f>'Water Heater Stock'!I17*'Device Energy Use'!$D7</f>
        <v>0</v>
      </c>
      <c r="J29" s="33">
        <f>'Water Heater Stock'!J17*'Device Energy Use'!$D7</f>
        <v>0</v>
      </c>
      <c r="K29" s="33">
        <f>'Water Heater Stock'!K17*'Device Energy Use'!$D7</f>
        <v>0</v>
      </c>
      <c r="L29" s="33">
        <f>'Water Heater Stock'!L17*'Device Energy Use'!$D7</f>
        <v>0</v>
      </c>
      <c r="M29" s="33">
        <f>'Water Heater Stock'!M17*'Device Energy Use'!$D7</f>
        <v>0</v>
      </c>
      <c r="N29" s="33">
        <f>'Water Heater Stock'!N17*'Device Energy Use'!$D7</f>
        <v>0</v>
      </c>
      <c r="O29" s="33">
        <f>'Water Heater Stock'!O17*'Device Energy Use'!$D7</f>
        <v>0</v>
      </c>
      <c r="P29" s="33">
        <f>'Water Heater Stock'!P17*'Device Energy Use'!$D7</f>
        <v>0</v>
      </c>
      <c r="Q29" s="33">
        <f>'Water Heater Stock'!Q17*'Device Energy Use'!$D7</f>
        <v>0</v>
      </c>
      <c r="R29" s="33">
        <f>'Water Heater Stock'!R17*'Device Energy Use'!$D7</f>
        <v>0</v>
      </c>
      <c r="S29" s="33">
        <f>'Water Heater Stock'!S17*'Device Energy Use'!$D7</f>
        <v>0</v>
      </c>
      <c r="T29" s="33">
        <f>'Water Heater Stock'!T17*'Device Energy Use'!$D7</f>
        <v>0</v>
      </c>
      <c r="U29" s="33">
        <f>'Water Heater Stock'!U17*'Device Energy Use'!$D7</f>
        <v>0</v>
      </c>
      <c r="V29" s="33">
        <f>'Water Heater Stock'!V17*'Device Energy Use'!$D7</f>
        <v>0</v>
      </c>
      <c r="W29" s="33">
        <f>'Water Heater Stock'!W17*'Device Energy Use'!$D7</f>
        <v>0</v>
      </c>
    </row>
    <row r="30" spans="1:23">
      <c r="A30" s="14" t="str">
        <f>'Device Energy Use'!A8</f>
        <v>Instant Gas</v>
      </c>
      <c r="B30" s="33">
        <f>'Water Heater Stock'!B18*'Device Energy Use'!$D8</f>
        <v>0</v>
      </c>
      <c r="C30" s="33">
        <f>'Water Heater Stock'!C18*'Device Energy Use'!$D8</f>
        <v>0</v>
      </c>
      <c r="D30" s="33">
        <f>'Water Heater Stock'!D18*'Device Energy Use'!$D8</f>
        <v>0</v>
      </c>
      <c r="E30" s="33">
        <f>'Water Heater Stock'!E18*'Device Energy Use'!$D8</f>
        <v>0</v>
      </c>
      <c r="F30" s="33">
        <f>'Water Heater Stock'!F18*'Device Energy Use'!$D8</f>
        <v>0</v>
      </c>
      <c r="G30" s="33">
        <f>'Water Heater Stock'!G18*'Device Energy Use'!$D8</f>
        <v>0</v>
      </c>
      <c r="H30" s="33">
        <f>'Water Heater Stock'!H18*'Device Energy Use'!$D8</f>
        <v>0</v>
      </c>
      <c r="I30" s="33">
        <f>'Water Heater Stock'!I18*'Device Energy Use'!$D8</f>
        <v>0</v>
      </c>
      <c r="J30" s="33">
        <f>'Water Heater Stock'!J18*'Device Energy Use'!$D8</f>
        <v>0</v>
      </c>
      <c r="K30" s="33">
        <f>'Water Heater Stock'!K18*'Device Energy Use'!$D8</f>
        <v>0</v>
      </c>
      <c r="L30" s="33">
        <f>'Water Heater Stock'!L18*'Device Energy Use'!$D8</f>
        <v>0</v>
      </c>
      <c r="M30" s="33">
        <f>'Water Heater Stock'!M18*'Device Energy Use'!$D8</f>
        <v>0</v>
      </c>
      <c r="N30" s="33">
        <f>'Water Heater Stock'!N18*'Device Energy Use'!$D8</f>
        <v>0</v>
      </c>
      <c r="O30" s="33">
        <f>'Water Heater Stock'!O18*'Device Energy Use'!$D8</f>
        <v>0</v>
      </c>
      <c r="P30" s="33">
        <f>'Water Heater Stock'!P18*'Device Energy Use'!$D8</f>
        <v>0</v>
      </c>
      <c r="Q30" s="33">
        <f>'Water Heater Stock'!Q18*'Device Energy Use'!$D8</f>
        <v>0</v>
      </c>
      <c r="R30" s="33">
        <f>'Water Heater Stock'!R18*'Device Energy Use'!$D8</f>
        <v>0</v>
      </c>
      <c r="S30" s="33">
        <f>'Water Heater Stock'!S18*'Device Energy Use'!$D8</f>
        <v>0</v>
      </c>
      <c r="T30" s="33">
        <f>'Water Heater Stock'!T18*'Device Energy Use'!$D8</f>
        <v>0</v>
      </c>
      <c r="U30" s="33">
        <f>'Water Heater Stock'!U18*'Device Energy Use'!$D8</f>
        <v>0</v>
      </c>
      <c r="V30" s="33">
        <f>'Water Heater Stock'!V18*'Device Energy Use'!$D8</f>
        <v>0</v>
      </c>
      <c r="W30" s="33">
        <f>'Water Heater Stock'!W18*'Device Energy Use'!$D8</f>
        <v>0</v>
      </c>
    </row>
    <row r="31" spans="1:23">
      <c r="A31" s="14" t="str">
        <f>'Device Energy Use'!A9</f>
        <v>Condensing Gas</v>
      </c>
      <c r="B31" s="33">
        <f>'Water Heater Stock'!B19*'Device Energy Use'!$D9</f>
        <v>0</v>
      </c>
      <c r="C31" s="33">
        <f>'Water Heater Stock'!C19*'Device Energy Use'!$D9</f>
        <v>0</v>
      </c>
      <c r="D31" s="33">
        <f>'Water Heater Stock'!D19*'Device Energy Use'!$D9</f>
        <v>0</v>
      </c>
      <c r="E31" s="33">
        <f>'Water Heater Stock'!E19*'Device Energy Use'!$D9</f>
        <v>0</v>
      </c>
      <c r="F31" s="33">
        <f>'Water Heater Stock'!F19*'Device Energy Use'!$D9</f>
        <v>0</v>
      </c>
      <c r="G31" s="33">
        <f>'Water Heater Stock'!G19*'Device Energy Use'!$D9</f>
        <v>0</v>
      </c>
      <c r="H31" s="33">
        <f>'Water Heater Stock'!H19*'Device Energy Use'!$D9</f>
        <v>0</v>
      </c>
      <c r="I31" s="33">
        <f>'Water Heater Stock'!I19*'Device Energy Use'!$D9</f>
        <v>0</v>
      </c>
      <c r="J31" s="33">
        <f>'Water Heater Stock'!J19*'Device Energy Use'!$D9</f>
        <v>0</v>
      </c>
      <c r="K31" s="33">
        <f>'Water Heater Stock'!K19*'Device Energy Use'!$D9</f>
        <v>0</v>
      </c>
      <c r="L31" s="33">
        <f>'Water Heater Stock'!L19*'Device Energy Use'!$D9</f>
        <v>0</v>
      </c>
      <c r="M31" s="33">
        <f>'Water Heater Stock'!M19*'Device Energy Use'!$D9</f>
        <v>0</v>
      </c>
      <c r="N31" s="33">
        <f>'Water Heater Stock'!N19*'Device Energy Use'!$D9</f>
        <v>0</v>
      </c>
      <c r="O31" s="33">
        <f>'Water Heater Stock'!O19*'Device Energy Use'!$D9</f>
        <v>0</v>
      </c>
      <c r="P31" s="33">
        <f>'Water Heater Stock'!P19*'Device Energy Use'!$D9</f>
        <v>0</v>
      </c>
      <c r="Q31" s="33">
        <f>'Water Heater Stock'!Q19*'Device Energy Use'!$D9</f>
        <v>0</v>
      </c>
      <c r="R31" s="33">
        <f>'Water Heater Stock'!R19*'Device Energy Use'!$D9</f>
        <v>0</v>
      </c>
      <c r="S31" s="33">
        <f>'Water Heater Stock'!S19*'Device Energy Use'!$D9</f>
        <v>0</v>
      </c>
      <c r="T31" s="33">
        <f>'Water Heater Stock'!T19*'Device Energy Use'!$D9</f>
        <v>0</v>
      </c>
      <c r="U31" s="33">
        <f>'Water Heater Stock'!U19*'Device Energy Use'!$D9</f>
        <v>0</v>
      </c>
      <c r="V31" s="33">
        <f>'Water Heater Stock'!V19*'Device Energy Use'!$D9</f>
        <v>0</v>
      </c>
      <c r="W31" s="33">
        <f>'Water Heater Stock'!W19*'Device Energy Use'!$D9</f>
        <v>0</v>
      </c>
    </row>
    <row r="34" spans="1:23">
      <c r="A34" s="12" t="s">
        <v>45</v>
      </c>
    </row>
    <row r="35" spans="1:23">
      <c r="A35" s="38" t="str">
        <f>'Device Energy Use'!A4</f>
        <v>Water Heat Ending</v>
      </c>
      <c r="B35" s="41">
        <f>'Water Heater Stock'!B4</f>
        <v>2014</v>
      </c>
      <c r="C35" s="41">
        <f>'Water Heater Stock'!C4</f>
        <v>2015</v>
      </c>
      <c r="D35" s="41">
        <f>'Water Heater Stock'!D4</f>
        <v>2016</v>
      </c>
      <c r="E35" s="41">
        <f>'Water Heater Stock'!E4</f>
        <v>2017</v>
      </c>
      <c r="F35" s="41">
        <f>'Water Heater Stock'!F4</f>
        <v>2018</v>
      </c>
      <c r="G35" s="41">
        <f>'Water Heater Stock'!G4</f>
        <v>2019</v>
      </c>
      <c r="H35" s="41">
        <f>'Water Heater Stock'!H4</f>
        <v>2020</v>
      </c>
      <c r="I35" s="41">
        <f>'Water Heater Stock'!I4</f>
        <v>2021</v>
      </c>
      <c r="J35" s="41">
        <f>'Water Heater Stock'!J4</f>
        <v>2022</v>
      </c>
      <c r="K35" s="41">
        <f>'Water Heater Stock'!K4</f>
        <v>2023</v>
      </c>
      <c r="L35" s="41">
        <f>'Water Heater Stock'!L4</f>
        <v>2024</v>
      </c>
      <c r="M35" s="41">
        <f>'Water Heater Stock'!M4</f>
        <v>2025</v>
      </c>
      <c r="N35" s="41">
        <f>'Water Heater Stock'!N4</f>
        <v>2026</v>
      </c>
      <c r="O35" s="41">
        <f>'Water Heater Stock'!O4</f>
        <v>2027</v>
      </c>
      <c r="P35" s="41">
        <f>'Water Heater Stock'!P4</f>
        <v>2028</v>
      </c>
      <c r="Q35" s="41">
        <f>'Water Heater Stock'!Q4</f>
        <v>2029</v>
      </c>
      <c r="R35" s="41">
        <f>'Water Heater Stock'!R4</f>
        <v>2030</v>
      </c>
      <c r="S35" s="41">
        <f>'Water Heater Stock'!S4</f>
        <v>2031</v>
      </c>
      <c r="T35" s="41">
        <f>'Water Heater Stock'!T4</f>
        <v>2032</v>
      </c>
      <c r="U35" s="41">
        <f>'Water Heater Stock'!U4</f>
        <v>2033</v>
      </c>
      <c r="V35" s="41">
        <f>'Water Heater Stock'!V4</f>
        <v>2034</v>
      </c>
      <c r="W35" s="41">
        <f>'Water Heater Stock'!W4</f>
        <v>2035</v>
      </c>
    </row>
    <row r="36" spans="1:23" ht="16.5" thickBot="1">
      <c r="A36" s="48" t="s">
        <v>44</v>
      </c>
      <c r="B36" s="49">
        <f t="shared" ref="B36:W36" si="9">SUM(B37:B41)</f>
        <v>6388.747022291449</v>
      </c>
      <c r="C36" s="49">
        <f t="shared" si="9"/>
        <v>6041.0148471097245</v>
      </c>
      <c r="D36" s="49">
        <f t="shared" si="9"/>
        <v>5717.8134679942968</v>
      </c>
      <c r="E36" s="49">
        <f t="shared" si="9"/>
        <v>5417.3913841749591</v>
      </c>
      <c r="F36" s="49">
        <f t="shared" si="9"/>
        <v>5138.1222398826503</v>
      </c>
      <c r="G36" s="49">
        <f t="shared" si="9"/>
        <v>4878.495885344083</v>
      </c>
      <c r="H36" s="49">
        <f t="shared" si="9"/>
        <v>4637.1100762626838</v>
      </c>
      <c r="I36" s="49">
        <f t="shared" si="9"/>
        <v>4412.6627661797957</v>
      </c>
      <c r="J36" s="49">
        <f t="shared" si="9"/>
        <v>4203.9449493676602</v>
      </c>
      <c r="K36" s="49">
        <f t="shared" si="9"/>
        <v>4009.8340149305886</v>
      </c>
      <c r="L36" s="49">
        <f t="shared" si="9"/>
        <v>3829.2875755996065</v>
      </c>
      <c r="M36" s="49">
        <f t="shared" si="9"/>
        <v>3661.3377373140256</v>
      </c>
      <c r="N36" s="49">
        <f t="shared" si="9"/>
        <v>3505.0857781053301</v>
      </c>
      <c r="O36" s="49">
        <f t="shared" si="9"/>
        <v>3359.6972070476654</v>
      </c>
      <c r="P36" s="49">
        <f t="shared" si="9"/>
        <v>3224.3971761274943</v>
      </c>
      <c r="Q36" s="49">
        <f t="shared" si="9"/>
        <v>3098.4662198241117</v>
      </c>
      <c r="R36" s="49">
        <f t="shared" si="9"/>
        <v>2981.2362989932844</v>
      </c>
      <c r="S36" s="49">
        <f t="shared" si="9"/>
        <v>2872.087127318312</v>
      </c>
      <c r="T36" s="49">
        <f t="shared" si="9"/>
        <v>2770.4427601453349</v>
      </c>
      <c r="U36" s="49">
        <f t="shared" si="9"/>
        <v>2675.7684269613846</v>
      </c>
      <c r="V36" s="49">
        <f t="shared" si="9"/>
        <v>2587.5675901123841</v>
      </c>
      <c r="W36" s="49">
        <f t="shared" si="9"/>
        <v>2505.3792136013326</v>
      </c>
    </row>
    <row r="37" spans="1:23" ht="16.5" thickTop="1">
      <c r="A37" s="37" t="str">
        <f>'Device Energy Use'!A5</f>
        <v>Electric Resistance</v>
      </c>
      <c r="B37" s="33">
        <f>'Water Heater Stock'!B6*'Device Energy Use'!$B5/1000</f>
        <v>6388.747022291449</v>
      </c>
      <c r="C37" s="33">
        <f>'Water Heater Stock'!C6*'Device Energy Use'!$B5/1000</f>
        <v>5932.4146076194493</v>
      </c>
      <c r="D37" s="33">
        <f>'Water Heater Stock'!D6*'Device Energy Use'!$B5/1000</f>
        <v>5508.6772845916275</v>
      </c>
      <c r="E37" s="33">
        <f>'Water Heater Stock'!E6*'Device Energy Use'!$B5/1000</f>
        <v>5115.2068336360217</v>
      </c>
      <c r="F37" s="33">
        <f>'Water Heater Stock'!F6*'Device Energy Use'!$B5/1000</f>
        <v>4749.8413365614133</v>
      </c>
      <c r="G37" s="33">
        <f>'Water Heater Stock'!G6*'Device Energy Use'!$B5/1000</f>
        <v>4410.5732978874339</v>
      </c>
      <c r="H37" s="33">
        <f>'Water Heater Stock'!H6*'Device Energy Use'!$B5/1000</f>
        <v>4095.538614651085</v>
      </c>
      <c r="I37" s="33">
        <f>'Water Heater Stock'!I6*'Device Energy Use'!$B5/1000</f>
        <v>3803.0063340842298</v>
      </c>
      <c r="J37" s="33">
        <f>'Water Heater Stock'!J6*'Device Energy Use'!$B5/1000</f>
        <v>3531.3691428855509</v>
      </c>
      <c r="K37" s="33">
        <f>'Water Heater Stock'!K6*'Device Energy Use'!$B5/1000</f>
        <v>3279.1345358302201</v>
      </c>
      <c r="L37" s="33">
        <f>'Water Heater Stock'!L6*'Device Energy Use'!$B5/1000</f>
        <v>3044.9166151931722</v>
      </c>
      <c r="M37" s="33">
        <f>'Water Heater Stock'!M6*'Device Energy Use'!$B5/1000</f>
        <v>2827.4284759278571</v>
      </c>
      <c r="N37" s="33">
        <f>'Water Heater Stock'!N6*'Device Energy Use'!$B5/1000</f>
        <v>2625.4751347607958</v>
      </c>
      <c r="O37" s="33">
        <f>'Water Heater Stock'!O6*'Device Energy Use'!$B5/1000</f>
        <v>2437.9469643508119</v>
      </c>
      <c r="P37" s="33">
        <f>'Water Heater Stock'!P6*'Device Energy Use'!$B5/1000</f>
        <v>2263.8135964368898</v>
      </c>
      <c r="Q37" s="33">
        <f>'Water Heater Stock'!Q6*'Device Energy Use'!$B5/1000</f>
        <v>2102.1182604754767</v>
      </c>
      <c r="R37" s="33">
        <f>'Water Heater Stock'!R6*'Device Energy Use'!$B5/1000</f>
        <v>1951.9725266608264</v>
      </c>
      <c r="S37" s="33">
        <f>'Water Heater Stock'!S6*'Device Energy Use'!$B5/1000</f>
        <v>1812.5514244438991</v>
      </c>
      <c r="T37" s="33">
        <f>'Water Heater Stock'!T6*'Device Energy Use'!$B5/1000</f>
        <v>1683.088909728478</v>
      </c>
      <c r="U37" s="33">
        <f>'Water Heater Stock'!U6*'Device Energy Use'!$B5/1000</f>
        <v>1562.8736558389933</v>
      </c>
      <c r="V37" s="33">
        <f>'Water Heater Stock'!V6*'Device Energy Use'!$B5/1000</f>
        <v>1451.2451451335023</v>
      </c>
      <c r="W37" s="33">
        <f>'Water Heater Stock'!W6*'Device Energy Use'!$B5/1000</f>
        <v>1347.5900397871708</v>
      </c>
    </row>
    <row r="38" spans="1:23">
      <c r="A38" s="37" t="str">
        <f>'Device Energy Use'!A6</f>
        <v>HPWH</v>
      </c>
      <c r="B38" s="33">
        <f>'Water Heater Stock'!B7*'Device Energy Use'!$B6/1000</f>
        <v>0</v>
      </c>
      <c r="C38" s="33">
        <f>'Water Heater Stock'!C7*'Device Energy Use'!$B6/1000</f>
        <v>108.6002394902751</v>
      </c>
      <c r="D38" s="33">
        <f>'Water Heater Stock'!D7*'Device Energy Use'!$B6/1000</f>
        <v>209.13618340266919</v>
      </c>
      <c r="E38" s="33">
        <f>'Water Heater Stock'!E7*'Device Energy Use'!$B6/1000</f>
        <v>302.18455053893706</v>
      </c>
      <c r="F38" s="33">
        <f>'Water Heater Stock'!F7*'Device Energy Use'!$B6/1000</f>
        <v>388.28090332123691</v>
      </c>
      <c r="G38" s="33">
        <f>'Water Heater Stock'!G7*'Device Energy Use'!$B6/1000</f>
        <v>467.92258745664924</v>
      </c>
      <c r="H38" s="33">
        <f>'Water Heater Stock'!H7*'Device Energy Use'!$B6/1000</f>
        <v>541.57146161159847</v>
      </c>
      <c r="I38" s="33">
        <f>'Water Heater Stock'!I7*'Device Energy Use'!$B6/1000</f>
        <v>609.65643209556538</v>
      </c>
      <c r="J38" s="33">
        <f>'Water Heater Stock'!J7*'Device Energy Use'!$B6/1000</f>
        <v>672.57580648210887</v>
      </c>
      <c r="K38" s="33">
        <f>'Water Heater Stock'!K7*'Device Energy Use'!$B6/1000</f>
        <v>730.69947910036842</v>
      </c>
      <c r="L38" s="33">
        <f>'Water Heater Stock'!L7*'Device Energy Use'!$B6/1000</f>
        <v>784.37096040643428</v>
      </c>
      <c r="M38" s="33">
        <f>'Water Heater Stock'!M7*'Device Energy Use'!$B6/1000</f>
        <v>833.90926138616851</v>
      </c>
      <c r="N38" s="33">
        <f>'Water Heater Stock'!N7*'Device Energy Use'!$B6/1000</f>
        <v>879.61064334453454</v>
      </c>
      <c r="O38" s="33">
        <f>'Water Heater Stock'!O7*'Device Energy Use'!$B6/1000</f>
        <v>921.75024269685366</v>
      </c>
      <c r="P38" s="33">
        <f>'Water Heater Stock'!P7*'Device Energy Use'!$B6/1000</f>
        <v>960.58357969060455</v>
      </c>
      <c r="Q38" s="33">
        <f>'Water Heater Stock'!Q7*'Device Energy Use'!$B6/1000</f>
        <v>996.34795934863507</v>
      </c>
      <c r="R38" s="33">
        <f>'Water Heater Stock'!R7*'Device Energy Use'!$B6/1000</f>
        <v>1029.2637723324578</v>
      </c>
      <c r="S38" s="33">
        <f>'Water Heater Stock'!S7*'Device Energy Use'!$B6/1000</f>
        <v>1059.5357028744131</v>
      </c>
      <c r="T38" s="33">
        <f>'Water Heater Stock'!T7*'Device Energy Use'!$B6/1000</f>
        <v>1087.3538504168569</v>
      </c>
      <c r="U38" s="33">
        <f>'Water Heater Stock'!U7*'Device Energy Use'!$B6/1000</f>
        <v>1112.8947711223911</v>
      </c>
      <c r="V38" s="33">
        <f>'Water Heater Stock'!V7*'Device Energy Use'!$B6/1000</f>
        <v>1136.3224449788815</v>
      </c>
      <c r="W38" s="33">
        <f>'Water Heater Stock'!W7*'Device Energy Use'!$B6/1000</f>
        <v>1157.7891738141618</v>
      </c>
    </row>
    <row r="39" spans="1:23">
      <c r="A39" s="37" t="str">
        <f>'Device Energy Use'!A7</f>
        <v>Gas Tank</v>
      </c>
      <c r="B39" s="33">
        <f>'Water Heater Stock'!B8*'Device Energy Use'!$B7/1000</f>
        <v>0</v>
      </c>
      <c r="C39" s="33">
        <f>'Water Heater Stock'!C8*'Device Energy Use'!$B7/1000</f>
        <v>0</v>
      </c>
      <c r="D39" s="33">
        <f>'Water Heater Stock'!D8*'Device Energy Use'!$B7/1000</f>
        <v>0</v>
      </c>
      <c r="E39" s="33">
        <f>'Water Heater Stock'!E8*'Device Energy Use'!$B7/1000</f>
        <v>0</v>
      </c>
      <c r="F39" s="33">
        <f>'Water Heater Stock'!F8*'Device Energy Use'!$B7/1000</f>
        <v>0</v>
      </c>
      <c r="G39" s="33">
        <f>'Water Heater Stock'!G8*'Device Energy Use'!$B7/1000</f>
        <v>0</v>
      </c>
      <c r="H39" s="33">
        <f>'Water Heater Stock'!H8*'Device Energy Use'!$B7/1000</f>
        <v>0</v>
      </c>
      <c r="I39" s="33">
        <f>'Water Heater Stock'!I8*'Device Energy Use'!$B7/1000</f>
        <v>0</v>
      </c>
      <c r="J39" s="33">
        <f>'Water Heater Stock'!J8*'Device Energy Use'!$B7/1000</f>
        <v>0</v>
      </c>
      <c r="K39" s="33">
        <f>'Water Heater Stock'!K8*'Device Energy Use'!$B7/1000</f>
        <v>0</v>
      </c>
      <c r="L39" s="33">
        <f>'Water Heater Stock'!L8*'Device Energy Use'!$B7/1000</f>
        <v>0</v>
      </c>
      <c r="M39" s="33">
        <f>'Water Heater Stock'!M8*'Device Energy Use'!$B7/1000</f>
        <v>0</v>
      </c>
      <c r="N39" s="33">
        <f>'Water Heater Stock'!N8*'Device Energy Use'!$B7/1000</f>
        <v>0</v>
      </c>
      <c r="O39" s="33">
        <f>'Water Heater Stock'!O8*'Device Energy Use'!$B7/1000</f>
        <v>0</v>
      </c>
      <c r="P39" s="33">
        <f>'Water Heater Stock'!P8*'Device Energy Use'!$B7/1000</f>
        <v>0</v>
      </c>
      <c r="Q39" s="33">
        <f>'Water Heater Stock'!Q8*'Device Energy Use'!$B7/1000</f>
        <v>0</v>
      </c>
      <c r="R39" s="33">
        <f>'Water Heater Stock'!R8*'Device Energy Use'!$B7/1000</f>
        <v>0</v>
      </c>
      <c r="S39" s="33">
        <f>'Water Heater Stock'!S8*'Device Energy Use'!$B7/1000</f>
        <v>0</v>
      </c>
      <c r="T39" s="33">
        <f>'Water Heater Stock'!T8*'Device Energy Use'!$B7/1000</f>
        <v>0</v>
      </c>
      <c r="U39" s="33">
        <f>'Water Heater Stock'!U8*'Device Energy Use'!$B7/1000</f>
        <v>0</v>
      </c>
      <c r="V39" s="33">
        <f>'Water Heater Stock'!V8*'Device Energy Use'!$B7/1000</f>
        <v>0</v>
      </c>
      <c r="W39" s="33">
        <f>'Water Heater Stock'!W8*'Device Energy Use'!$B7/1000</f>
        <v>0</v>
      </c>
    </row>
    <row r="40" spans="1:23">
      <c r="A40" s="37" t="str">
        <f>'Device Energy Use'!A8</f>
        <v>Instant Gas</v>
      </c>
      <c r="B40" s="33">
        <f>'Water Heater Stock'!B9*'Device Energy Use'!$B8/1000</f>
        <v>0</v>
      </c>
      <c r="C40" s="33">
        <f>'Water Heater Stock'!C9*'Device Energy Use'!$B8/1000</f>
        <v>0</v>
      </c>
      <c r="D40" s="33">
        <f>'Water Heater Stock'!D9*'Device Energy Use'!$B8/1000</f>
        <v>0</v>
      </c>
      <c r="E40" s="33">
        <f>'Water Heater Stock'!E9*'Device Energy Use'!$B8/1000</f>
        <v>0</v>
      </c>
      <c r="F40" s="33">
        <f>'Water Heater Stock'!F9*'Device Energy Use'!$B8/1000</f>
        <v>0</v>
      </c>
      <c r="G40" s="33">
        <f>'Water Heater Stock'!G9*'Device Energy Use'!$B8/1000</f>
        <v>0</v>
      </c>
      <c r="H40" s="33">
        <f>'Water Heater Stock'!H9*'Device Energy Use'!$B8/1000</f>
        <v>0</v>
      </c>
      <c r="I40" s="33">
        <f>'Water Heater Stock'!I9*'Device Energy Use'!$B8/1000</f>
        <v>0</v>
      </c>
      <c r="J40" s="33">
        <f>'Water Heater Stock'!J9*'Device Energy Use'!$B8/1000</f>
        <v>0</v>
      </c>
      <c r="K40" s="33">
        <f>'Water Heater Stock'!K9*'Device Energy Use'!$B8/1000</f>
        <v>0</v>
      </c>
      <c r="L40" s="33">
        <f>'Water Heater Stock'!L9*'Device Energy Use'!$B8/1000</f>
        <v>0</v>
      </c>
      <c r="M40" s="33">
        <f>'Water Heater Stock'!M9*'Device Energy Use'!$B8/1000</f>
        <v>0</v>
      </c>
      <c r="N40" s="33">
        <f>'Water Heater Stock'!N9*'Device Energy Use'!$B8/1000</f>
        <v>0</v>
      </c>
      <c r="O40" s="33">
        <f>'Water Heater Stock'!O9*'Device Energy Use'!$B8/1000</f>
        <v>0</v>
      </c>
      <c r="P40" s="33">
        <f>'Water Heater Stock'!P9*'Device Energy Use'!$B8/1000</f>
        <v>0</v>
      </c>
      <c r="Q40" s="33">
        <f>'Water Heater Stock'!Q9*'Device Energy Use'!$B8/1000</f>
        <v>0</v>
      </c>
      <c r="R40" s="33">
        <f>'Water Heater Stock'!R9*'Device Energy Use'!$B8/1000</f>
        <v>0</v>
      </c>
      <c r="S40" s="33">
        <f>'Water Heater Stock'!S9*'Device Energy Use'!$B8/1000</f>
        <v>0</v>
      </c>
      <c r="T40" s="33">
        <f>'Water Heater Stock'!T9*'Device Energy Use'!$B8/1000</f>
        <v>0</v>
      </c>
      <c r="U40" s="33">
        <f>'Water Heater Stock'!U9*'Device Energy Use'!$B8/1000</f>
        <v>0</v>
      </c>
      <c r="V40" s="33">
        <f>'Water Heater Stock'!V9*'Device Energy Use'!$B8/1000</f>
        <v>0</v>
      </c>
      <c r="W40" s="33">
        <f>'Water Heater Stock'!W9*'Device Energy Use'!$B8/1000</f>
        <v>0</v>
      </c>
    </row>
    <row r="41" spans="1:23">
      <c r="A41" s="37" t="str">
        <f>'Device Energy Use'!A9</f>
        <v>Condensing Gas</v>
      </c>
      <c r="B41" s="33">
        <f>'Water Heater Stock'!B10*'Device Energy Use'!$B9/1000</f>
        <v>0</v>
      </c>
      <c r="C41" s="33">
        <f>'Water Heater Stock'!C10*'Device Energy Use'!$B9/1000</f>
        <v>0</v>
      </c>
      <c r="D41" s="33">
        <f>'Water Heater Stock'!D10*'Device Energy Use'!$B9/1000</f>
        <v>0</v>
      </c>
      <c r="E41" s="33">
        <f>'Water Heater Stock'!E10*'Device Energy Use'!$B9/1000</f>
        <v>0</v>
      </c>
      <c r="F41" s="33">
        <f>'Water Heater Stock'!F10*'Device Energy Use'!$B9/1000</f>
        <v>0</v>
      </c>
      <c r="G41" s="33">
        <f>'Water Heater Stock'!G10*'Device Energy Use'!$B9/1000</f>
        <v>0</v>
      </c>
      <c r="H41" s="33">
        <f>'Water Heater Stock'!H10*'Device Energy Use'!$B9/1000</f>
        <v>0</v>
      </c>
      <c r="I41" s="33">
        <f>'Water Heater Stock'!I10*'Device Energy Use'!$B9/1000</f>
        <v>0</v>
      </c>
      <c r="J41" s="33">
        <f>'Water Heater Stock'!J10*'Device Energy Use'!$B9/1000</f>
        <v>0</v>
      </c>
      <c r="K41" s="33">
        <f>'Water Heater Stock'!K10*'Device Energy Use'!$B9/1000</f>
        <v>0</v>
      </c>
      <c r="L41" s="33">
        <f>'Water Heater Stock'!L10*'Device Energy Use'!$B9/1000</f>
        <v>0</v>
      </c>
      <c r="M41" s="33">
        <f>'Water Heater Stock'!M10*'Device Energy Use'!$B9/1000</f>
        <v>0</v>
      </c>
      <c r="N41" s="33">
        <f>'Water Heater Stock'!N10*'Device Energy Use'!$B9/1000</f>
        <v>0</v>
      </c>
      <c r="O41" s="33">
        <f>'Water Heater Stock'!O10*'Device Energy Use'!$B9/1000</f>
        <v>0</v>
      </c>
      <c r="P41" s="33">
        <f>'Water Heater Stock'!P10*'Device Energy Use'!$B9/1000</f>
        <v>0</v>
      </c>
      <c r="Q41" s="33">
        <f>'Water Heater Stock'!Q10*'Device Energy Use'!$B9/1000</f>
        <v>0</v>
      </c>
      <c r="R41" s="33">
        <f>'Water Heater Stock'!R10*'Device Energy Use'!$B9/1000</f>
        <v>0</v>
      </c>
      <c r="S41" s="33">
        <f>'Water Heater Stock'!S10*'Device Energy Use'!$B9/1000</f>
        <v>0</v>
      </c>
      <c r="T41" s="33">
        <f>'Water Heater Stock'!T10*'Device Energy Use'!$B9/1000</f>
        <v>0</v>
      </c>
      <c r="U41" s="33">
        <f>'Water Heater Stock'!U10*'Device Energy Use'!$B9/1000</f>
        <v>0</v>
      </c>
      <c r="V41" s="33">
        <f>'Water Heater Stock'!V10*'Device Energy Use'!$B9/1000</f>
        <v>0</v>
      </c>
      <c r="W41" s="33">
        <f>'Water Heater Stock'!W10*'Device Energy Use'!$B9/1000</f>
        <v>0</v>
      </c>
    </row>
    <row r="42" spans="1:23">
      <c r="A42" s="37"/>
    </row>
    <row r="43" spans="1:23">
      <c r="A43" s="12" t="s">
        <v>98</v>
      </c>
    </row>
    <row r="44" spans="1:23">
      <c r="A44" s="38" t="str">
        <f>'Device Energy Use'!A4</f>
        <v>Water Heat Ending</v>
      </c>
      <c r="B44" s="41">
        <f>'Water Heater Stock'!B13</f>
        <v>2014</v>
      </c>
      <c r="C44" s="41">
        <f>'Water Heater Stock'!C13</f>
        <v>2015</v>
      </c>
      <c r="D44" s="41">
        <f>'Water Heater Stock'!D13</f>
        <v>2016</v>
      </c>
      <c r="E44" s="41">
        <f>'Water Heater Stock'!E13</f>
        <v>2017</v>
      </c>
      <c r="F44" s="41">
        <f>'Water Heater Stock'!F13</f>
        <v>2018</v>
      </c>
      <c r="G44" s="41">
        <f>'Water Heater Stock'!G13</f>
        <v>2019</v>
      </c>
      <c r="H44" s="41">
        <f>'Water Heater Stock'!H13</f>
        <v>2020</v>
      </c>
      <c r="I44" s="41">
        <f>'Water Heater Stock'!I13</f>
        <v>2021</v>
      </c>
      <c r="J44" s="41">
        <f>'Water Heater Stock'!J13</f>
        <v>2022</v>
      </c>
      <c r="K44" s="41">
        <f>'Water Heater Stock'!K13</f>
        <v>2023</v>
      </c>
      <c r="L44" s="41">
        <f>'Water Heater Stock'!L13</f>
        <v>2024</v>
      </c>
      <c r="M44" s="41">
        <f>'Water Heater Stock'!M13</f>
        <v>2025</v>
      </c>
      <c r="N44" s="41">
        <f>'Water Heater Stock'!N13</f>
        <v>2026</v>
      </c>
      <c r="O44" s="41">
        <f>'Water Heater Stock'!O13</f>
        <v>2027</v>
      </c>
      <c r="P44" s="41">
        <f>'Water Heater Stock'!P13</f>
        <v>2028</v>
      </c>
      <c r="Q44" s="41">
        <f>'Water Heater Stock'!Q13</f>
        <v>2029</v>
      </c>
      <c r="R44" s="41">
        <f>'Water Heater Stock'!R13</f>
        <v>2030</v>
      </c>
      <c r="S44" s="41">
        <f>'Water Heater Stock'!S13</f>
        <v>2031</v>
      </c>
      <c r="T44" s="41">
        <f>'Water Heater Stock'!T13</f>
        <v>2032</v>
      </c>
      <c r="U44" s="41">
        <f>'Water Heater Stock'!U13</f>
        <v>2033</v>
      </c>
      <c r="V44" s="41">
        <f>'Water Heater Stock'!V13</f>
        <v>2034</v>
      </c>
      <c r="W44" s="41">
        <f>'Water Heater Stock'!W13</f>
        <v>2035</v>
      </c>
    </row>
    <row r="45" spans="1:23" ht="16.5" thickBot="1">
      <c r="A45" s="48" t="s">
        <v>44</v>
      </c>
      <c r="B45" s="49">
        <f t="shared" ref="B45:W45" si="10">SUM(B46:B50)</f>
        <v>6388.747022291449</v>
      </c>
      <c r="C45" s="49">
        <f t="shared" si="10"/>
        <v>6181.2960945873874</v>
      </c>
      <c r="D45" s="49">
        <f t="shared" si="10"/>
        <v>5988.6630902907582</v>
      </c>
      <c r="E45" s="49">
        <f t="shared" si="10"/>
        <v>5809.7895863010317</v>
      </c>
      <c r="F45" s="49">
        <f t="shared" si="10"/>
        <v>5643.6927611677138</v>
      </c>
      <c r="G45" s="49">
        <f t="shared" si="10"/>
        <v>5489.4599949724898</v>
      </c>
      <c r="H45" s="49">
        <f t="shared" si="10"/>
        <v>5346.2438549340677</v>
      </c>
      <c r="I45" s="49">
        <f t="shared" si="10"/>
        <v>5213.2574391841044</v>
      </c>
      <c r="J45" s="49">
        <f t="shared" si="10"/>
        <v>5089.7700531305672</v>
      </c>
      <c r="K45" s="49">
        <f t="shared" si="10"/>
        <v>4975.1031946522826</v>
      </c>
      <c r="L45" s="49">
        <f t="shared" si="10"/>
        <v>4868.6268260653042</v>
      </c>
      <c r="M45" s="49">
        <f t="shared" si="10"/>
        <v>4769.7559123773954</v>
      </c>
      <c r="N45" s="49">
        <f t="shared" si="10"/>
        <v>4677.9472068100513</v>
      </c>
      <c r="O45" s="49">
        <f t="shared" si="10"/>
        <v>4592.6962659260898</v>
      </c>
      <c r="P45" s="49">
        <f t="shared" si="10"/>
        <v>4513.5346779624097</v>
      </c>
      <c r="Q45" s="49">
        <f t="shared" si="10"/>
        <v>4440.0274891389936</v>
      </c>
      <c r="R45" s="49">
        <f t="shared" si="10"/>
        <v>4371.7708138029639</v>
      </c>
      <c r="S45" s="49">
        <f t="shared" si="10"/>
        <v>4308.3896152766511</v>
      </c>
      <c r="T45" s="49">
        <f t="shared" si="10"/>
        <v>4249.5356452165033</v>
      </c>
      <c r="U45" s="49">
        <f t="shared" si="10"/>
        <v>4194.8855301606527</v>
      </c>
      <c r="V45" s="49">
        <f t="shared" si="10"/>
        <v>4144.1389947516464</v>
      </c>
      <c r="W45" s="49">
        <f t="shared" si="10"/>
        <v>4097.0172118718565</v>
      </c>
    </row>
    <row r="46" spans="1:23" ht="16.5" thickTop="1">
      <c r="A46" s="37" t="str">
        <f>'Device Energy Use'!A5</f>
        <v>Electric Resistance</v>
      </c>
      <c r="B46" s="33">
        <f>'Water Heater Stock'!B15*'Device Energy Use'!$B5/1000</f>
        <v>6388.747022291449</v>
      </c>
      <c r="C46" s="33">
        <f>'Water Heater Stock'!C15*'Device Energy Use'!$B5/1000</f>
        <v>5932.4079492706314</v>
      </c>
      <c r="D46" s="33">
        <f>'Water Heater Stock'!D15*'Device Energy Use'!$B5/1000</f>
        <v>5508.6645243227294</v>
      </c>
      <c r="E46" s="33">
        <f>'Water Heater Stock'!E15*'Device Energy Use'!$B5/1000</f>
        <v>5115.1884868711059</v>
      </c>
      <c r="F46" s="33">
        <f>'Water Heater Stock'!F15*'Device Energy Use'!$B5/1000</f>
        <v>4749.8178806660271</v>
      </c>
      <c r="G46" s="33">
        <f>'Water Heater Stock'!G15*'Device Energy Use'!$B5/1000</f>
        <v>4410.5451749041677</v>
      </c>
      <c r="H46" s="33">
        <f>'Water Heater Stock'!H15*'Device Energy Use'!$B5/1000</f>
        <v>4095.5062338395842</v>
      </c>
      <c r="I46" s="33">
        <f>'Water Heater Stock'!I15*'Device Energy Use'!$B5/1000</f>
        <v>3802.970074279614</v>
      </c>
      <c r="J46" s="33">
        <f>'Water Heater Stock'!J15*'Device Energy Use'!$B5/1000</f>
        <v>3531.3293546882128</v>
      </c>
      <c r="K46" s="33">
        <f>'Water Heater Stock'!K15*'Device Energy Use'!$B5/1000</f>
        <v>3279.0915436390546</v>
      </c>
      <c r="L46" s="33">
        <f>'Water Heater Stock'!L15*'Device Energy Use'!$B5/1000</f>
        <v>3044.8707190934078</v>
      </c>
      <c r="M46" s="33">
        <f>'Water Heater Stock'!M15*'Device Energy Use'!$B5/1000</f>
        <v>2827.379953443879</v>
      </c>
      <c r="N46" s="33">
        <f>'Water Heater Stock'!N15*'Device Energy Use'!$B5/1000</f>
        <v>2625.4242424836016</v>
      </c>
      <c r="O46" s="33">
        <f>'Water Heater Stock'!O15*'Device Energy Use'!$B5/1000</f>
        <v>2437.8939394490585</v>
      </c>
      <c r="P46" s="33">
        <f>'Water Heater Stock'!P15*'Device Energy Use'!$B5/1000</f>
        <v>2263.7586580598399</v>
      </c>
      <c r="Q46" s="33">
        <f>'Water Heater Stock'!Q15*'Device Energy Use'!$B5/1000</f>
        <v>2102.0616110555657</v>
      </c>
      <c r="R46" s="33">
        <f>'Water Heater Stock'!R15*'Device Energy Use'!$B5/1000</f>
        <v>1951.914353123025</v>
      </c>
      <c r="S46" s="33">
        <f>'Water Heater Stock'!S15*'Device Energy Use'!$B5/1000</f>
        <v>1812.4918993285235</v>
      </c>
      <c r="T46" s="33">
        <f>'Water Heater Stock'!T15*'Device Energy Use'!$B5/1000</f>
        <v>1683.0281922336287</v>
      </c>
      <c r="U46" s="33">
        <f>'Water Heater Stock'!U15*'Device Energy Use'!$B5/1000</f>
        <v>1562.8118927883697</v>
      </c>
      <c r="V46" s="33">
        <f>'Water Heater Stock'!V15*'Device Energy Use'!$B5/1000</f>
        <v>1451.1824718749147</v>
      </c>
      <c r="W46" s="33">
        <f>'Water Heater Stock'!W15*'Device Energy Use'!$B5/1000</f>
        <v>1347.5265810267065</v>
      </c>
    </row>
    <row r="47" spans="1:23">
      <c r="A47" s="37" t="str">
        <f>'Device Energy Use'!A6</f>
        <v>HPWH</v>
      </c>
      <c r="B47" s="33">
        <f>'Water Heater Stock'!B16*'Device Energy Use'!$B6/1000</f>
        <v>0</v>
      </c>
      <c r="C47" s="33">
        <f>'Water Heater Stock'!C16*'Device Energy Use'!$B6/1000</f>
        <v>248.8881453167559</v>
      </c>
      <c r="D47" s="33">
        <f>'Water Heater Stock'!D16*'Device Energy Use'!$B6/1000</f>
        <v>479.9985659680292</v>
      </c>
      <c r="E47" s="33">
        <f>'Water Heater Stock'!E16*'Device Energy Use'!$B6/1000</f>
        <v>694.60109942992585</v>
      </c>
      <c r="F47" s="33">
        <f>'Water Heater Stock'!F16*'Device Energy Use'!$B6/1000</f>
        <v>893.87488050168702</v>
      </c>
      <c r="G47" s="33">
        <f>'Water Heater Stock'!G16*'Device Energy Use'!$B6/1000</f>
        <v>1078.9148200683223</v>
      </c>
      <c r="H47" s="33">
        <f>'Water Heater Stock'!H16*'Device Energy Use'!$B6/1000</f>
        <v>1250.737621094484</v>
      </c>
      <c r="I47" s="33">
        <f>'Water Heater Stock'!I16*'Device Energy Use'!$B6/1000</f>
        <v>1410.2873649044907</v>
      </c>
      <c r="J47" s="33">
        <f>'Water Heater Stock'!J16*'Device Energy Use'!$B6/1000</f>
        <v>1558.4406984423545</v>
      </c>
      <c r="K47" s="33">
        <f>'Water Heater Stock'!K16*'Device Energy Use'!$B6/1000</f>
        <v>1696.0116510132282</v>
      </c>
      <c r="L47" s="33">
        <f>'Water Heater Stock'!L16*'Device Energy Use'!$B6/1000</f>
        <v>1823.7561069718963</v>
      </c>
      <c r="M47" s="33">
        <f>'Water Heater Stock'!M16*'Device Energy Use'!$B6/1000</f>
        <v>1942.3759589335168</v>
      </c>
      <c r="N47" s="33">
        <f>'Water Heater Stock'!N16*'Device Energy Use'!$B6/1000</f>
        <v>2052.5229643264497</v>
      </c>
      <c r="O47" s="33">
        <f>'Water Heater Stock'!O16*'Device Energy Use'!$B6/1000</f>
        <v>2154.8023264770309</v>
      </c>
      <c r="P47" s="33">
        <f>'Water Heater Stock'!P16*'Device Energy Use'!$B6/1000</f>
        <v>2249.7760199025697</v>
      </c>
      <c r="Q47" s="33">
        <f>'Water Heater Stock'!Q16*'Device Energy Use'!$B6/1000</f>
        <v>2337.9658780834279</v>
      </c>
      <c r="R47" s="33">
        <f>'Water Heater Stock'!R16*'Device Energy Use'!$B6/1000</f>
        <v>2419.8564606799391</v>
      </c>
      <c r="S47" s="33">
        <f>'Water Heater Stock'!S16*'Device Energy Use'!$B6/1000</f>
        <v>2495.8977159481278</v>
      </c>
      <c r="T47" s="33">
        <f>'Water Heater Stock'!T16*'Device Energy Use'!$B6/1000</f>
        <v>2566.5074529828744</v>
      </c>
      <c r="U47" s="33">
        <f>'Water Heater Stock'!U16*'Device Energy Use'!$B6/1000</f>
        <v>2632.0736373722825</v>
      </c>
      <c r="V47" s="33">
        <f>'Water Heater Stock'!V16*'Device Energy Use'!$B6/1000</f>
        <v>2692.9565228767319</v>
      </c>
      <c r="W47" s="33">
        <f>'Water Heater Stock'!W16*'Device Energy Use'!$B6/1000</f>
        <v>2749.49063084515</v>
      </c>
    </row>
    <row r="48" spans="1:23">
      <c r="A48" s="37" t="str">
        <f>'Device Energy Use'!A7</f>
        <v>Gas Tank</v>
      </c>
      <c r="B48" s="33">
        <f>'Water Heater Stock'!B17*'Device Energy Use'!$B7/1000</f>
        <v>0</v>
      </c>
      <c r="C48" s="33">
        <f>'Water Heater Stock'!C17*'Device Energy Use'!$B7/1000</f>
        <v>0</v>
      </c>
      <c r="D48" s="33">
        <f>'Water Heater Stock'!D17*'Device Energy Use'!$B7/1000</f>
        <v>0</v>
      </c>
      <c r="E48" s="33">
        <f>'Water Heater Stock'!E17*'Device Energy Use'!$B7/1000</f>
        <v>0</v>
      </c>
      <c r="F48" s="33">
        <f>'Water Heater Stock'!F17*'Device Energy Use'!$B7/1000</f>
        <v>0</v>
      </c>
      <c r="G48" s="33">
        <f>'Water Heater Stock'!G17*'Device Energy Use'!$B7/1000</f>
        <v>0</v>
      </c>
      <c r="H48" s="33">
        <f>'Water Heater Stock'!H17*'Device Energy Use'!$B7/1000</f>
        <v>0</v>
      </c>
      <c r="I48" s="33">
        <f>'Water Heater Stock'!I17*'Device Energy Use'!$B7/1000</f>
        <v>0</v>
      </c>
      <c r="J48" s="33">
        <f>'Water Heater Stock'!J17*'Device Energy Use'!$B7/1000</f>
        <v>0</v>
      </c>
      <c r="K48" s="33">
        <f>'Water Heater Stock'!K17*'Device Energy Use'!$B7/1000</f>
        <v>0</v>
      </c>
      <c r="L48" s="33">
        <f>'Water Heater Stock'!L17*'Device Energy Use'!$B7/1000</f>
        <v>0</v>
      </c>
      <c r="M48" s="33">
        <f>'Water Heater Stock'!M17*'Device Energy Use'!$B7/1000</f>
        <v>0</v>
      </c>
      <c r="N48" s="33">
        <f>'Water Heater Stock'!N17*'Device Energy Use'!$B7/1000</f>
        <v>0</v>
      </c>
      <c r="O48" s="33">
        <f>'Water Heater Stock'!O17*'Device Energy Use'!$B7/1000</f>
        <v>0</v>
      </c>
      <c r="P48" s="33">
        <f>'Water Heater Stock'!P17*'Device Energy Use'!$B7/1000</f>
        <v>0</v>
      </c>
      <c r="Q48" s="33">
        <f>'Water Heater Stock'!Q17*'Device Energy Use'!$B7/1000</f>
        <v>0</v>
      </c>
      <c r="R48" s="33">
        <f>'Water Heater Stock'!R17*'Device Energy Use'!$B7/1000</f>
        <v>0</v>
      </c>
      <c r="S48" s="33">
        <f>'Water Heater Stock'!S17*'Device Energy Use'!$B7/1000</f>
        <v>0</v>
      </c>
      <c r="T48" s="33">
        <f>'Water Heater Stock'!T17*'Device Energy Use'!$B7/1000</f>
        <v>0</v>
      </c>
      <c r="U48" s="33">
        <f>'Water Heater Stock'!U17*'Device Energy Use'!$B7/1000</f>
        <v>0</v>
      </c>
      <c r="V48" s="33">
        <f>'Water Heater Stock'!V17*'Device Energy Use'!$B7/1000</f>
        <v>0</v>
      </c>
      <c r="W48" s="33">
        <f>'Water Heater Stock'!W17*'Device Energy Use'!$B7/1000</f>
        <v>0</v>
      </c>
    </row>
    <row r="49" spans="1:23">
      <c r="A49" s="37" t="str">
        <f>'Device Energy Use'!A8</f>
        <v>Instant Gas</v>
      </c>
      <c r="B49" s="33">
        <f>'Water Heater Stock'!B18*'Device Energy Use'!$B8/1000</f>
        <v>0</v>
      </c>
      <c r="C49" s="33">
        <f>'Water Heater Stock'!C18*'Device Energy Use'!$B8/1000</f>
        <v>0</v>
      </c>
      <c r="D49" s="33">
        <f>'Water Heater Stock'!D18*'Device Energy Use'!$B8/1000</f>
        <v>0</v>
      </c>
      <c r="E49" s="33">
        <f>'Water Heater Stock'!E18*'Device Energy Use'!$B8/1000</f>
        <v>0</v>
      </c>
      <c r="F49" s="33">
        <f>'Water Heater Stock'!F18*'Device Energy Use'!$B8/1000</f>
        <v>0</v>
      </c>
      <c r="G49" s="33">
        <f>'Water Heater Stock'!G18*'Device Energy Use'!$B8/1000</f>
        <v>0</v>
      </c>
      <c r="H49" s="33">
        <f>'Water Heater Stock'!H18*'Device Energy Use'!$B8/1000</f>
        <v>0</v>
      </c>
      <c r="I49" s="33">
        <f>'Water Heater Stock'!I18*'Device Energy Use'!$B8/1000</f>
        <v>0</v>
      </c>
      <c r="J49" s="33">
        <f>'Water Heater Stock'!J18*'Device Energy Use'!$B8/1000</f>
        <v>0</v>
      </c>
      <c r="K49" s="33">
        <f>'Water Heater Stock'!K18*'Device Energy Use'!$B8/1000</f>
        <v>0</v>
      </c>
      <c r="L49" s="33">
        <f>'Water Heater Stock'!L18*'Device Energy Use'!$B8/1000</f>
        <v>0</v>
      </c>
      <c r="M49" s="33">
        <f>'Water Heater Stock'!M18*'Device Energy Use'!$B8/1000</f>
        <v>0</v>
      </c>
      <c r="N49" s="33">
        <f>'Water Heater Stock'!N18*'Device Energy Use'!$B8/1000</f>
        <v>0</v>
      </c>
      <c r="O49" s="33">
        <f>'Water Heater Stock'!O18*'Device Energy Use'!$B8/1000</f>
        <v>0</v>
      </c>
      <c r="P49" s="33">
        <f>'Water Heater Stock'!P18*'Device Energy Use'!$B8/1000</f>
        <v>0</v>
      </c>
      <c r="Q49" s="33">
        <f>'Water Heater Stock'!Q18*'Device Energy Use'!$B8/1000</f>
        <v>0</v>
      </c>
      <c r="R49" s="33">
        <f>'Water Heater Stock'!R18*'Device Energy Use'!$B8/1000</f>
        <v>0</v>
      </c>
      <c r="S49" s="33">
        <f>'Water Heater Stock'!S18*'Device Energy Use'!$B8/1000</f>
        <v>0</v>
      </c>
      <c r="T49" s="33">
        <f>'Water Heater Stock'!T18*'Device Energy Use'!$B8/1000</f>
        <v>0</v>
      </c>
      <c r="U49" s="33">
        <f>'Water Heater Stock'!U18*'Device Energy Use'!$B8/1000</f>
        <v>0</v>
      </c>
      <c r="V49" s="33">
        <f>'Water Heater Stock'!V18*'Device Energy Use'!$B8/1000</f>
        <v>0</v>
      </c>
      <c r="W49" s="33">
        <f>'Water Heater Stock'!W18*'Device Energy Use'!$B8/1000</f>
        <v>0</v>
      </c>
    </row>
    <row r="50" spans="1:23">
      <c r="A50" s="37" t="str">
        <f>'Device Energy Use'!A9</f>
        <v>Condensing Gas</v>
      </c>
      <c r="B50" s="33">
        <f>'Water Heater Stock'!B19*'Device Energy Use'!$B9/1000</f>
        <v>0</v>
      </c>
      <c r="C50" s="33">
        <f>'Water Heater Stock'!C19*'Device Energy Use'!$B9/1000</f>
        <v>0</v>
      </c>
      <c r="D50" s="33">
        <f>'Water Heater Stock'!D19*'Device Energy Use'!$B9/1000</f>
        <v>0</v>
      </c>
      <c r="E50" s="33">
        <f>'Water Heater Stock'!E19*'Device Energy Use'!$B9/1000</f>
        <v>0</v>
      </c>
      <c r="F50" s="33">
        <f>'Water Heater Stock'!F19*'Device Energy Use'!$B9/1000</f>
        <v>0</v>
      </c>
      <c r="G50" s="33">
        <f>'Water Heater Stock'!G19*'Device Energy Use'!$B9/1000</f>
        <v>0</v>
      </c>
      <c r="H50" s="33">
        <f>'Water Heater Stock'!H19*'Device Energy Use'!$B9/1000</f>
        <v>0</v>
      </c>
      <c r="I50" s="33">
        <f>'Water Heater Stock'!I19*'Device Energy Use'!$B9/1000</f>
        <v>0</v>
      </c>
      <c r="J50" s="33">
        <f>'Water Heater Stock'!J19*'Device Energy Use'!$B9/1000</f>
        <v>0</v>
      </c>
      <c r="K50" s="33">
        <f>'Water Heater Stock'!K19*'Device Energy Use'!$B9/1000</f>
        <v>0</v>
      </c>
      <c r="L50" s="33">
        <f>'Water Heater Stock'!L19*'Device Energy Use'!$B9/1000</f>
        <v>0</v>
      </c>
      <c r="M50" s="33">
        <f>'Water Heater Stock'!M19*'Device Energy Use'!$B9/1000</f>
        <v>0</v>
      </c>
      <c r="N50" s="33">
        <f>'Water Heater Stock'!N19*'Device Energy Use'!$B9/1000</f>
        <v>0</v>
      </c>
      <c r="O50" s="33">
        <f>'Water Heater Stock'!O19*'Device Energy Use'!$B9/1000</f>
        <v>0</v>
      </c>
      <c r="P50" s="33">
        <f>'Water Heater Stock'!P19*'Device Energy Use'!$B9/1000</f>
        <v>0</v>
      </c>
      <c r="Q50" s="33">
        <f>'Water Heater Stock'!Q19*'Device Energy Use'!$B9/1000</f>
        <v>0</v>
      </c>
      <c r="R50" s="33">
        <f>'Water Heater Stock'!R19*'Device Energy Use'!$B9/1000</f>
        <v>0</v>
      </c>
      <c r="S50" s="33">
        <f>'Water Heater Stock'!S19*'Device Energy Use'!$B9/1000</f>
        <v>0</v>
      </c>
      <c r="T50" s="33">
        <f>'Water Heater Stock'!T19*'Device Energy Use'!$B9/1000</f>
        <v>0</v>
      </c>
      <c r="U50" s="33">
        <f>'Water Heater Stock'!U19*'Device Energy Use'!$B9/1000</f>
        <v>0</v>
      </c>
      <c r="V50" s="33">
        <f>'Water Heater Stock'!V19*'Device Energy Use'!$B9/1000</f>
        <v>0</v>
      </c>
      <c r="W50" s="33">
        <f>'Water Heater Stock'!W19*'Device Energy Use'!$B9/1000</f>
        <v>0</v>
      </c>
    </row>
    <row r="51" spans="1:23">
      <c r="A51" s="37"/>
    </row>
    <row r="52" spans="1:23">
      <c r="A52" s="12" t="s">
        <v>46</v>
      </c>
    </row>
    <row r="53" spans="1:23">
      <c r="A53" s="38" t="str">
        <f>'Device Energy Use'!A4</f>
        <v>Water Heat Ending</v>
      </c>
      <c r="B53" s="41">
        <f>'Water Heater Stock'!B4</f>
        <v>2014</v>
      </c>
      <c r="C53" s="41">
        <f>'Water Heater Stock'!C4</f>
        <v>2015</v>
      </c>
      <c r="D53" s="41">
        <f>'Water Heater Stock'!D4</f>
        <v>2016</v>
      </c>
      <c r="E53" s="41">
        <f>'Water Heater Stock'!E4</f>
        <v>2017</v>
      </c>
      <c r="F53" s="41">
        <f>'Water Heater Stock'!F4</f>
        <v>2018</v>
      </c>
      <c r="G53" s="41">
        <f>'Water Heater Stock'!G4</f>
        <v>2019</v>
      </c>
      <c r="H53" s="41">
        <f>'Water Heater Stock'!H4</f>
        <v>2020</v>
      </c>
      <c r="I53" s="41">
        <f>'Water Heater Stock'!I4</f>
        <v>2021</v>
      </c>
      <c r="J53" s="41">
        <f>'Water Heater Stock'!J4</f>
        <v>2022</v>
      </c>
      <c r="K53" s="41">
        <f>'Water Heater Stock'!K4</f>
        <v>2023</v>
      </c>
      <c r="L53" s="41">
        <f>'Water Heater Stock'!L4</f>
        <v>2024</v>
      </c>
      <c r="M53" s="41">
        <f>'Water Heater Stock'!M4</f>
        <v>2025</v>
      </c>
      <c r="N53" s="41">
        <f>'Water Heater Stock'!N4</f>
        <v>2026</v>
      </c>
      <c r="O53" s="41">
        <f>'Water Heater Stock'!O4</f>
        <v>2027</v>
      </c>
      <c r="P53" s="41">
        <f>'Water Heater Stock'!P4</f>
        <v>2028</v>
      </c>
      <c r="Q53" s="41">
        <f>'Water Heater Stock'!Q4</f>
        <v>2029</v>
      </c>
      <c r="R53" s="41">
        <f>'Water Heater Stock'!R4</f>
        <v>2030</v>
      </c>
      <c r="S53" s="41">
        <f>'Water Heater Stock'!S4</f>
        <v>2031</v>
      </c>
      <c r="T53" s="41">
        <f>'Water Heater Stock'!T4</f>
        <v>2032</v>
      </c>
      <c r="U53" s="41">
        <f>'Water Heater Stock'!U4</f>
        <v>2033</v>
      </c>
      <c r="V53" s="41">
        <f>'Water Heater Stock'!V4</f>
        <v>2034</v>
      </c>
      <c r="W53" s="41">
        <f>'Water Heater Stock'!W4</f>
        <v>2035</v>
      </c>
    </row>
    <row r="54" spans="1:23" ht="16.5" thickBot="1">
      <c r="A54" s="48" t="s">
        <v>44</v>
      </c>
      <c r="B54" s="49">
        <f t="shared" ref="B54:W54" si="11">SUM(B55:B59)</f>
        <v>0</v>
      </c>
      <c r="C54" s="49">
        <f t="shared" si="11"/>
        <v>1194.529942931533</v>
      </c>
      <c r="D54" s="49">
        <f t="shared" si="11"/>
        <v>2306.3098885783529</v>
      </c>
      <c r="E54" s="49">
        <f t="shared" si="11"/>
        <v>3341.2440718317907</v>
      </c>
      <c r="F54" s="49">
        <f t="shared" si="11"/>
        <v>4304.8146736297003</v>
      </c>
      <c r="G54" s="49">
        <f t="shared" si="11"/>
        <v>5202.1119684825653</v>
      </c>
      <c r="H54" s="49">
        <f t="shared" si="11"/>
        <v>6037.862318727839</v>
      </c>
      <c r="I54" s="49">
        <f t="shared" si="11"/>
        <v>6816.4541693167466</v>
      </c>
      <c r="J54" s="49">
        <f t="shared" si="11"/>
        <v>7541.9621859516756</v>
      </c>
      <c r="K54" s="49">
        <f t="shared" si="11"/>
        <v>8218.1696691908273</v>
      </c>
      <c r="L54" s="49">
        <f t="shared" si="11"/>
        <v>8848.589367664139</v>
      </c>
      <c r="M54" s="49">
        <f t="shared" si="11"/>
        <v>9436.4828047483006</v>
      </c>
      <c r="N54" s="49">
        <f t="shared" si="11"/>
        <v>9984.8782248809584</v>
      </c>
      <c r="O54" s="49">
        <f t="shared" si="11"/>
        <v>10496.587258109725</v>
      </c>
      <c r="P54" s="49">
        <f t="shared" si="11"/>
        <v>10974.220394429049</v>
      </c>
      <c r="Q54" s="49">
        <f t="shared" si="11"/>
        <v>11420.201352918324</v>
      </c>
      <c r="R54" s="49">
        <f t="shared" si="11"/>
        <v>11836.780424622204</v>
      </c>
      <c r="S54" s="49">
        <f t="shared" si="11"/>
        <v>12226.046862475274</v>
      </c>
      <c r="T54" s="49">
        <f t="shared" si="11"/>
        <v>12589.940386337377</v>
      </c>
      <c r="U54" s="49">
        <f t="shared" si="11"/>
        <v>12930.261866343859</v>
      </c>
      <c r="V54" s="49">
        <f t="shared" si="11"/>
        <v>13248.683243260293</v>
      </c>
      <c r="W54" s="49">
        <f t="shared" si="11"/>
        <v>13546.756740339191</v>
      </c>
    </row>
    <row r="55" spans="1:23" ht="16.5" thickTop="1">
      <c r="A55" s="37" t="str">
        <f>'Device Energy Use'!A5</f>
        <v>Electric Resistance</v>
      </c>
      <c r="B55" s="33">
        <f>'Water Heater Stock'!B6*'Device Energy Use'!$C5</f>
        <v>0</v>
      </c>
      <c r="C55" s="33">
        <f>'Water Heater Stock'!C6*'Device Energy Use'!$C5</f>
        <v>0</v>
      </c>
      <c r="D55" s="33">
        <f>'Water Heater Stock'!D6*'Device Energy Use'!$C5</f>
        <v>0</v>
      </c>
      <c r="E55" s="33">
        <f>'Water Heater Stock'!E6*'Device Energy Use'!$C5</f>
        <v>0</v>
      </c>
      <c r="F55" s="33">
        <f>'Water Heater Stock'!F6*'Device Energy Use'!$C5</f>
        <v>0</v>
      </c>
      <c r="G55" s="33">
        <f>'Water Heater Stock'!G6*'Device Energy Use'!$C5</f>
        <v>0</v>
      </c>
      <c r="H55" s="33">
        <f>'Water Heater Stock'!H6*'Device Energy Use'!$C5</f>
        <v>0</v>
      </c>
      <c r="I55" s="33">
        <f>'Water Heater Stock'!I6*'Device Energy Use'!$C5</f>
        <v>0</v>
      </c>
      <c r="J55" s="33">
        <f>'Water Heater Stock'!J6*'Device Energy Use'!$C5</f>
        <v>0</v>
      </c>
      <c r="K55" s="33">
        <f>'Water Heater Stock'!K6*'Device Energy Use'!$C5</f>
        <v>0</v>
      </c>
      <c r="L55" s="33">
        <f>'Water Heater Stock'!L6*'Device Energy Use'!$C5</f>
        <v>0</v>
      </c>
      <c r="M55" s="33">
        <f>'Water Heater Stock'!M6*'Device Energy Use'!$C5</f>
        <v>0</v>
      </c>
      <c r="N55" s="33">
        <f>'Water Heater Stock'!N6*'Device Energy Use'!$C5</f>
        <v>0</v>
      </c>
      <c r="O55" s="33">
        <f>'Water Heater Stock'!O6*'Device Energy Use'!$C5</f>
        <v>0</v>
      </c>
      <c r="P55" s="33">
        <f>'Water Heater Stock'!P6*'Device Energy Use'!$C5</f>
        <v>0</v>
      </c>
      <c r="Q55" s="33">
        <f>'Water Heater Stock'!Q6*'Device Energy Use'!$C5</f>
        <v>0</v>
      </c>
      <c r="R55" s="33">
        <f>'Water Heater Stock'!R6*'Device Energy Use'!$C5</f>
        <v>0</v>
      </c>
      <c r="S55" s="33">
        <f>'Water Heater Stock'!S6*'Device Energy Use'!$C5</f>
        <v>0</v>
      </c>
      <c r="T55" s="33">
        <f>'Water Heater Stock'!T6*'Device Energy Use'!$C5</f>
        <v>0</v>
      </c>
      <c r="U55" s="33">
        <f>'Water Heater Stock'!U6*'Device Energy Use'!$C5</f>
        <v>0</v>
      </c>
      <c r="V55" s="33">
        <f>'Water Heater Stock'!V6*'Device Energy Use'!$C5</f>
        <v>0</v>
      </c>
      <c r="W55" s="33">
        <f>'Water Heater Stock'!W6*'Device Energy Use'!$C5</f>
        <v>0</v>
      </c>
    </row>
    <row r="56" spans="1:23">
      <c r="A56" s="37" t="str">
        <f>'Device Energy Use'!A6</f>
        <v>HPWH</v>
      </c>
      <c r="B56" s="33">
        <f>'Water Heater Stock'!B7*'Device Energy Use'!$C6</f>
        <v>0</v>
      </c>
      <c r="C56" s="33">
        <f>'Water Heater Stock'!C7*'Device Energy Use'!$C6</f>
        <v>0</v>
      </c>
      <c r="D56" s="33">
        <f>'Water Heater Stock'!D7*'Device Energy Use'!$C6</f>
        <v>0</v>
      </c>
      <c r="E56" s="33">
        <f>'Water Heater Stock'!E7*'Device Energy Use'!$C6</f>
        <v>0</v>
      </c>
      <c r="F56" s="33">
        <f>'Water Heater Stock'!F7*'Device Energy Use'!$C6</f>
        <v>0</v>
      </c>
      <c r="G56" s="33">
        <f>'Water Heater Stock'!G7*'Device Energy Use'!$C6</f>
        <v>0</v>
      </c>
      <c r="H56" s="33">
        <f>'Water Heater Stock'!H7*'Device Energy Use'!$C6</f>
        <v>0</v>
      </c>
      <c r="I56" s="33">
        <f>'Water Heater Stock'!I7*'Device Energy Use'!$C6</f>
        <v>0</v>
      </c>
      <c r="J56" s="33">
        <f>'Water Heater Stock'!J7*'Device Energy Use'!$C6</f>
        <v>0</v>
      </c>
      <c r="K56" s="33">
        <f>'Water Heater Stock'!K7*'Device Energy Use'!$C6</f>
        <v>0</v>
      </c>
      <c r="L56" s="33">
        <f>'Water Heater Stock'!L7*'Device Energy Use'!$C6</f>
        <v>0</v>
      </c>
      <c r="M56" s="33">
        <f>'Water Heater Stock'!M7*'Device Energy Use'!$C6</f>
        <v>0</v>
      </c>
      <c r="N56" s="33">
        <f>'Water Heater Stock'!N7*'Device Energy Use'!$C6</f>
        <v>0</v>
      </c>
      <c r="O56" s="33">
        <f>'Water Heater Stock'!O7*'Device Energy Use'!$C6</f>
        <v>0</v>
      </c>
      <c r="P56" s="33">
        <f>'Water Heater Stock'!P7*'Device Energy Use'!$C6</f>
        <v>0</v>
      </c>
      <c r="Q56" s="33">
        <f>'Water Heater Stock'!Q7*'Device Energy Use'!$C6</f>
        <v>0</v>
      </c>
      <c r="R56" s="33">
        <f>'Water Heater Stock'!R7*'Device Energy Use'!$C6</f>
        <v>0</v>
      </c>
      <c r="S56" s="33">
        <f>'Water Heater Stock'!S7*'Device Energy Use'!$C6</f>
        <v>0</v>
      </c>
      <c r="T56" s="33">
        <f>'Water Heater Stock'!T7*'Device Energy Use'!$C6</f>
        <v>0</v>
      </c>
      <c r="U56" s="33">
        <f>'Water Heater Stock'!U7*'Device Energy Use'!$C6</f>
        <v>0</v>
      </c>
      <c r="V56" s="33">
        <f>'Water Heater Stock'!V7*'Device Energy Use'!$C6</f>
        <v>0</v>
      </c>
      <c r="W56" s="33">
        <f>'Water Heater Stock'!W7*'Device Energy Use'!$C6</f>
        <v>0</v>
      </c>
    </row>
    <row r="57" spans="1:23">
      <c r="A57" s="37" t="str">
        <f>'Device Energy Use'!A7</f>
        <v>Gas Tank</v>
      </c>
      <c r="B57" s="33">
        <f>'Water Heater Stock'!B8*'Device Energy Use'!$C7</f>
        <v>0</v>
      </c>
      <c r="C57" s="33">
        <f>'Water Heater Stock'!C8*'Device Energy Use'!$C7</f>
        <v>0.13196846227728512</v>
      </c>
      <c r="D57" s="33">
        <f>'Water Heater Stock'!D8*'Device Energy Use'!$C7</f>
        <v>0.25343101459464973</v>
      </c>
      <c r="E57" s="33">
        <f>'Water Heater Stock'!E8*'Device Energy Use'!$C7</f>
        <v>0.36514343875526034</v>
      </c>
      <c r="F57" s="33">
        <f>'Water Heater Stock'!F8*'Device Energy Use'!$C7</f>
        <v>0.46780763651114748</v>
      </c>
      <c r="G57" s="33">
        <f>'Water Heater Stock'!G8*'Device Energy Use'!$C7</f>
        <v>0.56207547543554537</v>
      </c>
      <c r="H57" s="33">
        <f>'Water Heater Stock'!H8*'Device Energy Use'!$C7</f>
        <v>0.648552360064789</v>
      </c>
      <c r="I57" s="33">
        <f>'Water Heater Stock'!I8*'Device Energy Use'!$C7</f>
        <v>0.72780054793592219</v>
      </c>
      <c r="J57" s="33">
        <f>'Water Heater Stock'!J8*'Device Energy Use'!$C7</f>
        <v>0.80034222874429328</v>
      </c>
      <c r="K57" s="33">
        <f>'Water Heater Stock'!K8*'Device Energy Use'!$C7</f>
        <v>0.86666238354367131</v>
      </c>
      <c r="L57" s="33">
        <f>'Water Heater Stock'!L8*'Device Energy Use'!$C7</f>
        <v>0.9272114397026372</v>
      </c>
      <c r="M57" s="33">
        <f>'Water Heater Stock'!M8*'Device Energy Use'!$C7</f>
        <v>0.98240773620858368</v>
      </c>
      <c r="N57" s="33">
        <f>'Water Heater Stock'!N8*'Device Energy Use'!$C7</f>
        <v>1.0326398128683865</v>
      </c>
      <c r="O57" s="33">
        <f>'Water Heater Stock'!O8*'Device Energy Use'!$C7</f>
        <v>1.0782685359869946</v>
      </c>
      <c r="P57" s="33">
        <f>'Water Heater Stock'!P8*'Device Energy Use'!$C7</f>
        <v>1.1196290722064963</v>
      </c>
      <c r="Q57" s="33">
        <f>'Water Heater Stock'!Q8*'Device Energy Use'!$C7</f>
        <v>1.1570327213537195</v>
      </c>
      <c r="R57" s="33">
        <f>'Water Heater Stock'!R8*'Device Energy Use'!$C7</f>
        <v>1.1907686183695165</v>
      </c>
      <c r="S57" s="33">
        <f>'Water Heater Stock'!S8*'Device Energy Use'!$C7</f>
        <v>1.2211053136733427</v>
      </c>
      <c r="T57" s="33">
        <f>'Water Heater Stock'!T8*'Device Energy Use'!$C7</f>
        <v>1.2482922406485795</v>
      </c>
      <c r="U57" s="33">
        <f>'Water Heater Stock'!U8*'Device Energy Use'!$C7</f>
        <v>1.2725610783136112</v>
      </c>
      <c r="V57" s="33">
        <f>'Water Heater Stock'!V8*'Device Energy Use'!$C7</f>
        <v>1.2941270166675585</v>
      </c>
      <c r="W57" s="33">
        <f>'Water Heater Stock'!W8*'Device Energy Use'!$C7</f>
        <v>1.3131899316645848</v>
      </c>
    </row>
    <row r="58" spans="1:23">
      <c r="A58" s="37" t="str">
        <f>'Device Energy Use'!A8</f>
        <v>Instant Gas</v>
      </c>
      <c r="B58" s="33">
        <f>'Water Heater Stock'!B9*'Device Energy Use'!$C8</f>
        <v>0</v>
      </c>
      <c r="C58" s="33">
        <f>'Water Heater Stock'!C9*'Device Energy Use'!$C8</f>
        <v>327.49595918495601</v>
      </c>
      <c r="D58" s="33">
        <f>'Water Heater Stock'!D9*'Device Energy Use'!$C8</f>
        <v>633.31368287266855</v>
      </c>
      <c r="E58" s="33">
        <f>'Water Heater Stock'!E9*'Device Energy Use'!$C8</f>
        <v>919.01265385556655</v>
      </c>
      <c r="F58" s="33">
        <f>'Water Heater Stock'!F9*'Device Energy Use'!$C8</f>
        <v>1186.0408973287238</v>
      </c>
      <c r="G58" s="33">
        <f>'Water Heater Stock'!G9*'Device Energy Use'!$C8</f>
        <v>1435.7429384884692</v>
      </c>
      <c r="H58" s="33">
        <f>'Water Heater Stock'!H9*'Device Energy Use'!$C8</f>
        <v>1669.3671916871015</v>
      </c>
      <c r="I58" s="33">
        <f>'Water Heater Stock'!I9*'Device Energy Use'!$C8</f>
        <v>1888.0728217481119</v>
      </c>
      <c r="J58" s="33">
        <f>'Water Heater Stock'!J9*'Device Energy Use'!$C8</f>
        <v>2092.936115146083</v>
      </c>
      <c r="K58" s="33">
        <f>'Water Heater Stock'!K9*'Device Energy Use'!$C8</f>
        <v>2284.9563960623482</v>
      </c>
      <c r="L58" s="33">
        <f>'Water Heater Stock'!L9*'Device Energy Use'!$C8</f>
        <v>2465.0615198267924</v>
      </c>
      <c r="M58" s="33">
        <f>'Water Heater Stock'!M9*'Device Energy Use'!$C8</f>
        <v>2634.1129739340754</v>
      </c>
      <c r="N58" s="33">
        <f>'Water Heater Stock'!N9*'Device Energy Use'!$C8</f>
        <v>2792.9106146663362</v>
      </c>
      <c r="O58" s="33">
        <f>'Water Heater Stock'!O9*'Device Energy Use'!$C8</f>
        <v>2942.1970653522326</v>
      </c>
      <c r="P58" s="33">
        <f>'Water Heater Stock'!P9*'Device Energy Use'!$C8</f>
        <v>3082.6618004329589</v>
      </c>
      <c r="Q58" s="33">
        <f>'Water Heater Stock'!Q9*'Device Energy Use'!$C8</f>
        <v>3214.9449377795131</v>
      </c>
      <c r="R58" s="33">
        <f>'Water Heater Stock'!R9*'Device Energy Use'!$C8</f>
        <v>3339.640760102382</v>
      </c>
      <c r="S58" s="33">
        <f>'Water Heater Stock'!S9*'Device Energy Use'!$C8</f>
        <v>3457.3009848062488</v>
      </c>
      <c r="T58" s="33">
        <f>'Water Heater Stock'!T9*'Device Energy Use'!$C8</f>
        <v>3568.4378002600806</v>
      </c>
      <c r="U58" s="33">
        <f>'Water Heater Stock'!U9*'Device Energy Use'!$C8</f>
        <v>3673.5266851694223</v>
      </c>
      <c r="V58" s="33">
        <f>'Water Heater Stock'!V9*'Device Energy Use'!$C8</f>
        <v>3773.0090265459021</v>
      </c>
      <c r="W58" s="33">
        <f>'Water Heater Stock'!W9*'Device Energy Use'!$C8</f>
        <v>3867.2945506622318</v>
      </c>
    </row>
    <row r="59" spans="1:23">
      <c r="A59" s="37" t="str">
        <f>'Device Energy Use'!A9</f>
        <v>Condensing Gas</v>
      </c>
      <c r="B59" s="33">
        <f>'Water Heater Stock'!B10*'Device Energy Use'!$C9</f>
        <v>0</v>
      </c>
      <c r="C59" s="33">
        <f>'Water Heater Stock'!C10*'Device Energy Use'!$C9</f>
        <v>866.90201528429975</v>
      </c>
      <c r="D59" s="33">
        <f>'Water Heater Stock'!D10*'Device Energy Use'!$C9</f>
        <v>1672.7427746910896</v>
      </c>
      <c r="E59" s="33">
        <f>'Water Heater Stock'!E10*'Device Energy Use'!$C9</f>
        <v>2421.8662745374691</v>
      </c>
      <c r="F59" s="33">
        <f>'Water Heater Stock'!F10*'Device Energy Use'!$C9</f>
        <v>3118.3059686644651</v>
      </c>
      <c r="G59" s="33">
        <f>'Water Heater Stock'!G10*'Device Energy Use'!$C9</f>
        <v>3765.8069545186609</v>
      </c>
      <c r="H59" s="33">
        <f>'Water Heater Stock'!H10*'Device Energy Use'!$C9</f>
        <v>4367.8465746806723</v>
      </c>
      <c r="I59" s="33">
        <f>'Water Heater Stock'!I10*'Device Energy Use'!$C9</f>
        <v>4927.6535470206991</v>
      </c>
      <c r="J59" s="33">
        <f>'Water Heater Stock'!J10*'Device Energy Use'!$C9</f>
        <v>5448.2257285768483</v>
      </c>
      <c r="K59" s="33">
        <f>'Water Heater Stock'!K10*'Device Energy Use'!$C9</f>
        <v>5932.3466107449349</v>
      </c>
      <c r="L59" s="33">
        <f>'Water Heater Stock'!L10*'Device Energy Use'!$C9</f>
        <v>6382.600636397643</v>
      </c>
      <c r="M59" s="33">
        <f>'Water Heater Stock'!M10*'Device Energy Use'!$C9</f>
        <v>6801.3874230780166</v>
      </c>
      <c r="N59" s="33">
        <f>'Water Heater Stock'!N10*'Device Energy Use'!$C9</f>
        <v>7190.9349704017532</v>
      </c>
      <c r="O59" s="33">
        <f>'Water Heater Stock'!O10*'Device Energy Use'!$C9</f>
        <v>7553.3119242215053</v>
      </c>
      <c r="P59" s="33">
        <f>'Water Heater Stock'!P10*'Device Energy Use'!$C9</f>
        <v>7890.4389649238828</v>
      </c>
      <c r="Q59" s="33">
        <f>'Water Heater Stock'!Q10*'Device Energy Use'!$C9</f>
        <v>8204.0993824174584</v>
      </c>
      <c r="R59" s="33">
        <f>'Water Heater Stock'!R10*'Device Energy Use'!$C9</f>
        <v>8495.9488959014525</v>
      </c>
      <c r="S59" s="33">
        <f>'Water Heater Stock'!S10*'Device Energy Use'!$C9</f>
        <v>8767.5247723553512</v>
      </c>
      <c r="T59" s="33">
        <f>'Water Heater Stock'!T10*'Device Energy Use'!$C9</f>
        <v>9020.2542938366478</v>
      </c>
      <c r="U59" s="33">
        <f>'Water Heater Stock'!U10*'Device Energy Use'!$C9</f>
        <v>9255.4626200961229</v>
      </c>
      <c r="V59" s="33">
        <f>'Water Heater Stock'!V10*'Device Energy Use'!$C9</f>
        <v>9474.3800896977227</v>
      </c>
      <c r="W59" s="33">
        <f>'Water Heater Stock'!W10*'Device Energy Use'!$C9</f>
        <v>9678.1489997452954</v>
      </c>
    </row>
    <row r="61" spans="1:23">
      <c r="A61" s="12" t="s">
        <v>99</v>
      </c>
    </row>
    <row r="62" spans="1:23">
      <c r="A62" s="38" t="str">
        <f>'Device Energy Use'!A4</f>
        <v>Water Heat Ending</v>
      </c>
      <c r="B62" s="41">
        <f>'Water Heater Stock'!B13</f>
        <v>2014</v>
      </c>
      <c r="C62" s="41">
        <f>'Water Heater Stock'!C13</f>
        <v>2015</v>
      </c>
      <c r="D62" s="41">
        <f>'Water Heater Stock'!D13</f>
        <v>2016</v>
      </c>
      <c r="E62" s="41">
        <f>'Water Heater Stock'!E13</f>
        <v>2017</v>
      </c>
      <c r="F62" s="41">
        <f>'Water Heater Stock'!F13</f>
        <v>2018</v>
      </c>
      <c r="G62" s="41">
        <f>'Water Heater Stock'!G13</f>
        <v>2019</v>
      </c>
      <c r="H62" s="41">
        <f>'Water Heater Stock'!H13</f>
        <v>2020</v>
      </c>
      <c r="I62" s="41">
        <f>'Water Heater Stock'!I13</f>
        <v>2021</v>
      </c>
      <c r="J62" s="41">
        <f>'Water Heater Stock'!J13</f>
        <v>2022</v>
      </c>
      <c r="K62" s="41">
        <f>'Water Heater Stock'!K13</f>
        <v>2023</v>
      </c>
      <c r="L62" s="41">
        <f>'Water Heater Stock'!L13</f>
        <v>2024</v>
      </c>
      <c r="M62" s="41">
        <f>'Water Heater Stock'!M13</f>
        <v>2025</v>
      </c>
      <c r="N62" s="41">
        <f>'Water Heater Stock'!N13</f>
        <v>2026</v>
      </c>
      <c r="O62" s="41">
        <f>'Water Heater Stock'!O13</f>
        <v>2027</v>
      </c>
      <c r="P62" s="41">
        <f>'Water Heater Stock'!P13</f>
        <v>2028</v>
      </c>
      <c r="Q62" s="41">
        <f>'Water Heater Stock'!Q13</f>
        <v>2029</v>
      </c>
      <c r="R62" s="41">
        <f>'Water Heater Stock'!R13</f>
        <v>2030</v>
      </c>
      <c r="S62" s="41">
        <f>'Water Heater Stock'!S13</f>
        <v>2031</v>
      </c>
      <c r="T62" s="41">
        <f>'Water Heater Stock'!T13</f>
        <v>2032</v>
      </c>
      <c r="U62" s="41">
        <f>'Water Heater Stock'!U13</f>
        <v>2033</v>
      </c>
      <c r="V62" s="41">
        <f>'Water Heater Stock'!V13</f>
        <v>2034</v>
      </c>
      <c r="W62" s="41">
        <f>'Water Heater Stock'!W13</f>
        <v>2035</v>
      </c>
    </row>
    <row r="63" spans="1:23" ht="16.5" thickBot="1">
      <c r="A63" s="48" t="s">
        <v>44</v>
      </c>
      <c r="B63" s="49">
        <f t="shared" ref="B63:W63" si="12">SUM(B64:B68)</f>
        <v>0</v>
      </c>
      <c r="C63" s="49">
        <f t="shared" si="12"/>
        <v>0</v>
      </c>
      <c r="D63" s="49">
        <f t="shared" si="12"/>
        <v>0</v>
      </c>
      <c r="E63" s="49">
        <f t="shared" si="12"/>
        <v>0</v>
      </c>
      <c r="F63" s="49">
        <f t="shared" si="12"/>
        <v>0</v>
      </c>
      <c r="G63" s="49">
        <f t="shared" si="12"/>
        <v>0</v>
      </c>
      <c r="H63" s="49">
        <f t="shared" si="12"/>
        <v>0</v>
      </c>
      <c r="I63" s="49">
        <f t="shared" si="12"/>
        <v>0</v>
      </c>
      <c r="J63" s="49">
        <f t="shared" si="12"/>
        <v>0</v>
      </c>
      <c r="K63" s="49">
        <f t="shared" si="12"/>
        <v>0</v>
      </c>
      <c r="L63" s="49">
        <f t="shared" si="12"/>
        <v>0</v>
      </c>
      <c r="M63" s="49">
        <f t="shared" si="12"/>
        <v>0</v>
      </c>
      <c r="N63" s="49">
        <f t="shared" si="12"/>
        <v>0</v>
      </c>
      <c r="O63" s="49">
        <f t="shared" si="12"/>
        <v>0</v>
      </c>
      <c r="P63" s="49">
        <f t="shared" si="12"/>
        <v>0</v>
      </c>
      <c r="Q63" s="49">
        <f t="shared" si="12"/>
        <v>0</v>
      </c>
      <c r="R63" s="49">
        <f t="shared" si="12"/>
        <v>0</v>
      </c>
      <c r="S63" s="49">
        <f t="shared" si="12"/>
        <v>0</v>
      </c>
      <c r="T63" s="49">
        <f t="shared" si="12"/>
        <v>0</v>
      </c>
      <c r="U63" s="49">
        <f t="shared" si="12"/>
        <v>0</v>
      </c>
      <c r="V63" s="49">
        <f t="shared" si="12"/>
        <v>0</v>
      </c>
      <c r="W63" s="49">
        <f t="shared" si="12"/>
        <v>0</v>
      </c>
    </row>
    <row r="64" spans="1:23" ht="16.5" thickTop="1">
      <c r="A64" s="37" t="str">
        <f>'Device Energy Use'!A5</f>
        <v>Electric Resistance</v>
      </c>
      <c r="B64" s="33">
        <f>'Water Heater Stock'!B15*'Device Energy Use'!$C5</f>
        <v>0</v>
      </c>
      <c r="C64" s="33">
        <f>'Water Heater Stock'!C15*'Device Energy Use'!$C5</f>
        <v>0</v>
      </c>
      <c r="D64" s="33">
        <f>'Water Heater Stock'!D15*'Device Energy Use'!$C5</f>
        <v>0</v>
      </c>
      <c r="E64" s="33">
        <f>'Water Heater Stock'!E15*'Device Energy Use'!$C5</f>
        <v>0</v>
      </c>
      <c r="F64" s="33">
        <f>'Water Heater Stock'!F15*'Device Energy Use'!$C5</f>
        <v>0</v>
      </c>
      <c r="G64" s="33">
        <f>'Water Heater Stock'!G15*'Device Energy Use'!$C5</f>
        <v>0</v>
      </c>
      <c r="H64" s="33">
        <f>'Water Heater Stock'!H15*'Device Energy Use'!$C5</f>
        <v>0</v>
      </c>
      <c r="I64" s="33">
        <f>'Water Heater Stock'!I15*'Device Energy Use'!$C5</f>
        <v>0</v>
      </c>
      <c r="J64" s="33">
        <f>'Water Heater Stock'!J15*'Device Energy Use'!$C5</f>
        <v>0</v>
      </c>
      <c r="K64" s="33">
        <f>'Water Heater Stock'!K15*'Device Energy Use'!$C5</f>
        <v>0</v>
      </c>
      <c r="L64" s="33">
        <f>'Water Heater Stock'!L15*'Device Energy Use'!$C5</f>
        <v>0</v>
      </c>
      <c r="M64" s="33">
        <f>'Water Heater Stock'!M15*'Device Energy Use'!$C5</f>
        <v>0</v>
      </c>
      <c r="N64" s="33">
        <f>'Water Heater Stock'!N15*'Device Energy Use'!$C5</f>
        <v>0</v>
      </c>
      <c r="O64" s="33">
        <f>'Water Heater Stock'!O15*'Device Energy Use'!$C5</f>
        <v>0</v>
      </c>
      <c r="P64" s="33">
        <f>'Water Heater Stock'!P15*'Device Energy Use'!$C5</f>
        <v>0</v>
      </c>
      <c r="Q64" s="33">
        <f>'Water Heater Stock'!Q15*'Device Energy Use'!$C5</f>
        <v>0</v>
      </c>
      <c r="R64" s="33">
        <f>'Water Heater Stock'!R15*'Device Energy Use'!$C5</f>
        <v>0</v>
      </c>
      <c r="S64" s="33">
        <f>'Water Heater Stock'!S15*'Device Energy Use'!$C5</f>
        <v>0</v>
      </c>
      <c r="T64" s="33">
        <f>'Water Heater Stock'!T15*'Device Energy Use'!$C5</f>
        <v>0</v>
      </c>
      <c r="U64" s="33">
        <f>'Water Heater Stock'!U15*'Device Energy Use'!$C5</f>
        <v>0</v>
      </c>
      <c r="V64" s="33">
        <f>'Water Heater Stock'!V15*'Device Energy Use'!$C5</f>
        <v>0</v>
      </c>
      <c r="W64" s="33">
        <f>'Water Heater Stock'!W15*'Device Energy Use'!$C5</f>
        <v>0</v>
      </c>
    </row>
    <row r="65" spans="1:23">
      <c r="A65" s="37" t="str">
        <f>'Device Energy Use'!A6</f>
        <v>HPWH</v>
      </c>
      <c r="B65" s="33">
        <f>'Water Heater Stock'!B16*'Device Energy Use'!$C6</f>
        <v>0</v>
      </c>
      <c r="C65" s="33">
        <f>'Water Heater Stock'!C16*'Device Energy Use'!$C6</f>
        <v>0</v>
      </c>
      <c r="D65" s="33">
        <f>'Water Heater Stock'!D16*'Device Energy Use'!$C6</f>
        <v>0</v>
      </c>
      <c r="E65" s="33">
        <f>'Water Heater Stock'!E16*'Device Energy Use'!$C6</f>
        <v>0</v>
      </c>
      <c r="F65" s="33">
        <f>'Water Heater Stock'!F16*'Device Energy Use'!$C6</f>
        <v>0</v>
      </c>
      <c r="G65" s="33">
        <f>'Water Heater Stock'!G16*'Device Energy Use'!$C6</f>
        <v>0</v>
      </c>
      <c r="H65" s="33">
        <f>'Water Heater Stock'!H16*'Device Energy Use'!$C6</f>
        <v>0</v>
      </c>
      <c r="I65" s="33">
        <f>'Water Heater Stock'!I16*'Device Energy Use'!$C6</f>
        <v>0</v>
      </c>
      <c r="J65" s="33">
        <f>'Water Heater Stock'!J16*'Device Energy Use'!$C6</f>
        <v>0</v>
      </c>
      <c r="K65" s="33">
        <f>'Water Heater Stock'!K16*'Device Energy Use'!$C6</f>
        <v>0</v>
      </c>
      <c r="L65" s="33">
        <f>'Water Heater Stock'!L16*'Device Energy Use'!$C6</f>
        <v>0</v>
      </c>
      <c r="M65" s="33">
        <f>'Water Heater Stock'!M16*'Device Energy Use'!$C6</f>
        <v>0</v>
      </c>
      <c r="N65" s="33">
        <f>'Water Heater Stock'!N16*'Device Energy Use'!$C6</f>
        <v>0</v>
      </c>
      <c r="O65" s="33">
        <f>'Water Heater Stock'!O16*'Device Energy Use'!$C6</f>
        <v>0</v>
      </c>
      <c r="P65" s="33">
        <f>'Water Heater Stock'!P16*'Device Energy Use'!$C6</f>
        <v>0</v>
      </c>
      <c r="Q65" s="33">
        <f>'Water Heater Stock'!Q16*'Device Energy Use'!$C6</f>
        <v>0</v>
      </c>
      <c r="R65" s="33">
        <f>'Water Heater Stock'!R16*'Device Energy Use'!$C6</f>
        <v>0</v>
      </c>
      <c r="S65" s="33">
        <f>'Water Heater Stock'!S16*'Device Energy Use'!$C6</f>
        <v>0</v>
      </c>
      <c r="T65" s="33">
        <f>'Water Heater Stock'!T16*'Device Energy Use'!$C6</f>
        <v>0</v>
      </c>
      <c r="U65" s="33">
        <f>'Water Heater Stock'!U16*'Device Energy Use'!$C6</f>
        <v>0</v>
      </c>
      <c r="V65" s="33">
        <f>'Water Heater Stock'!V16*'Device Energy Use'!$C6</f>
        <v>0</v>
      </c>
      <c r="W65" s="33">
        <f>'Water Heater Stock'!W16*'Device Energy Use'!$C6</f>
        <v>0</v>
      </c>
    </row>
    <row r="66" spans="1:23">
      <c r="A66" s="37" t="str">
        <f>'Device Energy Use'!A7</f>
        <v>Gas Tank</v>
      </c>
      <c r="B66" s="33">
        <f>'Water Heater Stock'!B17*'Device Energy Use'!$C7</f>
        <v>0</v>
      </c>
      <c r="C66" s="33">
        <f>'Water Heater Stock'!C17*'Device Energy Use'!$C7</f>
        <v>0</v>
      </c>
      <c r="D66" s="33">
        <f>'Water Heater Stock'!D17*'Device Energy Use'!$C7</f>
        <v>0</v>
      </c>
      <c r="E66" s="33">
        <f>'Water Heater Stock'!E17*'Device Energy Use'!$C7</f>
        <v>0</v>
      </c>
      <c r="F66" s="33">
        <f>'Water Heater Stock'!F17*'Device Energy Use'!$C7</f>
        <v>0</v>
      </c>
      <c r="G66" s="33">
        <f>'Water Heater Stock'!G17*'Device Energy Use'!$C7</f>
        <v>0</v>
      </c>
      <c r="H66" s="33">
        <f>'Water Heater Stock'!H17*'Device Energy Use'!$C7</f>
        <v>0</v>
      </c>
      <c r="I66" s="33">
        <f>'Water Heater Stock'!I17*'Device Energy Use'!$C7</f>
        <v>0</v>
      </c>
      <c r="J66" s="33">
        <f>'Water Heater Stock'!J17*'Device Energy Use'!$C7</f>
        <v>0</v>
      </c>
      <c r="K66" s="33">
        <f>'Water Heater Stock'!K17*'Device Energy Use'!$C7</f>
        <v>0</v>
      </c>
      <c r="L66" s="33">
        <f>'Water Heater Stock'!L17*'Device Energy Use'!$C7</f>
        <v>0</v>
      </c>
      <c r="M66" s="33">
        <f>'Water Heater Stock'!M17*'Device Energy Use'!$C7</f>
        <v>0</v>
      </c>
      <c r="N66" s="33">
        <f>'Water Heater Stock'!N17*'Device Energy Use'!$C7</f>
        <v>0</v>
      </c>
      <c r="O66" s="33">
        <f>'Water Heater Stock'!O17*'Device Energy Use'!$C7</f>
        <v>0</v>
      </c>
      <c r="P66" s="33">
        <f>'Water Heater Stock'!P17*'Device Energy Use'!$C7</f>
        <v>0</v>
      </c>
      <c r="Q66" s="33">
        <f>'Water Heater Stock'!Q17*'Device Energy Use'!$C7</f>
        <v>0</v>
      </c>
      <c r="R66" s="33">
        <f>'Water Heater Stock'!R17*'Device Energy Use'!$C7</f>
        <v>0</v>
      </c>
      <c r="S66" s="33">
        <f>'Water Heater Stock'!S17*'Device Energy Use'!$C7</f>
        <v>0</v>
      </c>
      <c r="T66" s="33">
        <f>'Water Heater Stock'!T17*'Device Energy Use'!$C7</f>
        <v>0</v>
      </c>
      <c r="U66" s="33">
        <f>'Water Heater Stock'!U17*'Device Energy Use'!$C7</f>
        <v>0</v>
      </c>
      <c r="V66" s="33">
        <f>'Water Heater Stock'!V17*'Device Energy Use'!$C7</f>
        <v>0</v>
      </c>
      <c r="W66" s="33">
        <f>'Water Heater Stock'!W17*'Device Energy Use'!$C7</f>
        <v>0</v>
      </c>
    </row>
    <row r="67" spans="1:23">
      <c r="A67" s="37" t="str">
        <f>'Device Energy Use'!A8</f>
        <v>Instant Gas</v>
      </c>
      <c r="B67" s="33">
        <f>'Water Heater Stock'!B18*'Device Energy Use'!$C8</f>
        <v>0</v>
      </c>
      <c r="C67" s="33">
        <f>'Water Heater Stock'!C18*'Device Energy Use'!$C8</f>
        <v>0</v>
      </c>
      <c r="D67" s="33">
        <f>'Water Heater Stock'!D18*'Device Energy Use'!$C8</f>
        <v>0</v>
      </c>
      <c r="E67" s="33">
        <f>'Water Heater Stock'!E18*'Device Energy Use'!$C8</f>
        <v>0</v>
      </c>
      <c r="F67" s="33">
        <f>'Water Heater Stock'!F18*'Device Energy Use'!$C8</f>
        <v>0</v>
      </c>
      <c r="G67" s="33">
        <f>'Water Heater Stock'!G18*'Device Energy Use'!$C8</f>
        <v>0</v>
      </c>
      <c r="H67" s="33">
        <f>'Water Heater Stock'!H18*'Device Energy Use'!$C8</f>
        <v>0</v>
      </c>
      <c r="I67" s="33">
        <f>'Water Heater Stock'!I18*'Device Energy Use'!$C8</f>
        <v>0</v>
      </c>
      <c r="J67" s="33">
        <f>'Water Heater Stock'!J18*'Device Energy Use'!$C8</f>
        <v>0</v>
      </c>
      <c r="K67" s="33">
        <f>'Water Heater Stock'!K18*'Device Energy Use'!$C8</f>
        <v>0</v>
      </c>
      <c r="L67" s="33">
        <f>'Water Heater Stock'!L18*'Device Energy Use'!$C8</f>
        <v>0</v>
      </c>
      <c r="M67" s="33">
        <f>'Water Heater Stock'!M18*'Device Energy Use'!$C8</f>
        <v>0</v>
      </c>
      <c r="N67" s="33">
        <f>'Water Heater Stock'!N18*'Device Energy Use'!$C8</f>
        <v>0</v>
      </c>
      <c r="O67" s="33">
        <f>'Water Heater Stock'!O18*'Device Energy Use'!$C8</f>
        <v>0</v>
      </c>
      <c r="P67" s="33">
        <f>'Water Heater Stock'!P18*'Device Energy Use'!$C8</f>
        <v>0</v>
      </c>
      <c r="Q67" s="33">
        <f>'Water Heater Stock'!Q18*'Device Energy Use'!$C8</f>
        <v>0</v>
      </c>
      <c r="R67" s="33">
        <f>'Water Heater Stock'!R18*'Device Energy Use'!$C8</f>
        <v>0</v>
      </c>
      <c r="S67" s="33">
        <f>'Water Heater Stock'!S18*'Device Energy Use'!$C8</f>
        <v>0</v>
      </c>
      <c r="T67" s="33">
        <f>'Water Heater Stock'!T18*'Device Energy Use'!$C8</f>
        <v>0</v>
      </c>
      <c r="U67" s="33">
        <f>'Water Heater Stock'!U18*'Device Energy Use'!$C8</f>
        <v>0</v>
      </c>
      <c r="V67" s="33">
        <f>'Water Heater Stock'!V18*'Device Energy Use'!$C8</f>
        <v>0</v>
      </c>
      <c r="W67" s="33">
        <f>'Water Heater Stock'!W18*'Device Energy Use'!$C8</f>
        <v>0</v>
      </c>
    </row>
    <row r="68" spans="1:23">
      <c r="A68" s="37" t="str">
        <f>'Device Energy Use'!A9</f>
        <v>Condensing Gas</v>
      </c>
      <c r="B68" s="33">
        <f>'Water Heater Stock'!B19*'Device Energy Use'!$C9</f>
        <v>0</v>
      </c>
      <c r="C68" s="33">
        <f>'Water Heater Stock'!C19*'Device Energy Use'!$C9</f>
        <v>0</v>
      </c>
      <c r="D68" s="33">
        <f>'Water Heater Stock'!D19*'Device Energy Use'!$C9</f>
        <v>0</v>
      </c>
      <c r="E68" s="33">
        <f>'Water Heater Stock'!E19*'Device Energy Use'!$C9</f>
        <v>0</v>
      </c>
      <c r="F68" s="33">
        <f>'Water Heater Stock'!F19*'Device Energy Use'!$C9</f>
        <v>0</v>
      </c>
      <c r="G68" s="33">
        <f>'Water Heater Stock'!G19*'Device Energy Use'!$C9</f>
        <v>0</v>
      </c>
      <c r="H68" s="33">
        <f>'Water Heater Stock'!H19*'Device Energy Use'!$C9</f>
        <v>0</v>
      </c>
      <c r="I68" s="33">
        <f>'Water Heater Stock'!I19*'Device Energy Use'!$C9</f>
        <v>0</v>
      </c>
      <c r="J68" s="33">
        <f>'Water Heater Stock'!J19*'Device Energy Use'!$C9</f>
        <v>0</v>
      </c>
      <c r="K68" s="33">
        <f>'Water Heater Stock'!K19*'Device Energy Use'!$C9</f>
        <v>0</v>
      </c>
      <c r="L68" s="33">
        <f>'Water Heater Stock'!L19*'Device Energy Use'!$C9</f>
        <v>0</v>
      </c>
      <c r="M68" s="33">
        <f>'Water Heater Stock'!M19*'Device Energy Use'!$C9</f>
        <v>0</v>
      </c>
      <c r="N68" s="33">
        <f>'Water Heater Stock'!N19*'Device Energy Use'!$C9</f>
        <v>0</v>
      </c>
      <c r="O68" s="33">
        <f>'Water Heater Stock'!O19*'Device Energy Use'!$C9</f>
        <v>0</v>
      </c>
      <c r="P68" s="33">
        <f>'Water Heater Stock'!P19*'Device Energy Use'!$C9</f>
        <v>0</v>
      </c>
      <c r="Q68" s="33">
        <f>'Water Heater Stock'!Q19*'Device Energy Use'!$C9</f>
        <v>0</v>
      </c>
      <c r="R68" s="33">
        <f>'Water Heater Stock'!R19*'Device Energy Use'!$C9</f>
        <v>0</v>
      </c>
      <c r="S68" s="33">
        <f>'Water Heater Stock'!S19*'Device Energy Use'!$C9</f>
        <v>0</v>
      </c>
      <c r="T68" s="33">
        <f>'Water Heater Stock'!T19*'Device Energy Use'!$C9</f>
        <v>0</v>
      </c>
      <c r="U68" s="33">
        <f>'Water Heater Stock'!U19*'Device Energy Use'!$C9</f>
        <v>0</v>
      </c>
      <c r="V68" s="33">
        <f>'Water Heater Stock'!V19*'Device Energy Use'!$C9</f>
        <v>0</v>
      </c>
      <c r="W68" s="33">
        <f>'Water Heater Stock'!W19*'Device Energy Use'!$C9</f>
        <v>0</v>
      </c>
    </row>
    <row r="69" spans="1:23">
      <c r="A69" s="3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W19"/>
  <sheetViews>
    <sheetView workbookViewId="0">
      <selection activeCell="A2" sqref="A2"/>
    </sheetView>
  </sheetViews>
  <sheetFormatPr defaultColWidth="9.140625" defaultRowHeight="15.75"/>
  <cols>
    <col min="1" max="1" width="20.7109375" style="9" customWidth="1"/>
    <col min="2" max="11" width="9.7109375" style="9" customWidth="1"/>
    <col min="12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Montana, Single Family, Gas FAF, &gt;55 Gallons, Electric Resistance is starting water heater</v>
      </c>
    </row>
    <row r="3" spans="1:23">
      <c r="A3" s="12" t="s">
        <v>105</v>
      </c>
    </row>
    <row r="4" spans="1:23" s="23" customFormat="1">
      <c r="A4" s="40" t="str">
        <f>+'Device Energy Use'!A4</f>
        <v>Water Heat Ending</v>
      </c>
      <c r="B4" s="39">
        <v>2014</v>
      </c>
      <c r="C4" s="39">
        <v>2015</v>
      </c>
      <c r="D4" s="39">
        <v>2016</v>
      </c>
      <c r="E4" s="39">
        <v>2017</v>
      </c>
      <c r="F4" s="39">
        <v>2018</v>
      </c>
      <c r="G4" s="39">
        <v>2019</v>
      </c>
      <c r="H4" s="39">
        <v>2020</v>
      </c>
      <c r="I4" s="39">
        <v>2021</v>
      </c>
      <c r="J4" s="39">
        <v>2022</v>
      </c>
      <c r="K4" s="39">
        <v>2023</v>
      </c>
      <c r="L4" s="39">
        <v>2024</v>
      </c>
      <c r="M4" s="39">
        <v>2025</v>
      </c>
      <c r="N4" s="39">
        <v>2026</v>
      </c>
      <c r="O4" s="39">
        <v>2027</v>
      </c>
      <c r="P4" s="39">
        <v>2028</v>
      </c>
      <c r="Q4" s="39">
        <v>2029</v>
      </c>
      <c r="R4" s="39">
        <v>2030</v>
      </c>
      <c r="S4" s="39">
        <v>2031</v>
      </c>
      <c r="T4" s="39">
        <v>2032</v>
      </c>
      <c r="U4" s="39">
        <v>2033</v>
      </c>
      <c r="V4" s="39">
        <v>2034</v>
      </c>
      <c r="W4" s="39">
        <v>2035</v>
      </c>
    </row>
    <row r="5" spans="1:23" s="23" customFormat="1" ht="16.5" thickBot="1">
      <c r="A5" s="48" t="s">
        <v>44</v>
      </c>
      <c r="B5" s="49">
        <f t="shared" ref="B5:W5" si="0">SUM(B6:B10)</f>
        <v>1904</v>
      </c>
      <c r="C5" s="49">
        <f t="shared" si="0"/>
        <v>1904</v>
      </c>
      <c r="D5" s="49">
        <f t="shared" si="0"/>
        <v>1903.9999999999998</v>
      </c>
      <c r="E5" s="49">
        <f t="shared" si="0"/>
        <v>1903.9999999999998</v>
      </c>
      <c r="F5" s="49">
        <f t="shared" si="0"/>
        <v>1903.9999999999995</v>
      </c>
      <c r="G5" s="49">
        <f t="shared" si="0"/>
        <v>1903.9999999999995</v>
      </c>
      <c r="H5" s="49">
        <f t="shared" si="0"/>
        <v>1903.9999999999995</v>
      </c>
      <c r="I5" s="49">
        <f t="shared" si="0"/>
        <v>1903.9999999999995</v>
      </c>
      <c r="J5" s="49">
        <f t="shared" si="0"/>
        <v>1903.9999999999995</v>
      </c>
      <c r="K5" s="49">
        <f t="shared" si="0"/>
        <v>1903.9999999999998</v>
      </c>
      <c r="L5" s="49">
        <f t="shared" si="0"/>
        <v>1903.9999999999998</v>
      </c>
      <c r="M5" s="49">
        <f t="shared" si="0"/>
        <v>1903.9999999999995</v>
      </c>
      <c r="N5" s="49">
        <f t="shared" si="0"/>
        <v>1903.9999999999995</v>
      </c>
      <c r="O5" s="49">
        <f t="shared" si="0"/>
        <v>1903.9999999999995</v>
      </c>
      <c r="P5" s="49">
        <f t="shared" si="0"/>
        <v>1903.9999999999995</v>
      </c>
      <c r="Q5" s="49">
        <f t="shared" si="0"/>
        <v>1903.9999999999995</v>
      </c>
      <c r="R5" s="49">
        <f t="shared" si="0"/>
        <v>1903.9999999999995</v>
      </c>
      <c r="S5" s="49">
        <f t="shared" si="0"/>
        <v>1903.9999999999995</v>
      </c>
      <c r="T5" s="49">
        <f t="shared" si="0"/>
        <v>1903.9999999999995</v>
      </c>
      <c r="U5" s="49">
        <f t="shared" si="0"/>
        <v>1903.9999999999995</v>
      </c>
      <c r="V5" s="49">
        <f t="shared" si="0"/>
        <v>1903.9999999999995</v>
      </c>
      <c r="W5" s="49">
        <f t="shared" si="0"/>
        <v>1903.9999999999993</v>
      </c>
    </row>
    <row r="6" spans="1:23" ht="16.5" thickTop="1">
      <c r="A6" s="9" t="str">
        <f>+'Device Energy Use'!A5</f>
        <v>Electric Resistance</v>
      </c>
      <c r="B6" s="33">
        <f>Households</f>
        <v>1904</v>
      </c>
      <c r="C6" s="33">
        <f>+B6-'Water Heaters Retired'!C6+'Water Heaters Purchased'!C6</f>
        <v>1768.001984347808</v>
      </c>
      <c r="D6" s="33">
        <f>+C6-'Water Heaters Retired'!D6+'Water Heaters Purchased'!D6</f>
        <v>1641.7180885807786</v>
      </c>
      <c r="E6" s="33">
        <f>+D6-'Water Heaters Retired'!E6+'Water Heaters Purchased'!E6</f>
        <v>1524.4544473682688</v>
      </c>
      <c r="F6" s="33">
        <f>+E6-'Water Heaters Retired'!F6+'Water Heaters Purchased'!F6</f>
        <v>1415.566757183826</v>
      </c>
      <c r="G6" s="33">
        <f>+F6-'Water Heaters Retired'!G6+'Water Heaters Purchased'!G6</f>
        <v>1314.4567361763627</v>
      </c>
      <c r="H6" s="33">
        <f>+G6-'Water Heaters Retired'!H6+'Water Heaters Purchased'!H6</f>
        <v>1220.5688369076781</v>
      </c>
      <c r="I6" s="33">
        <f>+H6-'Water Heaters Retired'!I6+'Water Heaters Purchased'!I6</f>
        <v>1133.3871938944415</v>
      </c>
      <c r="J6" s="33">
        <f>+I6-'Water Heaters Retired'!J6+'Water Heaters Purchased'!J6</f>
        <v>1052.4327891828925</v>
      </c>
      <c r="K6" s="33">
        <f>+J6-'Water Heaters Retired'!K6+'Water Heaters Purchased'!K6</f>
        <v>977.26082038249115</v>
      </c>
      <c r="L6" s="33">
        <f>+K6-'Water Heaters Retired'!L6+'Water Heaters Purchased'!L6</f>
        <v>907.45825669716464</v>
      </c>
      <c r="M6" s="33">
        <f>+L6-'Water Heaters Retired'!M6+'Water Heaters Purchased'!M6</f>
        <v>842.64156952575183</v>
      </c>
      <c r="N6" s="33">
        <f>+M6-'Water Heaters Retired'!N6+'Water Heaters Purchased'!N6</f>
        <v>782.45462516241571</v>
      </c>
      <c r="O6" s="33">
        <f>+N6-'Water Heaters Retired'!O6+'Water Heaters Purchased'!O6</f>
        <v>726.56672801845502</v>
      </c>
      <c r="P6" s="33">
        <f>+O6-'Water Heaters Retired'!P6+'Water Heaters Purchased'!P6</f>
        <v>674.670803613987</v>
      </c>
      <c r="Q6" s="33">
        <f>+P6-'Water Heaters Retired'!Q6+'Water Heaters Purchased'!Q6</f>
        <v>626.48171135593918</v>
      </c>
      <c r="R6" s="33">
        <f>+Q6-'Water Heaters Retired'!R6+'Water Heaters Purchased'!R6</f>
        <v>581.7346778318979</v>
      </c>
      <c r="S6" s="33">
        <f>+R6-'Water Heaters Retired'!S6+'Water Heaters Purchased'!S6</f>
        <v>540.18384201154049</v>
      </c>
      <c r="T6" s="33">
        <f>+S6-'Water Heaters Retired'!T6+'Water Heaters Purchased'!T6</f>
        <v>501.60090436224988</v>
      </c>
      <c r="U6" s="33">
        <f>+T6-'Water Heaters Retired'!U6+'Water Heaters Purchased'!U6</f>
        <v>465.77387245647208</v>
      </c>
      <c r="V6" s="33">
        <f>+U6-'Water Heaters Retired'!V6+'Water Heaters Purchased'!V6</f>
        <v>432.50589617854729</v>
      </c>
      <c r="W6" s="33">
        <f>+V6-'Water Heaters Retired'!W6+'Water Heaters Purchased'!W6</f>
        <v>401.61418613105366</v>
      </c>
    </row>
    <row r="7" spans="1:23">
      <c r="A7" s="9" t="str">
        <f>+'Device Energy Use'!A6</f>
        <v>HPWH</v>
      </c>
      <c r="B7" s="33">
        <v>0</v>
      </c>
      <c r="C7" s="33">
        <f>+B7-'Water Heaters Retired'!C7+'Water Heaters Purchased'!C7</f>
        <v>59.342451010996697</v>
      </c>
      <c r="D7" s="33">
        <f>+C7-'Water Heaters Retired'!D7+'Water Heaters Purchased'!D7</f>
        <v>114.27832734485877</v>
      </c>
      <c r="E7" s="33">
        <f>+D7-'Water Heaters Retired'!E7+'Water Heaters Purchased'!E7</f>
        <v>165.12276557403661</v>
      </c>
      <c r="F7" s="33">
        <f>+E7-'Water Heaters Retired'!F7+'Water Heaters Purchased'!F7</f>
        <v>212.16841318208475</v>
      </c>
      <c r="G7" s="33">
        <f>+F7-'Water Heaters Retired'!G7+'Water Heaters Purchased'!G7</f>
        <v>255.68703488514456</v>
      </c>
      <c r="H7" s="33">
        <f>+G7-'Water Heaters Retired'!H7+'Water Heaters Purchased'!H7</f>
        <v>295.93100420849498</v>
      </c>
      <c r="I7" s="33">
        <f>+H7-'Water Heaters Retired'!I7+'Water Heaters Purchased'!I7</f>
        <v>333.1346885142903</v>
      </c>
      <c r="J7" s="33">
        <f>+I7-'Water Heaters Retired'!J7+'Water Heaters Purchased'!J7</f>
        <v>367.51573509117532</v>
      </c>
      <c r="K7" s="33">
        <f>+J7-'Water Heaters Retired'!K7+'Water Heaters Purchased'!K7</f>
        <v>399.27626537285249</v>
      </c>
      <c r="L7" s="33">
        <f>+K7-'Water Heaters Retired'!L7+'Water Heaters Purchased'!L7</f>
        <v>428.60398384789369</v>
      </c>
      <c r="M7" s="33">
        <f>+L7-'Water Heaters Retired'!M7+'Water Heaters Purchased'!M7</f>
        <v>455.67320775435786</v>
      </c>
      <c r="N7" s="33">
        <f>+M7-'Water Heaters Retired'!N7+'Water Heaters Purchased'!N7</f>
        <v>480.6458232175313</v>
      </c>
      <c r="O7" s="33">
        <f>+N7-'Water Heaters Retired'!O7+'Water Heaters Purchased'!O7</f>
        <v>503.67217308494531</v>
      </c>
      <c r="P7" s="33">
        <f>+O7-'Water Heaters Retired'!P7+'Water Heaters Purchased'!P7</f>
        <v>524.89188133753669</v>
      </c>
      <c r="Q7" s="33">
        <f>+P7-'Water Heaters Retired'!Q7+'Water Heaters Purchased'!Q7</f>
        <v>544.4346186073326</v>
      </c>
      <c r="R7" s="33">
        <f>+Q7-'Water Heaters Retired'!R7+'Water Heaters Purchased'!R7</f>
        <v>562.42081300844666</v>
      </c>
      <c r="S7" s="33">
        <f>+R7-'Water Heaters Retired'!S7+'Water Heaters Purchased'!S7</f>
        <v>578.96231018769686</v>
      </c>
      <c r="T7" s="33">
        <f>+S7-'Water Heaters Retired'!T7+'Water Heaters Purchased'!T7</f>
        <v>594.1629862221356</v>
      </c>
      <c r="U7" s="33">
        <f>+T7-'Water Heaters Retired'!U7+'Water Heaters Purchased'!U7</f>
        <v>608.11931673169818</v>
      </c>
      <c r="V7" s="33">
        <f>+U7-'Water Heaters Retired'!V7+'Water Heaters Purchased'!V7</f>
        <v>620.92090533459339</v>
      </c>
      <c r="W7" s="33">
        <f>+V7-'Water Heaters Retired'!W7+'Water Heaters Purchased'!W7</f>
        <v>632.65097434966253</v>
      </c>
    </row>
    <row r="8" spans="1:23">
      <c r="A8" s="9" t="str">
        <f>+'Device Energy Use'!A7</f>
        <v>Gas Tank</v>
      </c>
      <c r="B8" s="33">
        <v>0</v>
      </c>
      <c r="C8" s="33">
        <f>+B8-'Water Heaters Retired'!C8+'Water Heaters Purchased'!C8</f>
        <v>7.6077515603973495E-3</v>
      </c>
      <c r="D8" s="33">
        <f>+C8-'Water Heaters Retired'!D8+'Water Heaters Purchased'!D8</f>
        <v>1.4609855744809955E-2</v>
      </c>
      <c r="E8" s="33">
        <f>+D8-'Water Heaters Retired'!E8+'Water Heaters Purchased'!E8</f>
        <v>2.1049882055322936E-2</v>
      </c>
      <c r="F8" s="33">
        <f>+E8-'Water Heaters Retired'!F8+'Water Heaters Purchased'!F8</f>
        <v>2.696829390309612E-2</v>
      </c>
      <c r="G8" s="33">
        <f>+F8-'Water Heaters Retired'!G8+'Water Heaters Purchased'!G8</f>
        <v>3.2402670316193226E-2</v>
      </c>
      <c r="H8" s="33">
        <f>+G8-'Water Heaters Retired'!H8+'Water Heaters Purchased'!H8</f>
        <v>3.7387911809680485E-2</v>
      </c>
      <c r="I8" s="33">
        <f>+H8-'Water Heaters Retired'!I8+'Water Heaters Purchased'!I8</f>
        <v>4.1956431549408098E-2</v>
      </c>
      <c r="J8" s="33">
        <f>+I8-'Water Heaters Retired'!J8+'Water Heaters Purchased'!J8</f>
        <v>4.6138332860072406E-2</v>
      </c>
      <c r="K8" s="33">
        <f>+J8-'Water Heaters Retired'!K8+'Water Heaters Purchased'!K8</f>
        <v>4.9961574053113161E-2</v>
      </c>
      <c r="L8" s="33">
        <f>+K8-'Water Heaters Retired'!L8+'Water Heaters Purchased'!L8</f>
        <v>5.3452121480316507E-2</v>
      </c>
      <c r="M8" s="33">
        <f>+L8-'Water Heaters Retired'!M8+'Water Heaters Purchased'!M8</f>
        <v>5.6634091654288503E-2</v>
      </c>
      <c r="N8" s="33">
        <f>+M8-'Water Heaters Retired'!N8+'Water Heaters Purchased'!N8</f>
        <v>5.9529883216879076E-2</v>
      </c>
      <c r="O8" s="33">
        <f>+N8-'Water Heaters Retired'!O8+'Water Heaters Purchased'!O8</f>
        <v>6.216029948084336E-2</v>
      </c>
      <c r="P8" s="33">
        <f>+O8-'Water Heaters Retired'!P8+'Water Heaters Purchased'!P8</f>
        <v>6.4544662218219487E-2</v>
      </c>
      <c r="Q8" s="33">
        <f>+P8-'Water Heaters Retired'!Q8+'Water Heaters Purchased'!Q8</f>
        <v>6.6700917320794265E-2</v>
      </c>
      <c r="R8" s="33">
        <f>+Q8-'Water Heaters Retired'!R8+'Water Heaters Purchased'!R8</f>
        <v>6.8645732913356558E-2</v>
      </c>
      <c r="S8" s="33">
        <f>+R8-'Water Heaters Retired'!S8+'Water Heaters Purchased'!S8</f>
        <v>7.0394590458957504E-2</v>
      </c>
      <c r="T8" s="33">
        <f>+S8-'Water Heaters Retired'!T8+'Water Heaters Purchased'!T8</f>
        <v>7.1961869356878455E-2</v>
      </c>
      <c r="U8" s="33">
        <f>+T8-'Water Heaters Retired'!U8+'Water Heaters Purchased'!U8</f>
        <v>7.3360925498240762E-2</v>
      </c>
      <c r="V8" s="33">
        <f>+U8-'Water Heaters Retired'!V8+'Water Heaters Purchased'!V8</f>
        <v>7.4604164210979138E-2</v>
      </c>
      <c r="W8" s="33">
        <f>+V8-'Water Heaters Retired'!W8+'Water Heaters Purchased'!W8</f>
        <v>7.5703107995060123E-2</v>
      </c>
    </row>
    <row r="9" spans="1:23">
      <c r="A9" s="9" t="str">
        <f>+'Device Energy Use'!A8</f>
        <v>Instant Gas</v>
      </c>
      <c r="B9" s="33">
        <v>0</v>
      </c>
      <c r="C9" s="33">
        <f>+B9-'Water Heaters Retired'!C9+'Water Heaters Purchased'!C9</f>
        <v>21.650883104790683</v>
      </c>
      <c r="D9" s="33">
        <f>+C9-'Water Heaters Retired'!D9+'Water Heaters Purchased'!D9</f>
        <v>41.86860977053086</v>
      </c>
      <c r="E9" s="33">
        <f>+D9-'Water Heaters Retired'!E9+'Water Heaters Purchased'!E9</f>
        <v>60.756278001015261</v>
      </c>
      <c r="F9" s="33">
        <f>+E9-'Water Heaters Retired'!F9+'Water Heaters Purchased'!F9</f>
        <v>78.409617295653163</v>
      </c>
      <c r="G9" s="33">
        <f>+F9-'Water Heaters Retired'!G9+'Water Heaters Purchased'!G9</f>
        <v>94.917514729355673</v>
      </c>
      <c r="H9" s="33">
        <f>+G9-'Water Heaters Retired'!H9+'Water Heaters Purchased'!H9</f>
        <v>110.36250345237978</v>
      </c>
      <c r="I9" s="33">
        <f>+H9-'Water Heaters Retired'!I9+'Water Heaters Purchased'!I9</f>
        <v>124.82121629450162</v>
      </c>
      <c r="J9" s="33">
        <f>+I9-'Water Heaters Retired'!J9+'Water Heaters Purchased'!J9</f>
        <v>138.3648069661561</v>
      </c>
      <c r="K9" s="33">
        <f>+J9-'Water Heaters Retired'!K9+'Water Heaters Purchased'!K9</f>
        <v>151.05934117113907</v>
      </c>
      <c r="L9" s="33">
        <f>+K9-'Water Heaters Retired'!L9+'Water Heaters Purchased'!L9</f>
        <v>162.96615978014549</v>
      </c>
      <c r="M9" s="33">
        <f>+L9-'Water Heaters Retired'!M9+'Water Heaters Purchased'!M9</f>
        <v>174.1422160609028</v>
      </c>
      <c r="N9" s="33">
        <f>+M9-'Water Heaters Retired'!N9+'Water Heaters Purchased'!N9</f>
        <v>184.64038881810933</v>
      </c>
      <c r="O9" s="33">
        <f>+N9-'Water Heaters Retired'!O9+'Water Heaters Purchased'!O9</f>
        <v>194.50977316402134</v>
      </c>
      <c r="P9" s="33">
        <f>+O9-'Water Heaters Retired'!P9+'Water Heaters Purchased'!P9</f>
        <v>203.79595051761936</v>
      </c>
      <c r="Q9" s="33">
        <f>+P9-'Water Heaters Retired'!Q9+'Water Heaters Purchased'!Q9</f>
        <v>212.54123931615297</v>
      </c>
      <c r="R9" s="33">
        <f>+Q9-'Water Heaters Retired'!R9+'Water Heaters Purchased'!R9</f>
        <v>220.7849278168818</v>
      </c>
      <c r="S9" s="33">
        <f>+R9-'Water Heaters Retired'!S9+'Water Heaters Purchased'!S9</f>
        <v>228.56349026842074</v>
      </c>
      <c r="T9" s="33">
        <f>+S9-'Water Heaters Retired'!T9+'Water Heaters Purchased'!T9</f>
        <v>235.91078763971649</v>
      </c>
      <c r="U9" s="33">
        <f>+T9-'Water Heaters Retired'!U9+'Water Heaters Purchased'!U9</f>
        <v>242.85825400982819</v>
      </c>
      <c r="V9" s="33">
        <f>+U9-'Water Heaters Retired'!V9+'Water Heaters Purchased'!V9</f>
        <v>249.43506964289261</v>
      </c>
      <c r="W9" s="33">
        <f>+V9-'Water Heaters Retired'!W9+'Water Heaters Purchased'!W9</f>
        <v>255.66832169948881</v>
      </c>
    </row>
    <row r="10" spans="1:23">
      <c r="A10" s="9" t="str">
        <f>+'Device Energy Use'!A9</f>
        <v>Condensing Gas</v>
      </c>
      <c r="B10" s="33">
        <v>0</v>
      </c>
      <c r="C10" s="33">
        <f>+B10-'Water Heaters Retired'!C10+'Water Heaters Purchased'!C10</f>
        <v>54.99707378484419</v>
      </c>
      <c r="D10" s="33">
        <f>+C10-'Water Heaters Retired'!D10+'Water Heaters Purchased'!D10</f>
        <v>106.12036444808686</v>
      </c>
      <c r="E10" s="33">
        <f>+D10-'Water Heaters Retired'!E10+'Water Heaters Purchased'!E10</f>
        <v>153.64545917462371</v>
      </c>
      <c r="F10" s="33">
        <f>+E10-'Water Heaters Retired'!F10+'Water Heaters Purchased'!F10</f>
        <v>197.82824404453265</v>
      </c>
      <c r="G10" s="33">
        <f>+F10-'Water Heaters Retired'!G10+'Water Heaters Purchased'!G10</f>
        <v>238.9063115388204</v>
      </c>
      <c r="H10" s="33">
        <f>+G10-'Water Heaters Retired'!H10+'Water Heaters Purchased'!H10</f>
        <v>277.10026751963699</v>
      </c>
      <c r="I10" s="33">
        <f>+H10-'Water Heaters Retired'!I10+'Water Heaters Purchased'!I10</f>
        <v>312.61494486521667</v>
      </c>
      <c r="J10" s="33">
        <f>+I10-'Water Heaters Retired'!J10+'Water Heaters Purchased'!J10</f>
        <v>345.64053042691552</v>
      </c>
      <c r="K10" s="33">
        <f>+J10-'Water Heaters Retired'!K10+'Water Heaters Purchased'!K10</f>
        <v>376.35361149946374</v>
      </c>
      <c r="L10" s="33">
        <f>+K10-'Water Heaters Retired'!L10+'Water Heaters Purchased'!L10</f>
        <v>404.91814755331546</v>
      </c>
      <c r="M10" s="33">
        <f>+L10-'Water Heaters Retired'!M10+'Water Heaters Purchased'!M10</f>
        <v>431.48637256733275</v>
      </c>
      <c r="N10" s="33">
        <f>+M10-'Water Heaters Retired'!N10+'Water Heaters Purchased'!N10</f>
        <v>456.19963291872625</v>
      </c>
      <c r="O10" s="33">
        <f>+N10-'Water Heaters Retired'!O10+'Water Heaters Purchased'!O10</f>
        <v>479.18916543309706</v>
      </c>
      <c r="P10" s="33">
        <f>+O10-'Water Heaters Retired'!P10+'Water Heaters Purchased'!P10</f>
        <v>500.57681986863821</v>
      </c>
      <c r="Q10" s="33">
        <f>+P10-'Water Heaters Retired'!Q10+'Water Heaters Purchased'!Q10</f>
        <v>520.47572980325401</v>
      </c>
      <c r="R10" s="33">
        <f>+Q10-'Water Heaters Retired'!R10+'Water Heaters Purchased'!R10</f>
        <v>538.99093560985978</v>
      </c>
      <c r="S10" s="33">
        <f>+R10-'Water Heaters Retired'!S10+'Water Heaters Purchased'!S10</f>
        <v>556.2199629418825</v>
      </c>
      <c r="T10" s="33">
        <f>+S10-'Water Heaters Retired'!T10+'Water Heaters Purchased'!T10</f>
        <v>572.2533599065406</v>
      </c>
      <c r="U10" s="33">
        <f>+T10-'Water Heaters Retired'!U10+'Water Heaters Purchased'!U10</f>
        <v>587.17519587650281</v>
      </c>
      <c r="V10" s="33">
        <f>+U10-'Water Heaters Retired'!V10+'Water Heaters Purchased'!V10</f>
        <v>601.06352467975535</v>
      </c>
      <c r="W10" s="33">
        <f>+V10-'Water Heaters Retired'!W10+'Water Heaters Purchased'!W10</f>
        <v>613.99081471179943</v>
      </c>
    </row>
    <row r="11" spans="1:23">
      <c r="A11" s="37"/>
    </row>
    <row r="12" spans="1:23">
      <c r="A12" s="101" t="s">
        <v>106</v>
      </c>
    </row>
    <row r="13" spans="1:23" s="23" customFormat="1">
      <c r="A13" s="40" t="str">
        <f>+'Device Energy Use'!A4</f>
        <v>Water Heat Ending</v>
      </c>
      <c r="B13" s="39">
        <v>2014</v>
      </c>
      <c r="C13" s="39">
        <v>2015</v>
      </c>
      <c r="D13" s="39">
        <v>2016</v>
      </c>
      <c r="E13" s="39">
        <v>2017</v>
      </c>
      <c r="F13" s="39">
        <v>2018</v>
      </c>
      <c r="G13" s="39">
        <v>2019</v>
      </c>
      <c r="H13" s="39">
        <v>2020</v>
      </c>
      <c r="I13" s="39">
        <v>2021</v>
      </c>
      <c r="J13" s="39">
        <v>2022</v>
      </c>
      <c r="K13" s="39">
        <v>2023</v>
      </c>
      <c r="L13" s="39">
        <v>2024</v>
      </c>
      <c r="M13" s="39">
        <v>2025</v>
      </c>
      <c r="N13" s="39">
        <v>2026</v>
      </c>
      <c r="O13" s="39">
        <v>2027</v>
      </c>
      <c r="P13" s="39">
        <v>2028</v>
      </c>
      <c r="Q13" s="39">
        <v>2029</v>
      </c>
      <c r="R13" s="39">
        <v>2030</v>
      </c>
      <c r="S13" s="39">
        <v>2031</v>
      </c>
      <c r="T13" s="39">
        <v>2032</v>
      </c>
      <c r="U13" s="39">
        <v>2033</v>
      </c>
      <c r="V13" s="39">
        <v>2034</v>
      </c>
      <c r="W13" s="39">
        <v>2035</v>
      </c>
    </row>
    <row r="14" spans="1:23" s="23" customFormat="1" ht="16.5" thickBot="1">
      <c r="A14" s="48" t="s">
        <v>44</v>
      </c>
      <c r="B14" s="49">
        <f t="shared" ref="B14:W14" si="1">SUM(B15:B19)</f>
        <v>1904</v>
      </c>
      <c r="C14" s="49">
        <f t="shared" si="1"/>
        <v>1904</v>
      </c>
      <c r="D14" s="49">
        <f t="shared" si="1"/>
        <v>1904</v>
      </c>
      <c r="E14" s="49">
        <f t="shared" si="1"/>
        <v>1904</v>
      </c>
      <c r="F14" s="49">
        <f t="shared" si="1"/>
        <v>1904</v>
      </c>
      <c r="G14" s="49">
        <f t="shared" si="1"/>
        <v>1904</v>
      </c>
      <c r="H14" s="49">
        <f t="shared" si="1"/>
        <v>1904</v>
      </c>
      <c r="I14" s="49">
        <f t="shared" si="1"/>
        <v>1904</v>
      </c>
      <c r="J14" s="49">
        <f t="shared" si="1"/>
        <v>1904</v>
      </c>
      <c r="K14" s="49">
        <f t="shared" si="1"/>
        <v>1904</v>
      </c>
      <c r="L14" s="49">
        <f t="shared" si="1"/>
        <v>1904</v>
      </c>
      <c r="M14" s="49">
        <f t="shared" si="1"/>
        <v>1904</v>
      </c>
      <c r="N14" s="49">
        <f t="shared" si="1"/>
        <v>1904</v>
      </c>
      <c r="O14" s="49">
        <f t="shared" si="1"/>
        <v>1903.9999999999998</v>
      </c>
      <c r="P14" s="49">
        <f t="shared" si="1"/>
        <v>1903.9999999999995</v>
      </c>
      <c r="Q14" s="49">
        <f t="shared" si="1"/>
        <v>1903.9999999999995</v>
      </c>
      <c r="R14" s="49">
        <f t="shared" si="1"/>
        <v>1903.9999999999995</v>
      </c>
      <c r="S14" s="49">
        <f t="shared" si="1"/>
        <v>1903.9999999999998</v>
      </c>
      <c r="T14" s="49">
        <f t="shared" si="1"/>
        <v>1903.9999999999998</v>
      </c>
      <c r="U14" s="49">
        <f t="shared" si="1"/>
        <v>1903.9999999999998</v>
      </c>
      <c r="V14" s="49">
        <f t="shared" si="1"/>
        <v>1903.9999999999995</v>
      </c>
      <c r="W14" s="49">
        <f t="shared" si="1"/>
        <v>1903.9999999999998</v>
      </c>
    </row>
    <row r="15" spans="1:23" ht="16.5" thickTop="1">
      <c r="A15" s="9" t="str">
        <f>+'Device Energy Use'!A5</f>
        <v>Electric Resistance</v>
      </c>
      <c r="B15" s="33">
        <f>Households</f>
        <v>1904</v>
      </c>
      <c r="C15" s="33">
        <f>+B15-'Water Heaters Retired'!C15+'Water Heaters Purchased'!C15</f>
        <v>1768</v>
      </c>
      <c r="D15" s="33">
        <f>+C15-'Water Heaters Retired'!D15+'Water Heaters Purchased'!D15</f>
        <v>1641.7142857142858</v>
      </c>
      <c r="E15" s="33">
        <f>+D15-'Water Heaters Retired'!E15+'Water Heaters Purchased'!E15</f>
        <v>1524.4489795918369</v>
      </c>
      <c r="F15" s="33">
        <f>+E15-'Water Heaters Retired'!F15+'Water Heaters Purchased'!F15</f>
        <v>1415.5597667638485</v>
      </c>
      <c r="G15" s="33">
        <f>+F15-'Water Heaters Retired'!G15+'Water Heaters Purchased'!G15</f>
        <v>1314.448354852145</v>
      </c>
      <c r="H15" s="33">
        <f>+G15-'Water Heaters Retired'!H15+'Water Heaters Purchased'!H15</f>
        <v>1220.5591866484203</v>
      </c>
      <c r="I15" s="33">
        <f>+H15-'Water Heaters Retired'!I15+'Water Heaters Purchased'!I15</f>
        <v>1133.3763876021046</v>
      </c>
      <c r="J15" s="33">
        <f>+I15-'Water Heaters Retired'!J15+'Water Heaters Purchased'!J15</f>
        <v>1052.4209313448114</v>
      </c>
      <c r="K15" s="33">
        <f>+J15-'Water Heaters Retired'!K15+'Water Heaters Purchased'!K15</f>
        <v>977.24800767732484</v>
      </c>
      <c r="L15" s="33">
        <f>+K15-'Water Heaters Retired'!L15+'Water Heaters Purchased'!L15</f>
        <v>907.44457855751591</v>
      </c>
      <c r="M15" s="33">
        <f>+L15-'Water Heaters Retired'!M15+'Water Heaters Purchased'!M15</f>
        <v>842.62710866055045</v>
      </c>
      <c r="N15" s="33">
        <f>+M15-'Water Heaters Retired'!N15+'Water Heaters Purchased'!N15</f>
        <v>782.4394580419397</v>
      </c>
      <c r="O15" s="33">
        <f>+N15-'Water Heaters Retired'!O15+'Water Heaters Purchased'!O15</f>
        <v>726.55092532465824</v>
      </c>
      <c r="P15" s="33">
        <f>+O15-'Water Heaters Retired'!P15+'Water Heaters Purchased'!P15</f>
        <v>674.6544306586112</v>
      </c>
      <c r="Q15" s="33">
        <f>+P15-'Water Heaters Retired'!Q15+'Water Heaters Purchased'!Q15</f>
        <v>626.46482846871038</v>
      </c>
      <c r="R15" s="33">
        <f>+Q15-'Water Heaters Retired'!R15+'Water Heaters Purchased'!R15</f>
        <v>581.71734072094534</v>
      </c>
      <c r="S15" s="33">
        <f>+R15-'Water Heaters Retired'!S15+'Water Heaters Purchased'!S15</f>
        <v>540.1661020980207</v>
      </c>
      <c r="T15" s="33">
        <f>+S15-'Water Heaters Retired'!T15+'Water Heaters Purchased'!T15</f>
        <v>501.58280909101921</v>
      </c>
      <c r="U15" s="33">
        <f>+T15-'Water Heaters Retired'!U15+'Water Heaters Purchased'!U15</f>
        <v>465.75546558451782</v>
      </c>
      <c r="V15" s="33">
        <f>+U15-'Water Heaters Retired'!V15+'Water Heaters Purchased'!V15</f>
        <v>432.48721804276653</v>
      </c>
      <c r="W15" s="33">
        <f>+V15-'Water Heaters Retired'!W15+'Water Heaters Purchased'!W15</f>
        <v>401.59527389685462</v>
      </c>
    </row>
    <row r="16" spans="1:23">
      <c r="A16" s="9" t="str">
        <f>+'Device Energy Use'!A6</f>
        <v>HPWH</v>
      </c>
      <c r="B16" s="33">
        <v>0</v>
      </c>
      <c r="C16" s="33">
        <f>+B16-'Water Heaters Retired'!C16+'Water Heaters Purchased'!C16</f>
        <v>136</v>
      </c>
      <c r="D16" s="33">
        <f>+C16-'Water Heaters Retired'!D16+'Water Heaters Purchased'!D16</f>
        <v>262.28571428571428</v>
      </c>
      <c r="E16" s="33">
        <f>+D16-'Water Heaters Retired'!E16+'Water Heaters Purchased'!E16</f>
        <v>379.55102040816325</v>
      </c>
      <c r="F16" s="33">
        <f>+E16-'Water Heaters Retired'!F16+'Water Heaters Purchased'!F16</f>
        <v>488.44023323615158</v>
      </c>
      <c r="G16" s="33">
        <f>+F16-'Water Heaters Retired'!G16+'Water Heaters Purchased'!G16</f>
        <v>589.55164514785497</v>
      </c>
      <c r="H16" s="33">
        <f>+G16-'Water Heaters Retired'!H16+'Water Heaters Purchased'!H16</f>
        <v>683.44081335157966</v>
      </c>
      <c r="I16" s="33">
        <f>+H16-'Water Heaters Retired'!I16+'Water Heaters Purchased'!I16</f>
        <v>770.62361239789539</v>
      </c>
      <c r="J16" s="33">
        <f>+I16-'Water Heaters Retired'!J16+'Water Heaters Purchased'!J16</f>
        <v>851.57906865518862</v>
      </c>
      <c r="K16" s="33">
        <f>+J16-'Water Heaters Retired'!K16+'Water Heaters Purchased'!K16</f>
        <v>926.75199232267516</v>
      </c>
      <c r="L16" s="33">
        <f>+K16-'Water Heaters Retired'!L16+'Water Heaters Purchased'!L16</f>
        <v>996.55542144248409</v>
      </c>
      <c r="M16" s="33">
        <f>+L16-'Water Heaters Retired'!M16+'Water Heaters Purchased'!M16</f>
        <v>1061.3728913394496</v>
      </c>
      <c r="N16" s="33">
        <f>+M16-'Water Heaters Retired'!N16+'Water Heaters Purchased'!N16</f>
        <v>1121.5605419580602</v>
      </c>
      <c r="O16" s="33">
        <f>+N16-'Water Heaters Retired'!O16+'Water Heaters Purchased'!O16</f>
        <v>1177.4490746753415</v>
      </c>
      <c r="P16" s="33">
        <f>+O16-'Water Heaters Retired'!P16+'Water Heaters Purchased'!P16</f>
        <v>1229.3455693413885</v>
      </c>
      <c r="Q16" s="33">
        <f>+P16-'Water Heaters Retired'!Q16+'Water Heaters Purchased'!Q16</f>
        <v>1277.5351715312893</v>
      </c>
      <c r="R16" s="33">
        <f>+Q16-'Water Heaters Retired'!R16+'Water Heaters Purchased'!R16</f>
        <v>1322.2826592790543</v>
      </c>
      <c r="S16" s="33">
        <f>+R16-'Water Heaters Retired'!S16+'Water Heaters Purchased'!S16</f>
        <v>1363.8338979019791</v>
      </c>
      <c r="T16" s="33">
        <f>+S16-'Water Heaters Retired'!T16+'Water Heaters Purchased'!T16</f>
        <v>1402.4171909089805</v>
      </c>
      <c r="U16" s="33">
        <f>+T16-'Water Heaters Retired'!U16+'Water Heaters Purchased'!U16</f>
        <v>1438.2445344154819</v>
      </c>
      <c r="V16" s="33">
        <f>+U16-'Water Heaters Retired'!V16+'Water Heaters Purchased'!V16</f>
        <v>1471.5127819572331</v>
      </c>
      <c r="W16" s="33">
        <f>+V16-'Water Heaters Retired'!W16+'Water Heaters Purchased'!W16</f>
        <v>1502.4047261031451</v>
      </c>
    </row>
    <row r="17" spans="1:23">
      <c r="A17" s="9" t="str">
        <f>+'Device Energy Use'!A7</f>
        <v>Gas Tank</v>
      </c>
      <c r="B17" s="33">
        <v>0</v>
      </c>
      <c r="C17" s="33">
        <f>+B17-'Water Heaters Retired'!C17+'Water Heaters Purchased'!C17</f>
        <v>0</v>
      </c>
      <c r="D17" s="33">
        <f>+C17-'Water Heaters Retired'!D17+'Water Heaters Purchased'!D17</f>
        <v>0</v>
      </c>
      <c r="E17" s="33">
        <f>+D17-'Water Heaters Retired'!E17+'Water Heaters Purchased'!E17</f>
        <v>0</v>
      </c>
      <c r="F17" s="33">
        <f>+E17-'Water Heaters Retired'!F17+'Water Heaters Purchased'!F17</f>
        <v>0</v>
      </c>
      <c r="G17" s="33">
        <f>+F17-'Water Heaters Retired'!G17+'Water Heaters Purchased'!G17</f>
        <v>0</v>
      </c>
      <c r="H17" s="33">
        <f>+G17-'Water Heaters Retired'!H17+'Water Heaters Purchased'!H17</f>
        <v>0</v>
      </c>
      <c r="I17" s="33">
        <f>+H17-'Water Heaters Retired'!I17+'Water Heaters Purchased'!I17</f>
        <v>0</v>
      </c>
      <c r="J17" s="33">
        <f>+I17-'Water Heaters Retired'!J17+'Water Heaters Purchased'!J17</f>
        <v>0</v>
      </c>
      <c r="K17" s="33">
        <f>+J17-'Water Heaters Retired'!K17+'Water Heaters Purchased'!K17</f>
        <v>0</v>
      </c>
      <c r="L17" s="33">
        <f>+K17-'Water Heaters Retired'!L17+'Water Heaters Purchased'!L17</f>
        <v>0</v>
      </c>
      <c r="M17" s="33">
        <f>+L17-'Water Heaters Retired'!M17+'Water Heaters Purchased'!M17</f>
        <v>0</v>
      </c>
      <c r="N17" s="33">
        <f>+M17-'Water Heaters Retired'!N17+'Water Heaters Purchased'!N17</f>
        <v>0</v>
      </c>
      <c r="O17" s="33">
        <f>+N17-'Water Heaters Retired'!O17+'Water Heaters Purchased'!O17</f>
        <v>0</v>
      </c>
      <c r="P17" s="33">
        <f>+O17-'Water Heaters Retired'!P17+'Water Heaters Purchased'!P17</f>
        <v>0</v>
      </c>
      <c r="Q17" s="33">
        <f>+P17-'Water Heaters Retired'!Q17+'Water Heaters Purchased'!Q17</f>
        <v>0</v>
      </c>
      <c r="R17" s="33">
        <f>+Q17-'Water Heaters Retired'!R17+'Water Heaters Purchased'!R17</f>
        <v>0</v>
      </c>
      <c r="S17" s="33">
        <f>+R17-'Water Heaters Retired'!S17+'Water Heaters Purchased'!S17</f>
        <v>0</v>
      </c>
      <c r="T17" s="33">
        <f>+S17-'Water Heaters Retired'!T17+'Water Heaters Purchased'!T17</f>
        <v>0</v>
      </c>
      <c r="U17" s="33">
        <f>+T17-'Water Heaters Retired'!U17+'Water Heaters Purchased'!U17</f>
        <v>0</v>
      </c>
      <c r="V17" s="33">
        <f>+U17-'Water Heaters Retired'!V17+'Water Heaters Purchased'!V17</f>
        <v>0</v>
      </c>
      <c r="W17" s="33">
        <f>+V17-'Water Heaters Retired'!W17+'Water Heaters Purchased'!W17</f>
        <v>0</v>
      </c>
    </row>
    <row r="18" spans="1:23">
      <c r="A18" s="9" t="str">
        <f>+'Device Energy Use'!A8</f>
        <v>Instant Gas</v>
      </c>
      <c r="B18" s="33">
        <v>0</v>
      </c>
      <c r="C18" s="33">
        <f>+B18-'Water Heaters Retired'!C18+'Water Heaters Purchased'!C18</f>
        <v>0</v>
      </c>
      <c r="D18" s="33">
        <f>+C18-'Water Heaters Retired'!D18+'Water Heaters Purchased'!D18</f>
        <v>0</v>
      </c>
      <c r="E18" s="33">
        <f>+D18-'Water Heaters Retired'!E18+'Water Heaters Purchased'!E18</f>
        <v>0</v>
      </c>
      <c r="F18" s="33">
        <f>+E18-'Water Heaters Retired'!F18+'Water Heaters Purchased'!F18</f>
        <v>0</v>
      </c>
      <c r="G18" s="33">
        <f>+F18-'Water Heaters Retired'!G18+'Water Heaters Purchased'!G18</f>
        <v>0</v>
      </c>
      <c r="H18" s="33">
        <f>+G18-'Water Heaters Retired'!H18+'Water Heaters Purchased'!H18</f>
        <v>0</v>
      </c>
      <c r="I18" s="33">
        <f>+H18-'Water Heaters Retired'!I18+'Water Heaters Purchased'!I18</f>
        <v>0</v>
      </c>
      <c r="J18" s="33">
        <f>+I18-'Water Heaters Retired'!J18+'Water Heaters Purchased'!J18</f>
        <v>0</v>
      </c>
      <c r="K18" s="33">
        <f>+J18-'Water Heaters Retired'!K18+'Water Heaters Purchased'!K18</f>
        <v>0</v>
      </c>
      <c r="L18" s="33">
        <f>+K18-'Water Heaters Retired'!L18+'Water Heaters Purchased'!L18</f>
        <v>0</v>
      </c>
      <c r="M18" s="33">
        <f>+L18-'Water Heaters Retired'!M18+'Water Heaters Purchased'!M18</f>
        <v>0</v>
      </c>
      <c r="N18" s="33">
        <f>+M18-'Water Heaters Retired'!N18+'Water Heaters Purchased'!N18</f>
        <v>0</v>
      </c>
      <c r="O18" s="33">
        <f>+N18-'Water Heaters Retired'!O18+'Water Heaters Purchased'!O18</f>
        <v>0</v>
      </c>
      <c r="P18" s="33">
        <f>+O18-'Water Heaters Retired'!P18+'Water Heaters Purchased'!P18</f>
        <v>0</v>
      </c>
      <c r="Q18" s="33">
        <f>+P18-'Water Heaters Retired'!Q18+'Water Heaters Purchased'!Q18</f>
        <v>0</v>
      </c>
      <c r="R18" s="33">
        <f>+Q18-'Water Heaters Retired'!R18+'Water Heaters Purchased'!R18</f>
        <v>0</v>
      </c>
      <c r="S18" s="33">
        <f>+R18-'Water Heaters Retired'!S18+'Water Heaters Purchased'!S18</f>
        <v>0</v>
      </c>
      <c r="T18" s="33">
        <f>+S18-'Water Heaters Retired'!T18+'Water Heaters Purchased'!T18</f>
        <v>0</v>
      </c>
      <c r="U18" s="33">
        <f>+T18-'Water Heaters Retired'!U18+'Water Heaters Purchased'!U18</f>
        <v>0</v>
      </c>
      <c r="V18" s="33">
        <f>+U18-'Water Heaters Retired'!V18+'Water Heaters Purchased'!V18</f>
        <v>0</v>
      </c>
      <c r="W18" s="33">
        <f>+V18-'Water Heaters Retired'!W18+'Water Heaters Purchased'!W18</f>
        <v>0</v>
      </c>
    </row>
    <row r="19" spans="1:23">
      <c r="A19" s="9" t="str">
        <f>+'Device Energy Use'!A9</f>
        <v>Condensing Gas</v>
      </c>
      <c r="B19" s="33">
        <v>0</v>
      </c>
      <c r="C19" s="33">
        <f>+B19-'Water Heaters Retired'!C19+'Water Heaters Purchased'!C19</f>
        <v>0</v>
      </c>
      <c r="D19" s="33">
        <f>+C19-'Water Heaters Retired'!D19+'Water Heaters Purchased'!D19</f>
        <v>0</v>
      </c>
      <c r="E19" s="33">
        <f>+D19-'Water Heaters Retired'!E19+'Water Heaters Purchased'!E19</f>
        <v>0</v>
      </c>
      <c r="F19" s="33">
        <f>+E19-'Water Heaters Retired'!F19+'Water Heaters Purchased'!F19</f>
        <v>0</v>
      </c>
      <c r="G19" s="33">
        <f>+F19-'Water Heaters Retired'!G19+'Water Heaters Purchased'!G19</f>
        <v>0</v>
      </c>
      <c r="H19" s="33">
        <f>+G19-'Water Heaters Retired'!H19+'Water Heaters Purchased'!H19</f>
        <v>0</v>
      </c>
      <c r="I19" s="33">
        <f>+H19-'Water Heaters Retired'!I19+'Water Heaters Purchased'!I19</f>
        <v>0</v>
      </c>
      <c r="J19" s="33">
        <f>+I19-'Water Heaters Retired'!J19+'Water Heaters Purchased'!J19</f>
        <v>0</v>
      </c>
      <c r="K19" s="33">
        <f>+J19-'Water Heaters Retired'!K19+'Water Heaters Purchased'!K19</f>
        <v>0</v>
      </c>
      <c r="L19" s="33">
        <f>+K19-'Water Heaters Retired'!L19+'Water Heaters Purchased'!L19</f>
        <v>0</v>
      </c>
      <c r="M19" s="33">
        <f>+L19-'Water Heaters Retired'!M19+'Water Heaters Purchased'!M19</f>
        <v>0</v>
      </c>
      <c r="N19" s="33">
        <f>+M19-'Water Heaters Retired'!N19+'Water Heaters Purchased'!N19</f>
        <v>0</v>
      </c>
      <c r="O19" s="33">
        <f>+N19-'Water Heaters Retired'!O19+'Water Heaters Purchased'!O19</f>
        <v>0</v>
      </c>
      <c r="P19" s="33">
        <f>+O19-'Water Heaters Retired'!P19+'Water Heaters Purchased'!P19</f>
        <v>0</v>
      </c>
      <c r="Q19" s="33">
        <f>+P19-'Water Heaters Retired'!Q19+'Water Heaters Purchased'!Q19</f>
        <v>0</v>
      </c>
      <c r="R19" s="33">
        <f>+Q19-'Water Heaters Retired'!R19+'Water Heaters Purchased'!R19</f>
        <v>0</v>
      </c>
      <c r="S19" s="33">
        <f>+R19-'Water Heaters Retired'!S19+'Water Heaters Purchased'!S19</f>
        <v>0</v>
      </c>
      <c r="T19" s="33">
        <f>+S19-'Water Heaters Retired'!T19+'Water Heaters Purchased'!T19</f>
        <v>0</v>
      </c>
      <c r="U19" s="33">
        <f>+T19-'Water Heaters Retired'!U19+'Water Heaters Purchased'!U19</f>
        <v>0</v>
      </c>
      <c r="V19" s="33">
        <f>+U19-'Water Heaters Retired'!V19+'Water Heaters Purchased'!V19</f>
        <v>0</v>
      </c>
      <c r="W19" s="33">
        <f>+V19-'Water Heaters Retired'!W19+'Water Heaters Purchased'!W19</f>
        <v>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W19"/>
  <sheetViews>
    <sheetView workbookViewId="0"/>
  </sheetViews>
  <sheetFormatPr defaultColWidth="9.140625" defaultRowHeight="15.75"/>
  <cols>
    <col min="1" max="1" width="20.7109375" style="9" customWidth="1"/>
    <col min="2" max="10" width="9.7109375" style="9" customWidth="1"/>
    <col min="11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Montana, Single Family, Gas FAF, &gt;55 Gallons, Electric Resistance is starting water heater</v>
      </c>
    </row>
    <row r="3" spans="1:23">
      <c r="A3" s="12" t="s">
        <v>103</v>
      </c>
      <c r="D3" s="12"/>
    </row>
    <row r="4" spans="1:23">
      <c r="A4" s="38" t="str">
        <f>'Device Energy Use'!A4</f>
        <v>Water Heat Ending</v>
      </c>
      <c r="B4" s="39">
        <f>'Water Heater Stock'!B4</f>
        <v>2014</v>
      </c>
      <c r="C4" s="39">
        <f>'Water Heater Stock'!C4</f>
        <v>2015</v>
      </c>
      <c r="D4" s="39">
        <f>'Water Heater Stock'!D4</f>
        <v>2016</v>
      </c>
      <c r="E4" s="39">
        <f>'Water Heater Stock'!E4</f>
        <v>2017</v>
      </c>
      <c r="F4" s="39">
        <f>'Water Heater Stock'!F4</f>
        <v>2018</v>
      </c>
      <c r="G4" s="39">
        <f>'Water Heater Stock'!G4</f>
        <v>2019</v>
      </c>
      <c r="H4" s="39">
        <f>'Water Heater Stock'!H4</f>
        <v>2020</v>
      </c>
      <c r="I4" s="39">
        <f>'Water Heater Stock'!I4</f>
        <v>2021</v>
      </c>
      <c r="J4" s="39">
        <f>'Water Heater Stock'!J4</f>
        <v>2022</v>
      </c>
      <c r="K4" s="39">
        <f>'Water Heater Stock'!K4</f>
        <v>2023</v>
      </c>
      <c r="L4" s="39">
        <f>'Water Heater Stock'!L4</f>
        <v>2024</v>
      </c>
      <c r="M4" s="39">
        <f>'Water Heater Stock'!M4</f>
        <v>2025</v>
      </c>
      <c r="N4" s="39">
        <f>'Water Heater Stock'!N4</f>
        <v>2026</v>
      </c>
      <c r="O4" s="39">
        <f>'Water Heater Stock'!O4</f>
        <v>2027</v>
      </c>
      <c r="P4" s="39">
        <f>'Water Heater Stock'!P4</f>
        <v>2028</v>
      </c>
      <c r="Q4" s="39">
        <f>'Water Heater Stock'!Q4</f>
        <v>2029</v>
      </c>
      <c r="R4" s="39">
        <f>'Water Heater Stock'!R4</f>
        <v>2030</v>
      </c>
      <c r="S4" s="39">
        <f>'Water Heater Stock'!S4</f>
        <v>2031</v>
      </c>
      <c r="T4" s="39">
        <f>'Water Heater Stock'!T4</f>
        <v>2032</v>
      </c>
      <c r="U4" s="39">
        <f>'Water Heater Stock'!U4</f>
        <v>2033</v>
      </c>
      <c r="V4" s="39">
        <f>'Water Heater Stock'!V4</f>
        <v>2034</v>
      </c>
      <c r="W4" s="39">
        <f>'Water Heater Stock'!W4</f>
        <v>2035</v>
      </c>
    </row>
    <row r="5" spans="1:23" ht="16.5" thickBot="1">
      <c r="A5" s="48" t="s">
        <v>44</v>
      </c>
      <c r="B5" s="49">
        <f t="shared" ref="B5:W5" si="0">SUM(B6:B10)</f>
        <v>0</v>
      </c>
      <c r="C5" s="49">
        <f t="shared" si="0"/>
        <v>136</v>
      </c>
      <c r="D5" s="49">
        <f t="shared" si="0"/>
        <v>136</v>
      </c>
      <c r="E5" s="49">
        <f t="shared" si="0"/>
        <v>135.99999999999997</v>
      </c>
      <c r="F5" s="49">
        <f t="shared" si="0"/>
        <v>135.99999999999997</v>
      </c>
      <c r="G5" s="49">
        <f t="shared" si="0"/>
        <v>135.99999999999997</v>
      </c>
      <c r="H5" s="49">
        <f t="shared" si="0"/>
        <v>135.99999999999997</v>
      </c>
      <c r="I5" s="49">
        <f t="shared" si="0"/>
        <v>135.99999999999997</v>
      </c>
      <c r="J5" s="49">
        <f t="shared" si="0"/>
        <v>135.99999999999997</v>
      </c>
      <c r="K5" s="49">
        <f t="shared" si="0"/>
        <v>135.99999999999997</v>
      </c>
      <c r="L5" s="49">
        <f t="shared" si="0"/>
        <v>135.99999999999997</v>
      </c>
      <c r="M5" s="49">
        <f t="shared" si="0"/>
        <v>136</v>
      </c>
      <c r="N5" s="49">
        <f t="shared" si="0"/>
        <v>135.99999999999997</v>
      </c>
      <c r="O5" s="49">
        <f t="shared" si="0"/>
        <v>135.99999999999997</v>
      </c>
      <c r="P5" s="49">
        <f t="shared" si="0"/>
        <v>135.99999999999994</v>
      </c>
      <c r="Q5" s="49">
        <f t="shared" si="0"/>
        <v>135.99999999999997</v>
      </c>
      <c r="R5" s="49">
        <f t="shared" si="0"/>
        <v>135.99999999999997</v>
      </c>
      <c r="S5" s="49">
        <f t="shared" si="0"/>
        <v>135.99999999999997</v>
      </c>
      <c r="T5" s="49">
        <f t="shared" si="0"/>
        <v>135.99999999999997</v>
      </c>
      <c r="U5" s="49">
        <f t="shared" si="0"/>
        <v>135.99999999999994</v>
      </c>
      <c r="V5" s="49">
        <f t="shared" si="0"/>
        <v>135.99999999999997</v>
      </c>
      <c r="W5" s="49">
        <f t="shared" si="0"/>
        <v>135.99999999999997</v>
      </c>
    </row>
    <row r="6" spans="1:23" ht="16.5" thickTop="1">
      <c r="A6" s="9" t="str">
        <f>+'Water Heater Stock'!A6</f>
        <v>Electric Resistance</v>
      </c>
      <c r="B6" s="33">
        <v>0</v>
      </c>
      <c r="C6" s="33">
        <f>'Water Heater Stock'!B6/Lifetime</f>
        <v>136</v>
      </c>
      <c r="D6" s="33">
        <f>'Water Heater Stock'!C6/Lifetime</f>
        <v>126.28585602484343</v>
      </c>
      <c r="E6" s="33">
        <f>'Water Heater Stock'!D6/Lifetime</f>
        <v>117.2655777557699</v>
      </c>
      <c r="F6" s="33">
        <f>'Water Heater Stock'!E6/Lifetime</f>
        <v>108.88960338344778</v>
      </c>
      <c r="G6" s="33">
        <f>'Water Heater Stock'!F6/Lifetime</f>
        <v>101.11191122741614</v>
      </c>
      <c r="H6" s="33">
        <f>'Water Heater Stock'!G6/Lifetime</f>
        <v>93.8897668697402</v>
      </c>
      <c r="I6" s="33">
        <f>'Water Heater Stock'!H6/Lifetime</f>
        <v>87.183488350548444</v>
      </c>
      <c r="J6" s="33">
        <f>'Water Heater Stock'!I6/Lifetime</f>
        <v>80.956228135317247</v>
      </c>
      <c r="K6" s="33">
        <f>'Water Heater Stock'!J6/Lifetime</f>
        <v>75.17377065592089</v>
      </c>
      <c r="L6" s="33">
        <f>'Water Heater Stock'!K6/Lifetime</f>
        <v>69.804344313035088</v>
      </c>
      <c r="M6" s="33">
        <f>'Water Heater Stock'!L6/Lifetime</f>
        <v>64.818446906940338</v>
      </c>
      <c r="N6" s="33">
        <f>'Water Heater Stock'!M6/Lifetime</f>
        <v>60.1886835375537</v>
      </c>
      <c r="O6" s="33">
        <f>'Water Heater Stock'!N6/Lifetime</f>
        <v>55.889616083029694</v>
      </c>
      <c r="P6" s="33">
        <f>'Water Heater Stock'!O6/Lifetime</f>
        <v>51.897623429889641</v>
      </c>
      <c r="Q6" s="33">
        <f>'Water Heater Stock'!P6/Lifetime</f>
        <v>48.190771686713354</v>
      </c>
      <c r="R6" s="33">
        <f>'Water Heater Stock'!Q6/Lifetime</f>
        <v>44.748693668281369</v>
      </c>
      <c r="S6" s="33">
        <f>'Water Heater Stock'!R6/Lifetime</f>
        <v>41.552476987992705</v>
      </c>
      <c r="T6" s="33">
        <f>'Water Heater Stock'!S6/Lifetime</f>
        <v>38.584560143681465</v>
      </c>
      <c r="U6" s="33">
        <f>'Water Heater Stock'!T6/Lifetime</f>
        <v>35.828636025874992</v>
      </c>
      <c r="V6" s="33">
        <f>'Water Heater Stock'!U6/Lifetime</f>
        <v>33.269562318319437</v>
      </c>
      <c r="W6" s="33">
        <f>'Water Heater Stock'!V6/Lifetime</f>
        <v>30.893278298467663</v>
      </c>
    </row>
    <row r="7" spans="1:23">
      <c r="A7" s="9" t="str">
        <f>+'Water Heater Stock'!A7</f>
        <v>HPWH</v>
      </c>
      <c r="B7" s="33">
        <v>0</v>
      </c>
      <c r="C7" s="33">
        <f>'Water Heater Stock'!B7/Lifetime</f>
        <v>0</v>
      </c>
      <c r="D7" s="33">
        <f>'Water Heater Stock'!C7/Lifetime</f>
        <v>4.2387465007854788</v>
      </c>
      <c r="E7" s="33">
        <f>'Water Heater Stock'!D7/Lifetime</f>
        <v>8.1627376674899121</v>
      </c>
      <c r="F7" s="33">
        <f>'Water Heater Stock'!E7/Lifetime</f>
        <v>11.794483255288329</v>
      </c>
      <c r="G7" s="33">
        <f>'Water Heater Stock'!F7/Lifetime</f>
        <v>15.154886655863196</v>
      </c>
      <c r="H7" s="33">
        <f>'Water Heater Stock'!G7/Lifetime</f>
        <v>18.263359634653181</v>
      </c>
      <c r="I7" s="33">
        <f>'Water Heater Stock'!H7/Lifetime</f>
        <v>21.137928872035356</v>
      </c>
      <c r="J7" s="33">
        <f>'Water Heater Stock'!I7/Lifetime</f>
        <v>23.795334893877879</v>
      </c>
      <c r="K7" s="33">
        <f>'Water Heater Stock'!J7/Lifetime</f>
        <v>26.25112393508395</v>
      </c>
      <c r="L7" s="33">
        <f>'Water Heater Stock'!K7/Lifetime</f>
        <v>28.519733240918036</v>
      </c>
      <c r="M7" s="33">
        <f>'Water Heater Stock'!L7/Lifetime</f>
        <v>30.614570274849548</v>
      </c>
      <c r="N7" s="33">
        <f>'Water Heater Stock'!M7/Lifetime</f>
        <v>32.548086268168419</v>
      </c>
      <c r="O7" s="33">
        <f>'Water Heater Stock'!N7/Lifetime</f>
        <v>34.331844515537952</v>
      </c>
      <c r="P7" s="33">
        <f>'Water Heater Stock'!O7/Lifetime</f>
        <v>35.976583791781806</v>
      </c>
      <c r="Q7" s="33">
        <f>'Water Heater Stock'!P7/Lifetime</f>
        <v>37.492277238395481</v>
      </c>
      <c r="R7" s="33">
        <f>'Water Heater Stock'!Q7/Lifetime</f>
        <v>38.888187043380903</v>
      </c>
      <c r="S7" s="33">
        <f>'Water Heater Stock'!R7/Lifetime</f>
        <v>40.172915214889045</v>
      </c>
      <c r="T7" s="33">
        <f>'Water Heater Stock'!S7/Lifetime</f>
        <v>41.35445072769263</v>
      </c>
      <c r="U7" s="33">
        <f>'Water Heater Stock'!T7/Lifetime</f>
        <v>42.440213301581117</v>
      </c>
      <c r="V7" s="33">
        <f>'Water Heater Stock'!U7/Lifetime</f>
        <v>43.437094052264158</v>
      </c>
      <c r="W7" s="33">
        <f>'Water Heater Stock'!V7/Lifetime</f>
        <v>44.351493238185242</v>
      </c>
    </row>
    <row r="8" spans="1:23">
      <c r="A8" s="9" t="str">
        <f>+'Water Heater Stock'!A8</f>
        <v>Gas Tank</v>
      </c>
      <c r="B8" s="33">
        <v>0</v>
      </c>
      <c r="C8" s="33">
        <f>'Water Heater Stock'!B8/Lifetime</f>
        <v>0</v>
      </c>
      <c r="D8" s="33">
        <f>'Water Heater Stock'!C8/Lifetime</f>
        <v>5.4341082574266785E-4</v>
      </c>
      <c r="E8" s="33">
        <f>'Water Heater Stock'!D8/Lifetime</f>
        <v>1.0435611246292825E-3</v>
      </c>
      <c r="F8" s="33">
        <f>'Water Heater Stock'!E8/Lifetime</f>
        <v>1.5035630039516384E-3</v>
      </c>
      <c r="G8" s="33">
        <f>'Water Heater Stock'!F8/Lifetime</f>
        <v>1.9263067073640085E-3</v>
      </c>
      <c r="H8" s="33">
        <f>'Water Heater Stock'!G8/Lifetime</f>
        <v>2.3144764511566591E-3</v>
      </c>
      <c r="I8" s="33">
        <f>'Water Heater Stock'!H8/Lifetime</f>
        <v>2.6705651292628918E-3</v>
      </c>
      <c r="J8" s="33">
        <f>'Water Heater Stock'!I8/Lifetime</f>
        <v>2.996887967814864E-3</v>
      </c>
      <c r="K8" s="33">
        <f>'Water Heater Stock'!J8/Lifetime</f>
        <v>3.295595204290886E-3</v>
      </c>
      <c r="L8" s="33">
        <f>'Water Heater Stock'!K8/Lifetime</f>
        <v>3.5686838609366544E-3</v>
      </c>
      <c r="M8" s="33">
        <f>'Water Heater Stock'!L8/Lifetime</f>
        <v>3.8180086771654647E-3</v>
      </c>
      <c r="N8" s="33">
        <f>'Water Heater Stock'!M8/Lifetime</f>
        <v>4.0452922610206077E-3</v>
      </c>
      <c r="O8" s="33">
        <f>'Water Heater Stock'!N8/Lifetime</f>
        <v>4.2521345154913626E-3</v>
      </c>
      <c r="P8" s="33">
        <f>'Water Heater Stock'!O8/Lifetime</f>
        <v>4.4400213914888116E-3</v>
      </c>
      <c r="Q8" s="33">
        <f>'Water Heater Stock'!P8/Lifetime</f>
        <v>4.6103330155871066E-3</v>
      </c>
      <c r="R8" s="33">
        <f>'Water Heater Stock'!Q8/Lifetime</f>
        <v>4.7643512371995907E-3</v>
      </c>
      <c r="S8" s="33">
        <f>'Water Heater Stock'!R8/Lifetime</f>
        <v>4.9032666366683256E-3</v>
      </c>
      <c r="T8" s="33">
        <f>'Water Heater Stock'!S8/Lifetime</f>
        <v>5.0281850327826786E-3</v>
      </c>
      <c r="U8" s="33">
        <f>'Water Heater Stock'!T8/Lifetime</f>
        <v>5.1401335254913178E-3</v>
      </c>
      <c r="V8" s="33">
        <f>'Water Heater Stock'!U8/Lifetime</f>
        <v>5.240066107017197E-3</v>
      </c>
      <c r="W8" s="33">
        <f>'Water Heater Stock'!V8/Lifetime</f>
        <v>5.3288688722127955E-3</v>
      </c>
    </row>
    <row r="9" spans="1:23">
      <c r="A9" s="9" t="str">
        <f>+'Water Heater Stock'!A9</f>
        <v>Instant Gas</v>
      </c>
      <c r="B9" s="33">
        <v>0</v>
      </c>
      <c r="C9" s="33">
        <f>'Water Heater Stock'!B9/Lifetime</f>
        <v>0</v>
      </c>
      <c r="D9" s="33">
        <f>'Water Heater Stock'!C9/Lifetime</f>
        <v>1.5464916503421917</v>
      </c>
      <c r="E9" s="33">
        <f>'Water Heater Stock'!D9/Lifetime</f>
        <v>2.9906149836093472</v>
      </c>
      <c r="F9" s="33">
        <f>'Water Heater Stock'!E9/Lifetime</f>
        <v>4.3397341429296619</v>
      </c>
      <c r="G9" s="33">
        <f>'Water Heater Stock'!F9/Lifetime</f>
        <v>5.6006869496895115</v>
      </c>
      <c r="H9" s="33">
        <f>'Water Heater Stock'!G9/Lifetime</f>
        <v>6.7798224806682628</v>
      </c>
      <c r="I9" s="33">
        <f>'Water Heater Stock'!H9/Lifetime</f>
        <v>7.8830359608842704</v>
      </c>
      <c r="J9" s="33">
        <f>'Water Heater Stock'!I9/Lifetime</f>
        <v>8.9158011638929739</v>
      </c>
      <c r="K9" s="33">
        <f>'Water Heater Stock'!J9/Lifetime</f>
        <v>9.8832004975825782</v>
      </c>
      <c r="L9" s="33">
        <f>'Water Heater Stock'!K9/Lifetime</f>
        <v>10.789952940795647</v>
      </c>
      <c r="M9" s="33">
        <f>'Water Heater Stock'!L9/Lifetime</f>
        <v>11.640439984296107</v>
      </c>
      <c r="N9" s="33">
        <f>'Water Heater Stock'!M9/Lifetime</f>
        <v>12.438729718635914</v>
      </c>
      <c r="O9" s="33">
        <f>'Water Heater Stock'!N9/Lifetime</f>
        <v>13.188599201293524</v>
      </c>
      <c r="P9" s="33">
        <f>'Water Heater Stock'!O9/Lifetime</f>
        <v>13.893555226001524</v>
      </c>
      <c r="Q9" s="33">
        <f>'Water Heater Stock'!P9/Lifetime</f>
        <v>14.556853608401383</v>
      </c>
      <c r="R9" s="33">
        <f>'Water Heater Stock'!Q9/Lifetime</f>
        <v>15.181517094010927</v>
      </c>
      <c r="S9" s="33">
        <f>'Water Heater Stock'!R9/Lifetime</f>
        <v>15.770351986920129</v>
      </c>
      <c r="T9" s="33">
        <f>'Water Heater Stock'!S9/Lifetime</f>
        <v>16.325963590601482</v>
      </c>
      <c r="U9" s="33">
        <f>'Water Heater Stock'!T9/Lifetime</f>
        <v>16.850770545694036</v>
      </c>
      <c r="V9" s="33">
        <f>'Water Heater Stock'!U9/Lifetime</f>
        <v>17.347018143559158</v>
      </c>
      <c r="W9" s="33">
        <f>'Water Heater Stock'!V9/Lifetime</f>
        <v>17.816790688778045</v>
      </c>
    </row>
    <row r="10" spans="1:23">
      <c r="A10" s="9" t="str">
        <f>+'Water Heater Stock'!A10</f>
        <v>Condensing Gas</v>
      </c>
      <c r="B10" s="33">
        <v>0</v>
      </c>
      <c r="C10" s="33">
        <f>'Water Heater Stock'!B10/Lifetime</f>
        <v>0</v>
      </c>
      <c r="D10" s="33">
        <f>'Water Heater Stock'!C10/Lifetime</f>
        <v>3.9283624132031565</v>
      </c>
      <c r="E10" s="33">
        <f>'Water Heater Stock'!D10/Lifetime</f>
        <v>7.5800260320062041</v>
      </c>
      <c r="F10" s="33">
        <f>'Water Heater Stock'!E10/Lifetime</f>
        <v>10.974675655330264</v>
      </c>
      <c r="G10" s="33">
        <f>'Water Heater Stock'!F10/Lifetime</f>
        <v>14.13058886032376</v>
      </c>
      <c r="H10" s="33">
        <f>'Water Heater Stock'!G10/Lifetime</f>
        <v>17.064736538487171</v>
      </c>
      <c r="I10" s="33">
        <f>'Water Heater Stock'!H10/Lifetime</f>
        <v>19.792876251402642</v>
      </c>
      <c r="J10" s="33">
        <f>'Water Heater Stock'!I10/Lifetime</f>
        <v>22.329638918944049</v>
      </c>
      <c r="K10" s="33">
        <f>'Water Heater Stock'!J10/Lifetime</f>
        <v>24.68860931620825</v>
      </c>
      <c r="L10" s="33">
        <f>'Water Heater Stock'!K10/Lifetime</f>
        <v>26.882400821390267</v>
      </c>
      <c r="M10" s="33">
        <f>'Water Heater Stock'!L10/Lifetime</f>
        <v>28.92272482523682</v>
      </c>
      <c r="N10" s="33">
        <f>'Water Heater Stock'!M10/Lifetime</f>
        <v>30.820455183380911</v>
      </c>
      <c r="O10" s="33">
        <f>'Water Heater Stock'!N10/Lifetime</f>
        <v>32.585688065623302</v>
      </c>
      <c r="P10" s="33">
        <f>'Water Heater Stock'!O10/Lifetime</f>
        <v>34.227797530935504</v>
      </c>
      <c r="Q10" s="33">
        <f>'Water Heater Stock'!P10/Lifetime</f>
        <v>35.755487133474155</v>
      </c>
      <c r="R10" s="33">
        <f>'Water Heater Stock'!Q10/Lifetime</f>
        <v>37.176837843089572</v>
      </c>
      <c r="S10" s="33">
        <f>'Water Heater Stock'!R10/Lifetime</f>
        <v>38.499352543561415</v>
      </c>
      <c r="T10" s="33">
        <f>'Water Heater Stock'!S10/Lifetime</f>
        <v>39.72999735299161</v>
      </c>
      <c r="U10" s="33">
        <f>'Water Heater Stock'!T10/Lifetime</f>
        <v>40.875239993324328</v>
      </c>
      <c r="V10" s="33">
        <f>'Water Heater Stock'!U10/Lifetime</f>
        <v>41.941085419750202</v>
      </c>
      <c r="W10" s="33">
        <f>'Water Heater Stock'!V10/Lifetime</f>
        <v>42.933108905696812</v>
      </c>
    </row>
    <row r="12" spans="1:23">
      <c r="A12" s="12" t="s">
        <v>104</v>
      </c>
      <c r="D12" s="12"/>
    </row>
    <row r="13" spans="1:23">
      <c r="A13" s="38" t="str">
        <f>'Device Energy Use'!A4</f>
        <v>Water Heat Ending</v>
      </c>
      <c r="B13" s="39">
        <f>+'Water Heater Stock'!B13</f>
        <v>2014</v>
      </c>
      <c r="C13" s="39">
        <f>+'Water Heater Stock'!C13</f>
        <v>2015</v>
      </c>
      <c r="D13" s="39">
        <f>+'Water Heater Stock'!D13</f>
        <v>2016</v>
      </c>
      <c r="E13" s="39">
        <f>+'Water Heater Stock'!E13</f>
        <v>2017</v>
      </c>
      <c r="F13" s="39">
        <f>+'Water Heater Stock'!F13</f>
        <v>2018</v>
      </c>
      <c r="G13" s="39">
        <f>+'Water Heater Stock'!G13</f>
        <v>2019</v>
      </c>
      <c r="H13" s="39">
        <f>+'Water Heater Stock'!H13</f>
        <v>2020</v>
      </c>
      <c r="I13" s="39">
        <f>+'Water Heater Stock'!I13</f>
        <v>2021</v>
      </c>
      <c r="J13" s="39">
        <f>+'Water Heater Stock'!J13</f>
        <v>2022</v>
      </c>
      <c r="K13" s="39">
        <f>+'Water Heater Stock'!K13</f>
        <v>2023</v>
      </c>
      <c r="L13" s="39">
        <f>+'Water Heater Stock'!L13</f>
        <v>2024</v>
      </c>
      <c r="M13" s="39">
        <f>+'Water Heater Stock'!M13</f>
        <v>2025</v>
      </c>
      <c r="N13" s="39">
        <f>+'Water Heater Stock'!N13</f>
        <v>2026</v>
      </c>
      <c r="O13" s="39">
        <f>+'Water Heater Stock'!O13</f>
        <v>2027</v>
      </c>
      <c r="P13" s="39">
        <f>+'Water Heater Stock'!P13</f>
        <v>2028</v>
      </c>
      <c r="Q13" s="39">
        <f>+'Water Heater Stock'!Q13</f>
        <v>2029</v>
      </c>
      <c r="R13" s="39">
        <f>+'Water Heater Stock'!R13</f>
        <v>2030</v>
      </c>
      <c r="S13" s="39">
        <f>+'Water Heater Stock'!S13</f>
        <v>2031</v>
      </c>
      <c r="T13" s="39">
        <f>+'Water Heater Stock'!T13</f>
        <v>2032</v>
      </c>
      <c r="U13" s="39">
        <f>+'Water Heater Stock'!U13</f>
        <v>2033</v>
      </c>
      <c r="V13" s="39">
        <f>+'Water Heater Stock'!V13</f>
        <v>2034</v>
      </c>
      <c r="W13" s="39">
        <f>+'Water Heater Stock'!W13</f>
        <v>2035</v>
      </c>
    </row>
    <row r="14" spans="1:23" ht="16.5" thickBot="1">
      <c r="A14" s="48" t="s">
        <v>44</v>
      </c>
      <c r="B14" s="49">
        <f t="shared" ref="B14:W14" si="1">SUM(B15:B19)</f>
        <v>0</v>
      </c>
      <c r="C14" s="49">
        <f t="shared" si="1"/>
        <v>136</v>
      </c>
      <c r="D14" s="49">
        <f t="shared" si="1"/>
        <v>136</v>
      </c>
      <c r="E14" s="49">
        <f t="shared" si="1"/>
        <v>136</v>
      </c>
      <c r="F14" s="49">
        <f t="shared" si="1"/>
        <v>136</v>
      </c>
      <c r="G14" s="49">
        <f t="shared" si="1"/>
        <v>136</v>
      </c>
      <c r="H14" s="49">
        <f t="shared" si="1"/>
        <v>136</v>
      </c>
      <c r="I14" s="49">
        <f t="shared" si="1"/>
        <v>136</v>
      </c>
      <c r="J14" s="49">
        <f t="shared" si="1"/>
        <v>136</v>
      </c>
      <c r="K14" s="49">
        <f t="shared" si="1"/>
        <v>136</v>
      </c>
      <c r="L14" s="49">
        <f t="shared" si="1"/>
        <v>136</v>
      </c>
      <c r="M14" s="49">
        <f t="shared" si="1"/>
        <v>136</v>
      </c>
      <c r="N14" s="49">
        <f t="shared" si="1"/>
        <v>136</v>
      </c>
      <c r="O14" s="49">
        <f t="shared" si="1"/>
        <v>136</v>
      </c>
      <c r="P14" s="49">
        <f t="shared" si="1"/>
        <v>136</v>
      </c>
      <c r="Q14" s="49">
        <f t="shared" si="1"/>
        <v>135.99999999999997</v>
      </c>
      <c r="R14" s="49">
        <f t="shared" si="1"/>
        <v>135.99999999999997</v>
      </c>
      <c r="S14" s="49">
        <f t="shared" si="1"/>
        <v>135.99999999999997</v>
      </c>
      <c r="T14" s="49">
        <f t="shared" si="1"/>
        <v>135.99999999999997</v>
      </c>
      <c r="U14" s="49">
        <f t="shared" si="1"/>
        <v>135.99999999999997</v>
      </c>
      <c r="V14" s="49">
        <f t="shared" si="1"/>
        <v>135.99999999999997</v>
      </c>
      <c r="W14" s="49">
        <f t="shared" si="1"/>
        <v>135.99999999999997</v>
      </c>
    </row>
    <row r="15" spans="1:23" ht="16.5" thickTop="1">
      <c r="A15" s="9" t="str">
        <f>+'Water Heater Stock'!A15</f>
        <v>Electric Resistance</v>
      </c>
      <c r="B15" s="33">
        <v>0</v>
      </c>
      <c r="C15" s="33">
        <f>'Water Heater Stock'!B15/Lifetime</f>
        <v>136</v>
      </c>
      <c r="D15" s="33">
        <f>'Water Heater Stock'!C15/Lifetime</f>
        <v>126.28571428571429</v>
      </c>
      <c r="E15" s="33">
        <f>'Water Heater Stock'!D15/Lifetime</f>
        <v>117.26530612244899</v>
      </c>
      <c r="F15" s="33">
        <f>'Water Heater Stock'!E15/Lifetime</f>
        <v>108.88921282798835</v>
      </c>
      <c r="G15" s="33">
        <f>'Water Heater Stock'!F15/Lifetime</f>
        <v>101.11141191170347</v>
      </c>
      <c r="H15" s="33">
        <f>'Water Heater Stock'!G15/Lifetime</f>
        <v>93.889168203724651</v>
      </c>
      <c r="I15" s="33">
        <f>'Water Heater Stock'!H15/Lifetime</f>
        <v>87.182799046315736</v>
      </c>
      <c r="J15" s="33">
        <f>'Water Heater Stock'!I15/Lifetime</f>
        <v>80.955456257293193</v>
      </c>
      <c r="K15" s="33">
        <f>'Water Heater Stock'!J15/Lifetime</f>
        <v>75.172923667486529</v>
      </c>
      <c r="L15" s="33">
        <f>'Water Heater Stock'!K15/Lifetime</f>
        <v>69.803429119808911</v>
      </c>
      <c r="M15" s="33">
        <f>'Water Heater Stock'!L15/Lifetime</f>
        <v>64.81746989696542</v>
      </c>
      <c r="N15" s="33">
        <f>'Water Heater Stock'!M15/Lifetime</f>
        <v>60.187650618610746</v>
      </c>
      <c r="O15" s="33">
        <f>'Water Heater Stock'!N15/Lifetime</f>
        <v>55.888532717281407</v>
      </c>
      <c r="P15" s="33">
        <f>'Water Heater Stock'!O15/Lifetime</f>
        <v>51.896494666047019</v>
      </c>
      <c r="Q15" s="33">
        <f>'Water Heater Stock'!P15/Lifetime</f>
        <v>48.189602189900803</v>
      </c>
      <c r="R15" s="33">
        <f>'Water Heater Stock'!Q15/Lifetime</f>
        <v>44.747487747765028</v>
      </c>
      <c r="S15" s="33">
        <f>'Water Heater Stock'!R15/Lifetime</f>
        <v>41.551238622924664</v>
      </c>
      <c r="T15" s="33">
        <f>'Water Heater Stock'!S15/Lifetime</f>
        <v>38.58329300700148</v>
      </c>
      <c r="U15" s="33">
        <f>'Water Heater Stock'!T15/Lifetime</f>
        <v>35.827343506501371</v>
      </c>
      <c r="V15" s="33">
        <f>'Water Heater Stock'!U15/Lifetime</f>
        <v>33.268247541751272</v>
      </c>
      <c r="W15" s="33">
        <f>'Water Heater Stock'!V15/Lifetime</f>
        <v>30.891944145911896</v>
      </c>
    </row>
    <row r="16" spans="1:23">
      <c r="A16" s="9" t="str">
        <f>+'Water Heater Stock'!A16</f>
        <v>HPWH</v>
      </c>
      <c r="B16" s="33">
        <v>0</v>
      </c>
      <c r="C16" s="33">
        <f>'Water Heater Stock'!B16/Lifetime</f>
        <v>0</v>
      </c>
      <c r="D16" s="33">
        <f>'Water Heater Stock'!C16/Lifetime</f>
        <v>9.7142857142857135</v>
      </c>
      <c r="E16" s="33">
        <f>'Water Heater Stock'!D16/Lifetime</f>
        <v>18.73469387755102</v>
      </c>
      <c r="F16" s="33">
        <f>'Water Heater Stock'!E16/Lifetime</f>
        <v>27.110787172011662</v>
      </c>
      <c r="G16" s="33">
        <f>'Water Heater Stock'!F16/Lifetime</f>
        <v>34.888588088296544</v>
      </c>
      <c r="H16" s="33">
        <f>'Water Heater Stock'!G16/Lifetime</f>
        <v>42.110831796275356</v>
      </c>
      <c r="I16" s="33">
        <f>'Water Heater Stock'!H16/Lifetime</f>
        <v>48.817200953684264</v>
      </c>
      <c r="J16" s="33">
        <f>'Water Heater Stock'!I16/Lifetime</f>
        <v>55.044543742706814</v>
      </c>
      <c r="K16" s="33">
        <f>'Water Heater Stock'!J16/Lifetime</f>
        <v>60.827076332513471</v>
      </c>
      <c r="L16" s="33">
        <f>'Water Heater Stock'!K16/Lifetime</f>
        <v>66.196570880191089</v>
      </c>
      <c r="M16" s="33">
        <f>'Water Heater Stock'!L16/Lifetime</f>
        <v>71.18253010303458</v>
      </c>
      <c r="N16" s="33">
        <f>'Water Heater Stock'!M16/Lifetime</f>
        <v>75.812349381389254</v>
      </c>
      <c r="O16" s="33">
        <f>'Water Heater Stock'!N16/Lifetime</f>
        <v>80.111467282718579</v>
      </c>
      <c r="P16" s="33">
        <f>'Water Heater Stock'!O16/Lifetime</f>
        <v>84.103505333952967</v>
      </c>
      <c r="Q16" s="33">
        <f>'Water Heater Stock'!P16/Lifetime</f>
        <v>87.810397810099175</v>
      </c>
      <c r="R16" s="33">
        <f>'Water Heater Stock'!Q16/Lifetime</f>
        <v>91.252512252234951</v>
      </c>
      <c r="S16" s="33">
        <f>'Water Heater Stock'!R16/Lifetime</f>
        <v>94.448761377075314</v>
      </c>
      <c r="T16" s="33">
        <f>'Water Heater Stock'!S16/Lifetime</f>
        <v>97.416706992998499</v>
      </c>
      <c r="U16" s="33">
        <f>'Water Heater Stock'!T16/Lifetime</f>
        <v>100.17265649349861</v>
      </c>
      <c r="V16" s="33">
        <f>'Water Heater Stock'!U16/Lifetime</f>
        <v>102.73175245824871</v>
      </c>
      <c r="W16" s="33">
        <f>'Water Heater Stock'!V16/Lifetime</f>
        <v>105.10805585408808</v>
      </c>
    </row>
    <row r="17" spans="1:23">
      <c r="A17" s="9" t="str">
        <f>+'Water Heater Stock'!A17</f>
        <v>Gas Tank</v>
      </c>
      <c r="B17" s="33">
        <v>0</v>
      </c>
      <c r="C17" s="33">
        <f>'Water Heater Stock'!B17/Lifetime</f>
        <v>0</v>
      </c>
      <c r="D17" s="33">
        <f>'Water Heater Stock'!C17/Lifetime</f>
        <v>0</v>
      </c>
      <c r="E17" s="33">
        <f>'Water Heater Stock'!D17/Lifetime</f>
        <v>0</v>
      </c>
      <c r="F17" s="33">
        <f>'Water Heater Stock'!E17/Lifetime</f>
        <v>0</v>
      </c>
      <c r="G17" s="33">
        <f>'Water Heater Stock'!F17/Lifetime</f>
        <v>0</v>
      </c>
      <c r="H17" s="33">
        <f>'Water Heater Stock'!G17/Lifetime</f>
        <v>0</v>
      </c>
      <c r="I17" s="33">
        <f>'Water Heater Stock'!H17/Lifetime</f>
        <v>0</v>
      </c>
      <c r="J17" s="33">
        <f>'Water Heater Stock'!I17/Lifetime</f>
        <v>0</v>
      </c>
      <c r="K17" s="33">
        <f>'Water Heater Stock'!J17/Lifetime</f>
        <v>0</v>
      </c>
      <c r="L17" s="33">
        <f>'Water Heater Stock'!K17/Lifetime</f>
        <v>0</v>
      </c>
      <c r="M17" s="33">
        <f>'Water Heater Stock'!L17/Lifetime</f>
        <v>0</v>
      </c>
      <c r="N17" s="33">
        <f>'Water Heater Stock'!M17/Lifetime</f>
        <v>0</v>
      </c>
      <c r="O17" s="33">
        <f>'Water Heater Stock'!N17/Lifetime</f>
        <v>0</v>
      </c>
      <c r="P17" s="33">
        <f>'Water Heater Stock'!O17/Lifetime</f>
        <v>0</v>
      </c>
      <c r="Q17" s="33">
        <f>'Water Heater Stock'!P17/Lifetime</f>
        <v>0</v>
      </c>
      <c r="R17" s="33">
        <f>'Water Heater Stock'!Q17/Lifetime</f>
        <v>0</v>
      </c>
      <c r="S17" s="33">
        <f>'Water Heater Stock'!R17/Lifetime</f>
        <v>0</v>
      </c>
      <c r="T17" s="33">
        <f>'Water Heater Stock'!S17/Lifetime</f>
        <v>0</v>
      </c>
      <c r="U17" s="33">
        <f>'Water Heater Stock'!T17/Lifetime</f>
        <v>0</v>
      </c>
      <c r="V17" s="33">
        <f>'Water Heater Stock'!U17/Lifetime</f>
        <v>0</v>
      </c>
      <c r="W17" s="33">
        <f>'Water Heater Stock'!V17/Lifetime</f>
        <v>0</v>
      </c>
    </row>
    <row r="18" spans="1:23">
      <c r="A18" s="9" t="str">
        <f>+'Water Heater Stock'!A18</f>
        <v>Instant Gas</v>
      </c>
      <c r="B18" s="33">
        <v>0</v>
      </c>
      <c r="C18" s="33">
        <f>'Water Heater Stock'!B18/Lifetime</f>
        <v>0</v>
      </c>
      <c r="D18" s="33">
        <f>'Water Heater Stock'!C18/Lifetime</f>
        <v>0</v>
      </c>
      <c r="E18" s="33">
        <f>'Water Heater Stock'!D18/Lifetime</f>
        <v>0</v>
      </c>
      <c r="F18" s="33">
        <f>'Water Heater Stock'!E18/Lifetime</f>
        <v>0</v>
      </c>
      <c r="G18" s="33">
        <f>'Water Heater Stock'!F18/Lifetime</f>
        <v>0</v>
      </c>
      <c r="H18" s="33">
        <f>'Water Heater Stock'!G18/Lifetime</f>
        <v>0</v>
      </c>
      <c r="I18" s="33">
        <f>'Water Heater Stock'!H18/Lifetime</f>
        <v>0</v>
      </c>
      <c r="J18" s="33">
        <f>'Water Heater Stock'!I18/Lifetime</f>
        <v>0</v>
      </c>
      <c r="K18" s="33">
        <f>'Water Heater Stock'!J18/Lifetime</f>
        <v>0</v>
      </c>
      <c r="L18" s="33">
        <f>'Water Heater Stock'!K18/Lifetime</f>
        <v>0</v>
      </c>
      <c r="M18" s="33">
        <f>'Water Heater Stock'!L18/Lifetime</f>
        <v>0</v>
      </c>
      <c r="N18" s="33">
        <f>'Water Heater Stock'!M18/Lifetime</f>
        <v>0</v>
      </c>
      <c r="O18" s="33">
        <f>'Water Heater Stock'!N18/Lifetime</f>
        <v>0</v>
      </c>
      <c r="P18" s="33">
        <f>'Water Heater Stock'!O18/Lifetime</f>
        <v>0</v>
      </c>
      <c r="Q18" s="33">
        <f>'Water Heater Stock'!P18/Lifetime</f>
        <v>0</v>
      </c>
      <c r="R18" s="33">
        <f>'Water Heater Stock'!Q18/Lifetime</f>
        <v>0</v>
      </c>
      <c r="S18" s="33">
        <f>'Water Heater Stock'!R18/Lifetime</f>
        <v>0</v>
      </c>
      <c r="T18" s="33">
        <f>'Water Heater Stock'!S18/Lifetime</f>
        <v>0</v>
      </c>
      <c r="U18" s="33">
        <f>'Water Heater Stock'!T18/Lifetime</f>
        <v>0</v>
      </c>
      <c r="V18" s="33">
        <f>'Water Heater Stock'!U18/Lifetime</f>
        <v>0</v>
      </c>
      <c r="W18" s="33">
        <f>'Water Heater Stock'!V18/Lifetime</f>
        <v>0</v>
      </c>
    </row>
    <row r="19" spans="1:23">
      <c r="A19" s="9" t="str">
        <f>+'Water Heater Stock'!A19</f>
        <v>Condensing Gas</v>
      </c>
      <c r="B19" s="33">
        <v>0</v>
      </c>
      <c r="C19" s="33">
        <f>'Water Heater Stock'!B19/Lifetime</f>
        <v>0</v>
      </c>
      <c r="D19" s="33">
        <f>'Water Heater Stock'!C19/Lifetime</f>
        <v>0</v>
      </c>
      <c r="E19" s="33">
        <f>'Water Heater Stock'!D19/Lifetime</f>
        <v>0</v>
      </c>
      <c r="F19" s="33">
        <f>'Water Heater Stock'!E19/Lifetime</f>
        <v>0</v>
      </c>
      <c r="G19" s="33">
        <f>'Water Heater Stock'!F19/Lifetime</f>
        <v>0</v>
      </c>
      <c r="H19" s="33">
        <f>'Water Heater Stock'!G19/Lifetime</f>
        <v>0</v>
      </c>
      <c r="I19" s="33">
        <f>'Water Heater Stock'!H19/Lifetime</f>
        <v>0</v>
      </c>
      <c r="J19" s="33">
        <f>'Water Heater Stock'!I19/Lifetime</f>
        <v>0</v>
      </c>
      <c r="K19" s="33">
        <f>'Water Heater Stock'!J19/Lifetime</f>
        <v>0</v>
      </c>
      <c r="L19" s="33">
        <f>'Water Heater Stock'!K19/Lifetime</f>
        <v>0</v>
      </c>
      <c r="M19" s="33">
        <f>'Water Heater Stock'!L19/Lifetime</f>
        <v>0</v>
      </c>
      <c r="N19" s="33">
        <f>'Water Heater Stock'!M19/Lifetime</f>
        <v>0</v>
      </c>
      <c r="O19" s="33">
        <f>'Water Heater Stock'!N19/Lifetime</f>
        <v>0</v>
      </c>
      <c r="P19" s="33">
        <f>'Water Heater Stock'!O19/Lifetime</f>
        <v>0</v>
      </c>
      <c r="Q19" s="33">
        <f>'Water Heater Stock'!P19/Lifetime</f>
        <v>0</v>
      </c>
      <c r="R19" s="33">
        <f>'Water Heater Stock'!Q19/Lifetime</f>
        <v>0</v>
      </c>
      <c r="S19" s="33">
        <f>'Water Heater Stock'!R19/Lifetime</f>
        <v>0</v>
      </c>
      <c r="T19" s="33">
        <f>'Water Heater Stock'!S19/Lifetime</f>
        <v>0</v>
      </c>
      <c r="U19" s="33">
        <f>'Water Heater Stock'!T19/Lifetime</f>
        <v>0</v>
      </c>
      <c r="V19" s="33">
        <f>'Water Heater Stock'!U19/Lifetime</f>
        <v>0</v>
      </c>
      <c r="W19" s="33">
        <f>'Water Heater Stock'!V19/Lifetime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W19"/>
  <sheetViews>
    <sheetView workbookViewId="0"/>
  </sheetViews>
  <sheetFormatPr defaultColWidth="9.140625" defaultRowHeight="15.75"/>
  <cols>
    <col min="1" max="1" width="20.7109375" style="9" customWidth="1"/>
    <col min="2" max="13" width="9.7109375" style="9" customWidth="1"/>
    <col min="14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Montana, Single Family, Gas FAF, &gt;55 Gallons, Electric Resistance is starting water heater</v>
      </c>
    </row>
    <row r="3" spans="1:23">
      <c r="A3" s="12" t="s">
        <v>101</v>
      </c>
    </row>
    <row r="4" spans="1:23">
      <c r="A4" s="38" t="str">
        <f>'Device Energy Use'!A4</f>
        <v>Water Heat Ending</v>
      </c>
      <c r="B4" s="39">
        <f>+'Water Heater Stock'!B4</f>
        <v>2014</v>
      </c>
      <c r="C4" s="39">
        <f>+'Water Heater Stock'!C4</f>
        <v>2015</v>
      </c>
      <c r="D4" s="39">
        <f>+'Water Heater Stock'!D4</f>
        <v>2016</v>
      </c>
      <c r="E4" s="39">
        <f>+'Water Heater Stock'!E4</f>
        <v>2017</v>
      </c>
      <c r="F4" s="39">
        <f>+'Water Heater Stock'!F4</f>
        <v>2018</v>
      </c>
      <c r="G4" s="39">
        <f>+'Water Heater Stock'!G4</f>
        <v>2019</v>
      </c>
      <c r="H4" s="39">
        <f>+'Water Heater Stock'!H4</f>
        <v>2020</v>
      </c>
      <c r="I4" s="39">
        <f>+'Water Heater Stock'!I4</f>
        <v>2021</v>
      </c>
      <c r="J4" s="39">
        <f>+'Water Heater Stock'!J4</f>
        <v>2022</v>
      </c>
      <c r="K4" s="39">
        <f>+'Water Heater Stock'!K4</f>
        <v>2023</v>
      </c>
      <c r="L4" s="39">
        <f>+'Water Heater Stock'!L4</f>
        <v>2024</v>
      </c>
      <c r="M4" s="39">
        <f>+'Water Heater Stock'!M4</f>
        <v>2025</v>
      </c>
      <c r="N4" s="39">
        <f>+'Water Heater Stock'!N4</f>
        <v>2026</v>
      </c>
      <c r="O4" s="39">
        <f>+'Water Heater Stock'!O4</f>
        <v>2027</v>
      </c>
      <c r="P4" s="39">
        <f>+'Water Heater Stock'!P4</f>
        <v>2028</v>
      </c>
      <c r="Q4" s="39">
        <f>+'Water Heater Stock'!Q4</f>
        <v>2029</v>
      </c>
      <c r="R4" s="39">
        <f>+'Water Heater Stock'!R4</f>
        <v>2030</v>
      </c>
      <c r="S4" s="39">
        <f>+'Water Heater Stock'!S4</f>
        <v>2031</v>
      </c>
      <c r="T4" s="39">
        <f>+'Water Heater Stock'!T4</f>
        <v>2032</v>
      </c>
      <c r="U4" s="39">
        <f>+'Water Heater Stock'!U4</f>
        <v>2033</v>
      </c>
      <c r="V4" s="39">
        <f>+'Water Heater Stock'!V4</f>
        <v>2034</v>
      </c>
      <c r="W4" s="39">
        <f>+'Water Heater Stock'!W4</f>
        <v>2035</v>
      </c>
    </row>
    <row r="5" spans="1:23" s="28" customFormat="1" ht="16.5" thickBot="1">
      <c r="A5" s="48" t="s">
        <v>44</v>
      </c>
      <c r="B5" s="49">
        <f t="shared" ref="B5:W5" si="0">SUM(B6:B10)</f>
        <v>0</v>
      </c>
      <c r="C5" s="49">
        <f t="shared" ref="C5" si="1">SUM(C6:C10)</f>
        <v>136</v>
      </c>
      <c r="D5" s="49">
        <f t="shared" si="0"/>
        <v>136</v>
      </c>
      <c r="E5" s="49">
        <f t="shared" si="0"/>
        <v>135.99999999999997</v>
      </c>
      <c r="F5" s="49">
        <f t="shared" si="0"/>
        <v>135.99999999999994</v>
      </c>
      <c r="G5" s="49">
        <f t="shared" si="0"/>
        <v>135.99999999999997</v>
      </c>
      <c r="H5" s="49">
        <f t="shared" si="0"/>
        <v>135.99999999999997</v>
      </c>
      <c r="I5" s="49">
        <f t="shared" si="0"/>
        <v>135.99999999999997</v>
      </c>
      <c r="J5" s="49">
        <f t="shared" si="0"/>
        <v>135.99999999999997</v>
      </c>
      <c r="K5" s="49">
        <f t="shared" si="0"/>
        <v>135.99999999999994</v>
      </c>
      <c r="L5" s="49">
        <f t="shared" si="0"/>
        <v>135.99999999999997</v>
      </c>
      <c r="M5" s="49">
        <f t="shared" si="0"/>
        <v>136</v>
      </c>
      <c r="N5" s="49">
        <f t="shared" si="0"/>
        <v>135.99999999999997</v>
      </c>
      <c r="O5" s="49">
        <f t="shared" si="0"/>
        <v>136</v>
      </c>
      <c r="P5" s="49">
        <f t="shared" si="0"/>
        <v>135.99999999999994</v>
      </c>
      <c r="Q5" s="49">
        <f t="shared" si="0"/>
        <v>135.99999999999997</v>
      </c>
      <c r="R5" s="49">
        <f t="shared" si="0"/>
        <v>135.99999999999997</v>
      </c>
      <c r="S5" s="49">
        <f t="shared" si="0"/>
        <v>135.99999999999997</v>
      </c>
      <c r="T5" s="49">
        <f t="shared" si="0"/>
        <v>135.99999999999997</v>
      </c>
      <c r="U5" s="49">
        <f t="shared" si="0"/>
        <v>135.99999999999991</v>
      </c>
      <c r="V5" s="49">
        <f t="shared" si="0"/>
        <v>135.99999999999994</v>
      </c>
      <c r="W5" s="49">
        <f t="shared" si="0"/>
        <v>136</v>
      </c>
    </row>
    <row r="6" spans="1:23" ht="16.5" thickTop="1">
      <c r="A6" s="9" t="str">
        <f>+'Water Heater Stock'!A6</f>
        <v>Electric Resistance</v>
      </c>
      <c r="B6" s="33">
        <v>0</v>
      </c>
      <c r="C6" s="33">
        <f>SUM('Water Heaters Retired'!C$6:C$10)*'Marginal Market Share'!C5</f>
        <v>1.9843478080369737E-3</v>
      </c>
      <c r="D6" s="33">
        <f>SUM('Water Heaters Retired'!D$6:D$10)*'Marginal Market Share'!D5</f>
        <v>1.9602578140851699E-3</v>
      </c>
      <c r="E6" s="33">
        <f>SUM('Water Heaters Retired'!E$6:E$10)*'Marginal Market Share'!E5</f>
        <v>1.9365432602726758E-3</v>
      </c>
      <c r="F6" s="33">
        <f>SUM('Water Heaters Retired'!F$6:F$10)*'Marginal Market Share'!F5</f>
        <v>1.9131990049858004E-3</v>
      </c>
      <c r="G6" s="33">
        <f>SUM('Water Heaters Retired'!G$6:G$10)*'Marginal Market Share'!G5</f>
        <v>1.8902199529258902E-3</v>
      </c>
      <c r="H6" s="33">
        <f>SUM('Water Heaters Retired'!H$6:H$10)*'Marginal Market Share'!H5</f>
        <v>1.867601055618793E-3</v>
      </c>
      <c r="I6" s="33">
        <f>SUM('Water Heaters Retired'!I$6:I$10)*'Marginal Market Share'!I5</f>
        <v>1.8453373118852924E-3</v>
      </c>
      <c r="J6" s="33">
        <f>SUM('Water Heaters Retired'!J$6:J$10)*'Marginal Market Share'!J5</f>
        <v>1.8234237682734941E-3</v>
      </c>
      <c r="K6" s="33">
        <f>SUM('Water Heaters Retired'!K$6:K$10)*'Marginal Market Share'!K5</f>
        <v>1.801855519454147E-3</v>
      </c>
      <c r="L6" s="33">
        <f>SUM('Water Heaters Retired'!L$6:L$10)*'Marginal Market Share'!L5</f>
        <v>1.7806277085798852E-3</v>
      </c>
      <c r="M6" s="33">
        <f>SUM('Water Heaters Retired'!M$6:M$10)*'Marginal Market Share'!M5</f>
        <v>1.7597355276093658E-3</v>
      </c>
      <c r="N6" s="33">
        <f>SUM('Water Heaters Retired'!N$6:N$10)*'Marginal Market Share'!N5</f>
        <v>1.7391742175972662E-3</v>
      </c>
      <c r="O6" s="33">
        <f>SUM('Water Heaters Retired'!O$6:O$10)*'Marginal Market Share'!O5</f>
        <v>1.7189390689511229E-3</v>
      </c>
      <c r="P6" s="33">
        <f>SUM('Water Heaters Retired'!P$6:P$10)*'Marginal Market Share'!P5</f>
        <v>1.699025421655945E-3</v>
      </c>
      <c r="Q6" s="33">
        <f>SUM('Water Heaters Retired'!Q$6:Q$10)*'Marginal Market Share'!Q5</f>
        <v>1.6794286654675794E-3</v>
      </c>
      <c r="R6" s="33">
        <f>SUM('Water Heaters Retired'!R$6:R$10)*'Marginal Market Share'!R5</f>
        <v>1.6601442400757467E-3</v>
      </c>
      <c r="S6" s="33">
        <f>SUM('Water Heaters Retired'!S$6:S$10)*'Marginal Market Share'!S5</f>
        <v>1.6411676352376943E-3</v>
      </c>
      <c r="T6" s="33">
        <f>SUM('Water Heaters Retired'!T$6:T$10)*'Marginal Market Share'!T5</f>
        <v>1.6224943908833759E-3</v>
      </c>
      <c r="U6" s="33">
        <f>SUM('Water Heaters Retired'!U$6:U$10)*'Marginal Market Share'!U5</f>
        <v>1.6041200971930859E-3</v>
      </c>
      <c r="V6" s="33">
        <f>SUM('Water Heaters Retired'!V$6:V$10)*'Marginal Market Share'!V5</f>
        <v>1.5860403946484252E-3</v>
      </c>
      <c r="W6" s="33">
        <f>SUM('Water Heaters Retired'!W$6:W$10)*'Marginal Market Share'!W5</f>
        <v>1.5682509740575052E-3</v>
      </c>
    </row>
    <row r="7" spans="1:23">
      <c r="A7" s="9" t="str">
        <f>+'Water Heater Stock'!A7</f>
        <v>HPWH</v>
      </c>
      <c r="B7" s="33">
        <v>0</v>
      </c>
      <c r="C7" s="33">
        <f>SUM('Water Heaters Retired'!C$6:C$10)*'Marginal Market Share'!C6</f>
        <v>59.342451010996697</v>
      </c>
      <c r="D7" s="33">
        <f>SUM('Water Heaters Retired'!D$6:D$10)*'Marginal Market Share'!D6</f>
        <v>59.17462283464755</v>
      </c>
      <c r="E7" s="33">
        <f>SUM('Water Heaters Retired'!E$6:E$10)*'Marginal Market Share'!E6</f>
        <v>59.007175896667754</v>
      </c>
      <c r="F7" s="33">
        <f>SUM('Water Heaters Retired'!F$6:F$10)*'Marginal Market Share'!F6</f>
        <v>58.840130863336476</v>
      </c>
      <c r="G7" s="33">
        <f>SUM('Water Heaters Retired'!G$6:G$10)*'Marginal Market Share'!G6</f>
        <v>58.67350835892303</v>
      </c>
      <c r="H7" s="33">
        <f>SUM('Water Heaters Retired'!H$6:H$10)*'Marginal Market Share'!H6</f>
        <v>58.507328958003576</v>
      </c>
      <c r="I7" s="33">
        <f>SUM('Water Heaters Retired'!I$6:I$10)*'Marginal Market Share'!I6</f>
        <v>58.341613177830673</v>
      </c>
      <c r="J7" s="33">
        <f>SUM('Water Heaters Retired'!J$6:J$10)*'Marginal Market Share'!J6</f>
        <v>58.176381470762855</v>
      </c>
      <c r="K7" s="33">
        <f>SUM('Water Heaters Retired'!K$6:K$10)*'Marginal Market Share'!K6</f>
        <v>58.011654216761158</v>
      </c>
      <c r="L7" s="33">
        <f>SUM('Water Heaters Retired'!L$6:L$10)*'Marginal Market Share'!L6</f>
        <v>57.847451715959188</v>
      </c>
      <c r="M7" s="33">
        <f>SUM('Water Heaters Retired'!M$6:M$10)*'Marginal Market Share'!M6</f>
        <v>57.683794181313729</v>
      </c>
      <c r="N7" s="33">
        <f>SUM('Water Heaters Retired'!N$6:N$10)*'Marginal Market Share'!N6</f>
        <v>57.520701731341887</v>
      </c>
      <c r="O7" s="33">
        <f>SUM('Water Heaters Retired'!O$6:O$10)*'Marginal Market Share'!O6</f>
        <v>57.358194382951979</v>
      </c>
      <c r="P7" s="33">
        <f>SUM('Water Heaters Retired'!P$6:P$10)*'Marginal Market Share'!P6</f>
        <v>57.196292044373223</v>
      </c>
      <c r="Q7" s="33">
        <f>SUM('Water Heaters Retired'!Q$6:Q$10)*'Marginal Market Share'!Q6</f>
        <v>57.035014508191352</v>
      </c>
      <c r="R7" s="33">
        <f>SUM('Water Heaters Retired'!R$6:R$10)*'Marginal Market Share'!R6</f>
        <v>56.874381444495</v>
      </c>
      <c r="S7" s="33">
        <f>SUM('Water Heaters Retired'!S$6:S$10)*'Marginal Market Share'!S6</f>
        <v>56.714412394139281</v>
      </c>
      <c r="T7" s="33">
        <f>SUM('Water Heaters Retired'!T$6:T$10)*'Marginal Market Share'!T6</f>
        <v>56.555126762131387</v>
      </c>
      <c r="U7" s="33">
        <f>SUM('Water Heaters Retired'!U$6:U$10)*'Marginal Market Share'!U6</f>
        <v>56.396543811143673</v>
      </c>
      <c r="V7" s="33">
        <f>SUM('Water Heaters Retired'!V$6:V$10)*'Marginal Market Share'!V6</f>
        <v>56.238682655159302</v>
      </c>
      <c r="W7" s="33">
        <f>SUM('Water Heaters Retired'!W$6:W$10)*'Marginal Market Share'!W6</f>
        <v>56.081562253254447</v>
      </c>
    </row>
    <row r="8" spans="1:23">
      <c r="A8" s="9" t="str">
        <f>+'Water Heater Stock'!A8</f>
        <v>Gas Tank</v>
      </c>
      <c r="B8" s="33">
        <v>0</v>
      </c>
      <c r="C8" s="33">
        <f>SUM('Water Heaters Retired'!C$6:C$10)*'Marginal Market Share'!C7</f>
        <v>7.6077515603973495E-3</v>
      </c>
      <c r="D8" s="33">
        <f>SUM('Water Heaters Retired'!D$6:D$10)*'Marginal Market Share'!D7</f>
        <v>7.5455150101552742E-3</v>
      </c>
      <c r="E8" s="33">
        <f>SUM('Water Heaters Retired'!E$6:E$10)*'Marginal Market Share'!E7</f>
        <v>7.4835874351422641E-3</v>
      </c>
      <c r="F8" s="33">
        <f>SUM('Water Heaters Retired'!F$6:F$10)*'Marginal Market Share'!F7</f>
        <v>7.4219748517248196E-3</v>
      </c>
      <c r="G8" s="33">
        <f>SUM('Water Heaters Retired'!G$6:G$10)*'Marginal Market Share'!G7</f>
        <v>7.3606831204611131E-3</v>
      </c>
      <c r="H8" s="33">
        <f>SUM('Water Heaters Retired'!H$6:H$10)*'Marginal Market Share'!H7</f>
        <v>7.2997179446439193E-3</v>
      </c>
      <c r="I8" s="33">
        <f>SUM('Water Heaters Retired'!I$6:I$10)*'Marginal Market Share'!I7</f>
        <v>7.2390848689905035E-3</v>
      </c>
      <c r="J8" s="33">
        <f>SUM('Water Heaters Retired'!J$6:J$10)*'Marginal Market Share'!J7</f>
        <v>7.1787892784791734E-3</v>
      </c>
      <c r="K8" s="33">
        <f>SUM('Water Heaters Retired'!K$6:K$10)*'Marginal Market Share'!K7</f>
        <v>7.1188363973316423E-3</v>
      </c>
      <c r="L8" s="33">
        <f>SUM('Water Heaters Retired'!L$6:L$10)*'Marginal Market Share'!L7</f>
        <v>7.0592312881399997E-3</v>
      </c>
      <c r="M8" s="33">
        <f>SUM('Water Heaters Retired'!M$6:M$10)*'Marginal Market Share'!M7</f>
        <v>6.9999788511374639E-3</v>
      </c>
      <c r="N8" s="33">
        <f>SUM('Water Heaters Retired'!N$6:N$10)*'Marginal Market Share'!N7</f>
        <v>6.9410838236111817E-3</v>
      </c>
      <c r="O8" s="33">
        <f>SUM('Water Heaters Retired'!O$6:O$10)*'Marginal Market Share'!O7</f>
        <v>6.8825507794556462E-3</v>
      </c>
      <c r="P8" s="33">
        <f>SUM('Water Heaters Retired'!P$6:P$10)*'Marginal Market Share'!P7</f>
        <v>6.824384128864938E-3</v>
      </c>
      <c r="Q8" s="33">
        <f>SUM('Water Heaters Retired'!Q$6:Q$10)*'Marginal Market Share'!Q7</f>
        <v>6.7665881181618844E-3</v>
      </c>
      <c r="R8" s="33">
        <f>SUM('Water Heaters Retired'!R$6:R$10)*'Marginal Market Share'!R7</f>
        <v>6.7091668297618902E-3</v>
      </c>
      <c r="S8" s="33">
        <f>SUM('Water Heaters Retired'!S$6:S$10)*'Marginal Market Share'!S7</f>
        <v>6.6521241822692801E-3</v>
      </c>
      <c r="T8" s="33">
        <f>SUM('Water Heaters Retired'!T$6:T$10)*'Marginal Market Share'!T7</f>
        <v>6.5954639307036281E-3</v>
      </c>
      <c r="U8" s="33">
        <f>SUM('Water Heaters Retired'!U$6:U$10)*'Marginal Market Share'!U7</f>
        <v>6.5391896668536252E-3</v>
      </c>
      <c r="V8" s="33">
        <f>SUM('Water Heaters Retired'!V$6:V$10)*'Marginal Market Share'!V7</f>
        <v>6.4833048197555799E-3</v>
      </c>
      <c r="W8" s="33">
        <f>SUM('Water Heaters Retired'!W$6:W$10)*'Marginal Market Share'!W7</f>
        <v>6.4278126562937856E-3</v>
      </c>
    </row>
    <row r="9" spans="1:23">
      <c r="A9" s="9" t="str">
        <f>+'Water Heater Stock'!A9</f>
        <v>Instant Gas</v>
      </c>
      <c r="B9" s="33">
        <v>0</v>
      </c>
      <c r="C9" s="33">
        <f>SUM('Water Heaters Retired'!C$6:C$10)*'Marginal Market Share'!C8</f>
        <v>21.650883104790683</v>
      </c>
      <c r="D9" s="33">
        <f>SUM('Water Heaters Retired'!D$6:D$10)*'Marginal Market Share'!D8</f>
        <v>21.764218316082367</v>
      </c>
      <c r="E9" s="33">
        <f>SUM('Water Heaters Retired'!E$6:E$10)*'Marginal Market Share'!E8</f>
        <v>21.878283214093749</v>
      </c>
      <c r="F9" s="33">
        <f>SUM('Water Heaters Retired'!F$6:F$10)*'Marginal Market Share'!F8</f>
        <v>21.99307343756756</v>
      </c>
      <c r="G9" s="33">
        <f>SUM('Water Heaters Retired'!G$6:G$10)*'Marginal Market Share'!G8</f>
        <v>22.108584383392035</v>
      </c>
      <c r="H9" s="33">
        <f>SUM('Water Heaters Retired'!H$6:H$10)*'Marginal Market Share'!H8</f>
        <v>22.224811203692365</v>
      </c>
      <c r="I9" s="33">
        <f>SUM('Water Heaters Retired'!I$6:I$10)*'Marginal Market Share'!I8</f>
        <v>22.341748803006116</v>
      </c>
      <c r="J9" s="33">
        <f>SUM('Water Heaters Retired'!J$6:J$10)*'Marginal Market Share'!J8</f>
        <v>22.45939183554745</v>
      </c>
      <c r="K9" s="33">
        <f>SUM('Water Heaters Retired'!K$6:K$10)*'Marginal Market Share'!K8</f>
        <v>22.577734702565543</v>
      </c>
      <c r="L9" s="33">
        <f>SUM('Water Heaters Retired'!L$6:L$10)*'Marginal Market Share'!L8</f>
        <v>22.696771549802069</v>
      </c>
      <c r="M9" s="33">
        <f>SUM('Water Heaters Retired'!M$6:M$10)*'Marginal Market Share'!M8</f>
        <v>22.816496265053427</v>
      </c>
      <c r="N9" s="33">
        <f>SUM('Water Heaters Retired'!N$6:N$10)*'Marginal Market Share'!N8</f>
        <v>22.936902475842473</v>
      </c>
      <c r="O9" s="33">
        <f>SUM('Water Heaters Retired'!O$6:O$10)*'Marginal Market Share'!O8</f>
        <v>23.057983547205531</v>
      </c>
      <c r="P9" s="33">
        <f>SUM('Water Heaters Retired'!P$6:P$10)*'Marginal Market Share'!P8</f>
        <v>23.179732579599541</v>
      </c>
      <c r="Q9" s="33">
        <f>SUM('Water Heaters Retired'!Q$6:Q$10)*'Marginal Market Share'!Q8</f>
        <v>23.302142406934998</v>
      </c>
      <c r="R9" s="33">
        <f>SUM('Water Heaters Retired'!R$6:R$10)*'Marginal Market Share'!R8</f>
        <v>23.425205594739751</v>
      </c>
      <c r="S9" s="33">
        <f>SUM('Water Heaters Retired'!S$6:S$10)*'Marginal Market Share'!S8</f>
        <v>23.548914438459068</v>
      </c>
      <c r="T9" s="33">
        <f>SUM('Water Heaters Retired'!T$6:T$10)*'Marginal Market Share'!T8</f>
        <v>23.673260961897231</v>
      </c>
      <c r="U9" s="33">
        <f>SUM('Water Heaters Retired'!U$6:U$10)*'Marginal Market Share'!U8</f>
        <v>23.798236915805756</v>
      </c>
      <c r="V9" s="33">
        <f>SUM('Water Heaters Retired'!V$6:V$10)*'Marginal Market Share'!V8</f>
        <v>23.923833776623589</v>
      </c>
      <c r="W9" s="33">
        <f>SUM('Water Heaters Retired'!W$6:W$10)*'Marginal Market Share'!W8</f>
        <v>24.050042745374245</v>
      </c>
    </row>
    <row r="10" spans="1:23">
      <c r="A10" s="9" t="str">
        <f>+'Water Heater Stock'!A10</f>
        <v>Condensing Gas</v>
      </c>
      <c r="B10" s="33">
        <v>0</v>
      </c>
      <c r="C10" s="33">
        <f>SUM('Water Heaters Retired'!C$6:C$10)*'Marginal Market Share'!C9</f>
        <v>54.99707378484419</v>
      </c>
      <c r="D10" s="33">
        <f>SUM('Water Heaters Retired'!D$6:D$10)*'Marginal Market Share'!D9</f>
        <v>55.051653076445831</v>
      </c>
      <c r="E10" s="33">
        <f>SUM('Water Heaters Retired'!E$6:E$10)*'Marginal Market Share'!E9</f>
        <v>55.105120758543059</v>
      </c>
      <c r="F10" s="33">
        <f>SUM('Water Heaters Retired'!F$6:F$10)*'Marginal Market Share'!F9</f>
        <v>55.157460525239216</v>
      </c>
      <c r="G10" s="33">
        <f>SUM('Water Heaters Retired'!G$6:G$10)*'Marginal Market Share'!G9</f>
        <v>55.208656354611527</v>
      </c>
      <c r="H10" s="33">
        <f>SUM('Water Heaters Retired'!H$6:H$10)*'Marginal Market Share'!H9</f>
        <v>55.258692519303757</v>
      </c>
      <c r="I10" s="33">
        <f>SUM('Water Heaters Retired'!I$6:I$10)*'Marginal Market Share'!I9</f>
        <v>55.307553596982295</v>
      </c>
      <c r="J10" s="33">
        <f>SUM('Water Heaters Retired'!J$6:J$10)*'Marginal Market Share'!J9</f>
        <v>55.35522448064291</v>
      </c>
      <c r="K10" s="33">
        <f>SUM('Water Heaters Retired'!K$6:K$10)*'Marginal Market Share'!K9</f>
        <v>55.401690388756478</v>
      </c>
      <c r="L10" s="33">
        <f>SUM('Water Heaters Retired'!L$6:L$10)*'Marginal Market Share'!L9</f>
        <v>55.446936875241995</v>
      </c>
      <c r="M10" s="33">
        <f>SUM('Water Heaters Retired'!M$6:M$10)*'Marginal Market Share'!M9</f>
        <v>55.490949839254107</v>
      </c>
      <c r="N10" s="33">
        <f>SUM('Water Heaters Retired'!N$6:N$10)*'Marginal Market Share'!N9</f>
        <v>55.533715534774402</v>
      </c>
      <c r="O10" s="33">
        <f>SUM('Water Heaters Retired'!O$6:O$10)*'Marginal Market Share'!O9</f>
        <v>55.575220579994067</v>
      </c>
      <c r="P10" s="33">
        <f>SUM('Water Heaters Retired'!P$6:P$10)*'Marginal Market Share'!P9</f>
        <v>55.615451966476662</v>
      </c>
      <c r="Q10" s="33">
        <f>SUM('Water Heaters Retired'!Q$6:Q$10)*'Marginal Market Share'!Q9</f>
        <v>55.654397068089985</v>
      </c>
      <c r="R10" s="33">
        <f>SUM('Water Heaters Retired'!R$6:R$10)*'Marginal Market Share'!R9</f>
        <v>55.692043649695385</v>
      </c>
      <c r="S10" s="33">
        <f>SUM('Water Heaters Retired'!S$6:S$10)*'Marginal Market Share'!S9</f>
        <v>55.728379875584132</v>
      </c>
      <c r="T10" s="33">
        <f>SUM('Water Heaters Retired'!T$6:T$10)*'Marginal Market Share'!T9</f>
        <v>55.76339431764977</v>
      </c>
      <c r="U10" s="33">
        <f>SUM('Water Heaters Retired'!U$6:U$10)*'Marginal Market Share'!U9</f>
        <v>55.797075963286446</v>
      </c>
      <c r="V10" s="33">
        <f>SUM('Water Heaters Retired'!V$6:V$10)*'Marginal Market Share'!V9</f>
        <v>55.829414223002672</v>
      </c>
      <c r="W10" s="33">
        <f>SUM('Water Heaters Retired'!W$6:W$10)*'Marginal Market Share'!W9</f>
        <v>55.860398937740939</v>
      </c>
    </row>
    <row r="11" spans="1:23">
      <c r="D11" s="12"/>
    </row>
    <row r="12" spans="1:23">
      <c r="A12" s="12" t="s">
        <v>102</v>
      </c>
    </row>
    <row r="13" spans="1:23">
      <c r="A13" s="38" t="str">
        <f>'Device Energy Use'!A4</f>
        <v>Water Heat Ending</v>
      </c>
      <c r="B13" s="39">
        <f>+'Water Heater Stock'!B13</f>
        <v>2014</v>
      </c>
      <c r="C13" s="39">
        <f>+'Water Heater Stock'!C13</f>
        <v>2015</v>
      </c>
      <c r="D13" s="39">
        <f>+'Water Heater Stock'!D13</f>
        <v>2016</v>
      </c>
      <c r="E13" s="39">
        <f>+'Water Heater Stock'!E13</f>
        <v>2017</v>
      </c>
      <c r="F13" s="39">
        <f>+'Water Heater Stock'!F13</f>
        <v>2018</v>
      </c>
      <c r="G13" s="39">
        <f>+'Water Heater Stock'!G13</f>
        <v>2019</v>
      </c>
      <c r="H13" s="39">
        <f>+'Water Heater Stock'!H13</f>
        <v>2020</v>
      </c>
      <c r="I13" s="39">
        <f>+'Water Heater Stock'!I13</f>
        <v>2021</v>
      </c>
      <c r="J13" s="39">
        <f>+'Water Heater Stock'!J13</f>
        <v>2022</v>
      </c>
      <c r="K13" s="39">
        <f>+'Water Heater Stock'!K13</f>
        <v>2023</v>
      </c>
      <c r="L13" s="39">
        <f>+'Water Heater Stock'!L13</f>
        <v>2024</v>
      </c>
      <c r="M13" s="39">
        <f>+'Water Heater Stock'!M13</f>
        <v>2025</v>
      </c>
      <c r="N13" s="39">
        <f>+'Water Heater Stock'!N13</f>
        <v>2026</v>
      </c>
      <c r="O13" s="39">
        <f>+'Water Heater Stock'!O13</f>
        <v>2027</v>
      </c>
      <c r="P13" s="39">
        <f>+'Water Heater Stock'!P13</f>
        <v>2028</v>
      </c>
      <c r="Q13" s="39">
        <f>+'Water Heater Stock'!Q13</f>
        <v>2029</v>
      </c>
      <c r="R13" s="39">
        <f>+'Water Heater Stock'!R13</f>
        <v>2030</v>
      </c>
      <c r="S13" s="39">
        <f>+'Water Heater Stock'!S13</f>
        <v>2031</v>
      </c>
      <c r="T13" s="39">
        <f>+'Water Heater Stock'!T13</f>
        <v>2032</v>
      </c>
      <c r="U13" s="39">
        <f>+'Water Heater Stock'!U13</f>
        <v>2033</v>
      </c>
      <c r="V13" s="39">
        <f>+'Water Heater Stock'!V13</f>
        <v>2034</v>
      </c>
      <c r="W13" s="39">
        <f>+'Water Heater Stock'!W13</f>
        <v>2035</v>
      </c>
    </row>
    <row r="14" spans="1:23" ht="16.5" thickBot="1">
      <c r="A14" s="48" t="s">
        <v>44</v>
      </c>
      <c r="B14" s="49">
        <f t="shared" ref="B14:W14" si="2">SUM(B15:B19)</f>
        <v>0</v>
      </c>
      <c r="C14" s="49">
        <f t="shared" ref="C14" si="3">SUM(C15:C19)</f>
        <v>136</v>
      </c>
      <c r="D14" s="49">
        <f t="shared" si="2"/>
        <v>136</v>
      </c>
      <c r="E14" s="49">
        <f t="shared" si="2"/>
        <v>136</v>
      </c>
      <c r="F14" s="49">
        <f t="shared" si="2"/>
        <v>136</v>
      </c>
      <c r="G14" s="49">
        <f t="shared" si="2"/>
        <v>136</v>
      </c>
      <c r="H14" s="49">
        <f t="shared" si="2"/>
        <v>136</v>
      </c>
      <c r="I14" s="49">
        <f t="shared" si="2"/>
        <v>136</v>
      </c>
      <c r="J14" s="49">
        <f t="shared" si="2"/>
        <v>136</v>
      </c>
      <c r="K14" s="49">
        <f t="shared" si="2"/>
        <v>136</v>
      </c>
      <c r="L14" s="49">
        <f t="shared" si="2"/>
        <v>136</v>
      </c>
      <c r="M14" s="49">
        <f t="shared" si="2"/>
        <v>136</v>
      </c>
      <c r="N14" s="49">
        <f t="shared" si="2"/>
        <v>136</v>
      </c>
      <c r="O14" s="49">
        <f t="shared" si="2"/>
        <v>136</v>
      </c>
      <c r="P14" s="49">
        <f t="shared" si="2"/>
        <v>136</v>
      </c>
      <c r="Q14" s="49">
        <f t="shared" si="2"/>
        <v>135.99999999999997</v>
      </c>
      <c r="R14" s="49">
        <f t="shared" si="2"/>
        <v>135.99999999999997</v>
      </c>
      <c r="S14" s="49">
        <f t="shared" si="2"/>
        <v>135.99999999999997</v>
      </c>
      <c r="T14" s="49">
        <f t="shared" si="2"/>
        <v>135.99999999999997</v>
      </c>
      <c r="U14" s="49">
        <f t="shared" si="2"/>
        <v>135.99999999999997</v>
      </c>
      <c r="V14" s="49">
        <f t="shared" si="2"/>
        <v>135.99999999999997</v>
      </c>
      <c r="W14" s="49">
        <f t="shared" si="2"/>
        <v>135.99999999999997</v>
      </c>
    </row>
    <row r="15" spans="1:23" ht="16.5" thickTop="1">
      <c r="A15" s="9" t="str">
        <f>+'Water Heater Stock'!A15</f>
        <v>Electric Resistance</v>
      </c>
      <c r="B15" s="33">
        <v>0</v>
      </c>
      <c r="C15" s="33">
        <f>SUM('Water Heaters Retired'!C$15:C$19)*'Marginal Market Share'!C13</f>
        <v>0</v>
      </c>
      <c r="D15" s="33">
        <f>SUM('Water Heaters Retired'!D$15:D$19)*'Marginal Market Share'!D13</f>
        <v>0</v>
      </c>
      <c r="E15" s="33">
        <f>SUM('Water Heaters Retired'!E$15:E$19)*'Marginal Market Share'!E13</f>
        <v>0</v>
      </c>
      <c r="F15" s="33">
        <f>SUM('Water Heaters Retired'!F$15:F$19)*'Marginal Market Share'!F13</f>
        <v>0</v>
      </c>
      <c r="G15" s="33">
        <f>SUM('Water Heaters Retired'!G$15:G$19)*'Marginal Market Share'!G13</f>
        <v>0</v>
      </c>
      <c r="H15" s="33">
        <f>SUM('Water Heaters Retired'!H$15:H$19)*'Marginal Market Share'!H13</f>
        <v>0</v>
      </c>
      <c r="I15" s="33">
        <f>SUM('Water Heaters Retired'!I$15:I$19)*'Marginal Market Share'!I13</f>
        <v>0</v>
      </c>
      <c r="J15" s="33">
        <f>SUM('Water Heaters Retired'!J$15:J$19)*'Marginal Market Share'!J13</f>
        <v>0</v>
      </c>
      <c r="K15" s="33">
        <f>SUM('Water Heaters Retired'!K$15:K$19)*'Marginal Market Share'!K13</f>
        <v>0</v>
      </c>
      <c r="L15" s="33">
        <f>SUM('Water Heaters Retired'!L$15:L$19)*'Marginal Market Share'!L13</f>
        <v>0</v>
      </c>
      <c r="M15" s="33">
        <f>SUM('Water Heaters Retired'!M$15:M$19)*'Marginal Market Share'!M13</f>
        <v>0</v>
      </c>
      <c r="N15" s="33">
        <f>SUM('Water Heaters Retired'!N$15:N$19)*'Marginal Market Share'!N13</f>
        <v>0</v>
      </c>
      <c r="O15" s="33">
        <f>SUM('Water Heaters Retired'!O$15:O$19)*'Marginal Market Share'!O13</f>
        <v>0</v>
      </c>
      <c r="P15" s="33">
        <f>SUM('Water Heaters Retired'!P$15:P$19)*'Marginal Market Share'!P13</f>
        <v>0</v>
      </c>
      <c r="Q15" s="33">
        <f>SUM('Water Heaters Retired'!Q$15:Q$19)*'Marginal Market Share'!Q13</f>
        <v>0</v>
      </c>
      <c r="R15" s="33">
        <f>SUM('Water Heaters Retired'!R$15:R$19)*'Marginal Market Share'!R13</f>
        <v>0</v>
      </c>
      <c r="S15" s="33">
        <f>SUM('Water Heaters Retired'!S$15:S$19)*'Marginal Market Share'!S13</f>
        <v>0</v>
      </c>
      <c r="T15" s="33">
        <f>SUM('Water Heaters Retired'!T$15:T$19)*'Marginal Market Share'!T13</f>
        <v>0</v>
      </c>
      <c r="U15" s="33">
        <f>SUM('Water Heaters Retired'!U$15:U$19)*'Marginal Market Share'!U13</f>
        <v>0</v>
      </c>
      <c r="V15" s="33">
        <f>SUM('Water Heaters Retired'!V$15:V$19)*'Marginal Market Share'!V13</f>
        <v>0</v>
      </c>
      <c r="W15" s="33">
        <f>SUM('Water Heaters Retired'!W$15:W$19)*'Marginal Market Share'!W13</f>
        <v>0</v>
      </c>
    </row>
    <row r="16" spans="1:23">
      <c r="A16" s="9" t="str">
        <f>+'Water Heater Stock'!A16</f>
        <v>HPWH</v>
      </c>
      <c r="B16" s="33">
        <v>0</v>
      </c>
      <c r="C16" s="33">
        <f>SUM('Water Heaters Retired'!C$15:C$19)*'Marginal Market Share'!C14</f>
        <v>136</v>
      </c>
      <c r="D16" s="33">
        <f>SUM('Water Heaters Retired'!D$15:D$19)*'Marginal Market Share'!D14</f>
        <v>136</v>
      </c>
      <c r="E16" s="33">
        <f>SUM('Water Heaters Retired'!E$15:E$19)*'Marginal Market Share'!E14</f>
        <v>136</v>
      </c>
      <c r="F16" s="33">
        <f>SUM('Water Heaters Retired'!F$15:F$19)*'Marginal Market Share'!F14</f>
        <v>136</v>
      </c>
      <c r="G16" s="33">
        <f>SUM('Water Heaters Retired'!G$15:G$19)*'Marginal Market Share'!G14</f>
        <v>136</v>
      </c>
      <c r="H16" s="33">
        <f>SUM('Water Heaters Retired'!H$15:H$19)*'Marginal Market Share'!H14</f>
        <v>136</v>
      </c>
      <c r="I16" s="33">
        <f>SUM('Water Heaters Retired'!I$15:I$19)*'Marginal Market Share'!I14</f>
        <v>136</v>
      </c>
      <c r="J16" s="33">
        <f>SUM('Water Heaters Retired'!J$15:J$19)*'Marginal Market Share'!J14</f>
        <v>136</v>
      </c>
      <c r="K16" s="33">
        <f>SUM('Water Heaters Retired'!K$15:K$19)*'Marginal Market Share'!K14</f>
        <v>136</v>
      </c>
      <c r="L16" s="33">
        <f>SUM('Water Heaters Retired'!L$15:L$19)*'Marginal Market Share'!L14</f>
        <v>136</v>
      </c>
      <c r="M16" s="33">
        <f>SUM('Water Heaters Retired'!M$15:M$19)*'Marginal Market Share'!M14</f>
        <v>136</v>
      </c>
      <c r="N16" s="33">
        <f>SUM('Water Heaters Retired'!N$15:N$19)*'Marginal Market Share'!N14</f>
        <v>136</v>
      </c>
      <c r="O16" s="33">
        <f>SUM('Water Heaters Retired'!O$15:O$19)*'Marginal Market Share'!O14</f>
        <v>136</v>
      </c>
      <c r="P16" s="33">
        <f>SUM('Water Heaters Retired'!P$15:P$19)*'Marginal Market Share'!P14</f>
        <v>136</v>
      </c>
      <c r="Q16" s="33">
        <f>SUM('Water Heaters Retired'!Q$15:Q$19)*'Marginal Market Share'!Q14</f>
        <v>135.99999999999997</v>
      </c>
      <c r="R16" s="33">
        <f>SUM('Water Heaters Retired'!R$15:R$19)*'Marginal Market Share'!R14</f>
        <v>135.99999999999997</v>
      </c>
      <c r="S16" s="33">
        <f>SUM('Water Heaters Retired'!S$15:S$19)*'Marginal Market Share'!S14</f>
        <v>135.99999999999997</v>
      </c>
      <c r="T16" s="33">
        <f>SUM('Water Heaters Retired'!T$15:T$19)*'Marginal Market Share'!T14</f>
        <v>135.99999999999997</v>
      </c>
      <c r="U16" s="33">
        <f>SUM('Water Heaters Retired'!U$15:U$19)*'Marginal Market Share'!U14</f>
        <v>135.99999999999997</v>
      </c>
      <c r="V16" s="33">
        <f>SUM('Water Heaters Retired'!V$15:V$19)*'Marginal Market Share'!V14</f>
        <v>135.99999999999997</v>
      </c>
      <c r="W16" s="33">
        <f>SUM('Water Heaters Retired'!W$15:W$19)*'Marginal Market Share'!W14</f>
        <v>135.99999999999997</v>
      </c>
    </row>
    <row r="17" spans="1:23">
      <c r="A17" s="9" t="str">
        <f>+'Water Heater Stock'!A17</f>
        <v>Gas Tank</v>
      </c>
      <c r="B17" s="33">
        <v>0</v>
      </c>
      <c r="C17" s="33">
        <f>SUM('Water Heaters Retired'!C$15:C$19)*'Marginal Market Share'!C15</f>
        <v>0</v>
      </c>
      <c r="D17" s="33">
        <f>SUM('Water Heaters Retired'!D$15:D$19)*'Marginal Market Share'!D15</f>
        <v>0</v>
      </c>
      <c r="E17" s="33">
        <f>SUM('Water Heaters Retired'!E$15:E$19)*'Marginal Market Share'!E15</f>
        <v>0</v>
      </c>
      <c r="F17" s="33">
        <f>SUM('Water Heaters Retired'!F$15:F$19)*'Marginal Market Share'!F15</f>
        <v>0</v>
      </c>
      <c r="G17" s="33">
        <f>SUM('Water Heaters Retired'!G$15:G$19)*'Marginal Market Share'!G15</f>
        <v>0</v>
      </c>
      <c r="H17" s="33">
        <f>SUM('Water Heaters Retired'!H$15:H$19)*'Marginal Market Share'!H15</f>
        <v>0</v>
      </c>
      <c r="I17" s="33">
        <f>SUM('Water Heaters Retired'!I$15:I$19)*'Marginal Market Share'!I15</f>
        <v>0</v>
      </c>
      <c r="J17" s="33">
        <f>SUM('Water Heaters Retired'!J$15:J$19)*'Marginal Market Share'!J15</f>
        <v>0</v>
      </c>
      <c r="K17" s="33">
        <f>SUM('Water Heaters Retired'!K$15:K$19)*'Marginal Market Share'!K15</f>
        <v>0</v>
      </c>
      <c r="L17" s="33">
        <f>SUM('Water Heaters Retired'!L$15:L$19)*'Marginal Market Share'!L15</f>
        <v>0</v>
      </c>
      <c r="M17" s="33">
        <f>SUM('Water Heaters Retired'!M$15:M$19)*'Marginal Market Share'!M15</f>
        <v>0</v>
      </c>
      <c r="N17" s="33">
        <f>SUM('Water Heaters Retired'!N$15:N$19)*'Marginal Market Share'!N15</f>
        <v>0</v>
      </c>
      <c r="O17" s="33">
        <f>SUM('Water Heaters Retired'!O$15:O$19)*'Marginal Market Share'!O15</f>
        <v>0</v>
      </c>
      <c r="P17" s="33">
        <f>SUM('Water Heaters Retired'!P$15:P$19)*'Marginal Market Share'!P15</f>
        <v>0</v>
      </c>
      <c r="Q17" s="33">
        <f>SUM('Water Heaters Retired'!Q$15:Q$19)*'Marginal Market Share'!Q15</f>
        <v>0</v>
      </c>
      <c r="R17" s="33">
        <f>SUM('Water Heaters Retired'!R$15:R$19)*'Marginal Market Share'!R15</f>
        <v>0</v>
      </c>
      <c r="S17" s="33">
        <f>SUM('Water Heaters Retired'!S$15:S$19)*'Marginal Market Share'!S15</f>
        <v>0</v>
      </c>
      <c r="T17" s="33">
        <f>SUM('Water Heaters Retired'!T$15:T$19)*'Marginal Market Share'!T15</f>
        <v>0</v>
      </c>
      <c r="U17" s="33">
        <f>SUM('Water Heaters Retired'!U$15:U$19)*'Marginal Market Share'!U15</f>
        <v>0</v>
      </c>
      <c r="V17" s="33">
        <f>SUM('Water Heaters Retired'!V$15:V$19)*'Marginal Market Share'!V15</f>
        <v>0</v>
      </c>
      <c r="W17" s="33">
        <f>SUM('Water Heaters Retired'!W$15:W$19)*'Marginal Market Share'!W15</f>
        <v>0</v>
      </c>
    </row>
    <row r="18" spans="1:23">
      <c r="A18" s="9" t="str">
        <f>+'Water Heater Stock'!A18</f>
        <v>Instant Gas</v>
      </c>
      <c r="B18" s="33">
        <v>0</v>
      </c>
      <c r="C18" s="33">
        <f>SUM('Water Heaters Retired'!C$15:C$19)*'Marginal Market Share'!C16</f>
        <v>0</v>
      </c>
      <c r="D18" s="33">
        <f>SUM('Water Heaters Retired'!D$15:D$19)*'Marginal Market Share'!D16</f>
        <v>0</v>
      </c>
      <c r="E18" s="33">
        <f>SUM('Water Heaters Retired'!E$15:E$19)*'Marginal Market Share'!E16</f>
        <v>0</v>
      </c>
      <c r="F18" s="33">
        <f>SUM('Water Heaters Retired'!F$15:F$19)*'Marginal Market Share'!F16</f>
        <v>0</v>
      </c>
      <c r="G18" s="33">
        <f>SUM('Water Heaters Retired'!G$15:G$19)*'Marginal Market Share'!G16</f>
        <v>0</v>
      </c>
      <c r="H18" s="33">
        <f>SUM('Water Heaters Retired'!H$15:H$19)*'Marginal Market Share'!H16</f>
        <v>0</v>
      </c>
      <c r="I18" s="33">
        <f>SUM('Water Heaters Retired'!I$15:I$19)*'Marginal Market Share'!I16</f>
        <v>0</v>
      </c>
      <c r="J18" s="33">
        <f>SUM('Water Heaters Retired'!J$15:J$19)*'Marginal Market Share'!J16</f>
        <v>0</v>
      </c>
      <c r="K18" s="33">
        <f>SUM('Water Heaters Retired'!K$15:K$19)*'Marginal Market Share'!K16</f>
        <v>0</v>
      </c>
      <c r="L18" s="33">
        <f>SUM('Water Heaters Retired'!L$15:L$19)*'Marginal Market Share'!L16</f>
        <v>0</v>
      </c>
      <c r="M18" s="33">
        <f>SUM('Water Heaters Retired'!M$15:M$19)*'Marginal Market Share'!M16</f>
        <v>0</v>
      </c>
      <c r="N18" s="33">
        <f>SUM('Water Heaters Retired'!N$15:N$19)*'Marginal Market Share'!N16</f>
        <v>0</v>
      </c>
      <c r="O18" s="33">
        <f>SUM('Water Heaters Retired'!O$15:O$19)*'Marginal Market Share'!O16</f>
        <v>0</v>
      </c>
      <c r="P18" s="33">
        <f>SUM('Water Heaters Retired'!P$15:P$19)*'Marginal Market Share'!P16</f>
        <v>0</v>
      </c>
      <c r="Q18" s="33">
        <f>SUM('Water Heaters Retired'!Q$15:Q$19)*'Marginal Market Share'!Q16</f>
        <v>0</v>
      </c>
      <c r="R18" s="33">
        <f>SUM('Water Heaters Retired'!R$15:R$19)*'Marginal Market Share'!R16</f>
        <v>0</v>
      </c>
      <c r="S18" s="33">
        <f>SUM('Water Heaters Retired'!S$15:S$19)*'Marginal Market Share'!S16</f>
        <v>0</v>
      </c>
      <c r="T18" s="33">
        <f>SUM('Water Heaters Retired'!T$15:T$19)*'Marginal Market Share'!T16</f>
        <v>0</v>
      </c>
      <c r="U18" s="33">
        <f>SUM('Water Heaters Retired'!U$15:U$19)*'Marginal Market Share'!U16</f>
        <v>0</v>
      </c>
      <c r="V18" s="33">
        <f>SUM('Water Heaters Retired'!V$15:V$19)*'Marginal Market Share'!V16</f>
        <v>0</v>
      </c>
      <c r="W18" s="33">
        <f>SUM('Water Heaters Retired'!W$15:W$19)*'Marginal Market Share'!W16</f>
        <v>0</v>
      </c>
    </row>
    <row r="19" spans="1:23">
      <c r="A19" s="9" t="str">
        <f>+'Water Heater Stock'!A19</f>
        <v>Condensing Gas</v>
      </c>
      <c r="B19" s="33">
        <v>0</v>
      </c>
      <c r="C19" s="33">
        <f>SUM('Water Heaters Retired'!C$15:C$19)*'Marginal Market Share'!C17</f>
        <v>0</v>
      </c>
      <c r="D19" s="33">
        <f>SUM('Water Heaters Retired'!D$15:D$19)*'Marginal Market Share'!D17</f>
        <v>0</v>
      </c>
      <c r="E19" s="33">
        <f>SUM('Water Heaters Retired'!E$15:E$19)*'Marginal Market Share'!E17</f>
        <v>0</v>
      </c>
      <c r="F19" s="33">
        <f>SUM('Water Heaters Retired'!F$15:F$19)*'Marginal Market Share'!F17</f>
        <v>0</v>
      </c>
      <c r="G19" s="33">
        <f>SUM('Water Heaters Retired'!G$15:G$19)*'Marginal Market Share'!G17</f>
        <v>0</v>
      </c>
      <c r="H19" s="33">
        <f>SUM('Water Heaters Retired'!H$15:H$19)*'Marginal Market Share'!H17</f>
        <v>0</v>
      </c>
      <c r="I19" s="33">
        <f>SUM('Water Heaters Retired'!I$15:I$19)*'Marginal Market Share'!I17</f>
        <v>0</v>
      </c>
      <c r="J19" s="33">
        <f>SUM('Water Heaters Retired'!J$15:J$19)*'Marginal Market Share'!J17</f>
        <v>0</v>
      </c>
      <c r="K19" s="33">
        <f>SUM('Water Heaters Retired'!K$15:K$19)*'Marginal Market Share'!K17</f>
        <v>0</v>
      </c>
      <c r="L19" s="33">
        <f>SUM('Water Heaters Retired'!L$15:L$19)*'Marginal Market Share'!L17</f>
        <v>0</v>
      </c>
      <c r="M19" s="33">
        <f>SUM('Water Heaters Retired'!M$15:M$19)*'Marginal Market Share'!M17</f>
        <v>0</v>
      </c>
      <c r="N19" s="33">
        <f>SUM('Water Heaters Retired'!N$15:N$19)*'Marginal Market Share'!N17</f>
        <v>0</v>
      </c>
      <c r="O19" s="33">
        <f>SUM('Water Heaters Retired'!O$15:O$19)*'Marginal Market Share'!O17</f>
        <v>0</v>
      </c>
      <c r="P19" s="33">
        <f>SUM('Water Heaters Retired'!P$15:P$19)*'Marginal Market Share'!P17</f>
        <v>0</v>
      </c>
      <c r="Q19" s="33">
        <f>SUM('Water Heaters Retired'!Q$15:Q$19)*'Marginal Market Share'!Q17</f>
        <v>0</v>
      </c>
      <c r="R19" s="33">
        <f>SUM('Water Heaters Retired'!R$15:R$19)*'Marginal Market Share'!R17</f>
        <v>0</v>
      </c>
      <c r="S19" s="33">
        <f>SUM('Water Heaters Retired'!S$15:S$19)*'Marginal Market Share'!S17</f>
        <v>0</v>
      </c>
      <c r="T19" s="33">
        <f>SUM('Water Heaters Retired'!T$15:T$19)*'Marginal Market Share'!T17</f>
        <v>0</v>
      </c>
      <c r="U19" s="33">
        <f>SUM('Water Heaters Retired'!U$15:U$19)*'Marginal Market Share'!U17</f>
        <v>0</v>
      </c>
      <c r="V19" s="33">
        <f>SUM('Water Heaters Retired'!V$15:V$19)*'Marginal Market Share'!V17</f>
        <v>0</v>
      </c>
      <c r="W19" s="33">
        <f>SUM('Water Heaters Retired'!W$15:W$19)*'Marginal Market Share'!W17</f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W17"/>
  <sheetViews>
    <sheetView workbookViewId="0"/>
  </sheetViews>
  <sheetFormatPr defaultColWidth="9.140625" defaultRowHeight="15.75"/>
  <cols>
    <col min="1" max="1" width="20.7109375" style="9" customWidth="1"/>
    <col min="2" max="9" width="9.7109375" style="9" customWidth="1"/>
    <col min="10" max="29" width="8.42578125" style="9" customWidth="1"/>
    <col min="30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Montana, Single Family, Gas FAF, &gt;55 Gallons, Electric Resistance is starting water heater</v>
      </c>
    </row>
    <row r="3" spans="1:23" ht="18" customHeight="1">
      <c r="A3" s="42" t="s">
        <v>107</v>
      </c>
    </row>
    <row r="4" spans="1:23" s="23" customFormat="1">
      <c r="A4" s="40" t="str">
        <f>+'Device Energy Use'!A4</f>
        <v>Water Heat Ending</v>
      </c>
      <c r="B4" s="39">
        <f>'Marginal Allocation Weight'!B4</f>
        <v>2014</v>
      </c>
      <c r="C4" s="39">
        <f>'Marginal Allocation Weight'!C4</f>
        <v>2015</v>
      </c>
      <c r="D4" s="39">
        <f>'Marginal Allocation Weight'!D4</f>
        <v>2016</v>
      </c>
      <c r="E4" s="39">
        <f>'Marginal Allocation Weight'!E4</f>
        <v>2017</v>
      </c>
      <c r="F4" s="39">
        <f>'Marginal Allocation Weight'!F4</f>
        <v>2018</v>
      </c>
      <c r="G4" s="39">
        <f>'Marginal Allocation Weight'!G4</f>
        <v>2019</v>
      </c>
      <c r="H4" s="39">
        <f>'Marginal Allocation Weight'!H4</f>
        <v>2020</v>
      </c>
      <c r="I4" s="39">
        <f>'Marginal Allocation Weight'!I4</f>
        <v>2021</v>
      </c>
      <c r="J4" s="39">
        <f>'Marginal Allocation Weight'!J4</f>
        <v>2022</v>
      </c>
      <c r="K4" s="39">
        <f>'Marginal Allocation Weight'!K4</f>
        <v>2023</v>
      </c>
      <c r="L4" s="39">
        <f>'Marginal Allocation Weight'!L4</f>
        <v>2024</v>
      </c>
      <c r="M4" s="39">
        <f>'Marginal Allocation Weight'!M4</f>
        <v>2025</v>
      </c>
      <c r="N4" s="39">
        <f>'Marginal Allocation Weight'!N4</f>
        <v>2026</v>
      </c>
      <c r="O4" s="39">
        <f>'Marginal Allocation Weight'!O4</f>
        <v>2027</v>
      </c>
      <c r="P4" s="39">
        <f>'Marginal Allocation Weight'!P4</f>
        <v>2028</v>
      </c>
      <c r="Q4" s="39">
        <f>'Marginal Allocation Weight'!Q4</f>
        <v>2029</v>
      </c>
      <c r="R4" s="39">
        <f>'Marginal Allocation Weight'!R4</f>
        <v>2030</v>
      </c>
      <c r="S4" s="39">
        <f>'Marginal Allocation Weight'!S4</f>
        <v>2031</v>
      </c>
      <c r="T4" s="39">
        <f>'Marginal Allocation Weight'!T4</f>
        <v>2032</v>
      </c>
      <c r="U4" s="39">
        <f>'Marginal Allocation Weight'!U4</f>
        <v>2033</v>
      </c>
      <c r="V4" s="39">
        <f>'Marginal Allocation Weight'!V4</f>
        <v>2034</v>
      </c>
      <c r="W4" s="39">
        <f>'Marginal Allocation Weight'!W4</f>
        <v>2035</v>
      </c>
    </row>
    <row r="5" spans="1:23">
      <c r="A5" s="9" t="str">
        <f>+'Device Energy Use'!A5</f>
        <v>Electric Resistance</v>
      </c>
      <c r="B5" s="32">
        <f>'Water Heater Stock'!B6/'Water Heater Stock'!B$5</f>
        <v>1</v>
      </c>
      <c r="C5" s="32">
        <f>'Water Heater Stock'!C6/'Water Heater Stock'!C$5</f>
        <v>0.92857247077090754</v>
      </c>
      <c r="D5" s="32">
        <f>'Water Heater Stock'!D6/'Water Heater Stock'!D$5</f>
        <v>0.86224689526301412</v>
      </c>
      <c r="E5" s="32">
        <f>'Water Heater Stock'!E6/'Water Heater Stock'!E$5</f>
        <v>0.80065884840770429</v>
      </c>
      <c r="F5" s="32">
        <f>'Water Heater Stock'!F6/'Water Heater Stock'!F$5</f>
        <v>0.74346993549570706</v>
      </c>
      <c r="G5" s="32">
        <f>'Water Heater Stock'!G6/'Water Heater Stock'!G$5</f>
        <v>0.69036593286573689</v>
      </c>
      <c r="H5" s="32">
        <f>'Water Heater Stock'!H6/'Water Heater Stock'!H$5</f>
        <v>0.64105506140109159</v>
      </c>
      <c r="I5" s="32">
        <f>'Water Heater Stock'!I6/'Water Heater Stock'!I$5</f>
        <v>0.59526638334792104</v>
      </c>
      <c r="J5" s="32">
        <f>'Water Heater Stock'!J6/'Water Heater Stock'!J$5</f>
        <v>0.55274831364647725</v>
      </c>
      <c r="K5" s="32">
        <f>'Water Heater Stock'!K6/'Water Heater Stock'!K$5</f>
        <v>0.51326723759584625</v>
      </c>
      <c r="L5" s="32">
        <f>'Water Heater Stock'!L6/'Water Heater Stock'!L$5</f>
        <v>0.47660622725691426</v>
      </c>
      <c r="M5" s="32">
        <f>'Water Heater Stock'!M6/'Water Heater Stock'!M$5</f>
        <v>0.44256384954083616</v>
      </c>
      <c r="N5" s="32">
        <f>'Water Heater Stock'!N6/'Water Heater Stock'!N$5</f>
        <v>0.41095305943404198</v>
      </c>
      <c r="O5" s="32">
        <f>'Water Heater Stock'!O6/'Water Heater Stock'!O$5</f>
        <v>0.38160017227860044</v>
      </c>
      <c r="P5" s="32">
        <f>'Water Heater Stock'!P6/'Water Heater Stock'!P$5</f>
        <v>0.3543439094611277</v>
      </c>
      <c r="Q5" s="32">
        <f>'Water Heater Stock'!Q6/'Water Heater Stock'!Q$5</f>
        <v>0.32903451226677488</v>
      </c>
      <c r="R5" s="32">
        <f>'Water Heater Stock'!R6/'Water Heater Stock'!R$5</f>
        <v>0.3055329190293582</v>
      </c>
      <c r="S5" s="32">
        <f>'Water Heater Stock'!S6/'Water Heater Stock'!S$5</f>
        <v>0.28371000105648142</v>
      </c>
      <c r="T5" s="32">
        <f>'Water Heater Stock'!T6/'Water Heater Stock'!T$5</f>
        <v>0.26344585313143382</v>
      </c>
      <c r="U5" s="32">
        <f>'Water Heater Stock'!U6/'Water Heater Stock'!U$5</f>
        <v>0.24462913469352532</v>
      </c>
      <c r="V5" s="32">
        <f>'Water Heater Stock'!V6/'Water Heater Stock'!V$5</f>
        <v>0.22715645807696816</v>
      </c>
      <c r="W5" s="32">
        <f>'Water Heater Stock'!W6/'Water Heater Stock'!W$5</f>
        <v>0.21093182044698203</v>
      </c>
    </row>
    <row r="6" spans="1:23">
      <c r="A6" s="9" t="str">
        <f>+'Device Energy Use'!A6</f>
        <v>HPWH</v>
      </c>
      <c r="B6" s="32">
        <f>'Water Heater Stock'!B7/'Water Heater Stock'!B$5</f>
        <v>0</v>
      </c>
      <c r="C6" s="32">
        <f>'Water Heater Stock'!C7/'Water Heater Stock'!C$5</f>
        <v>3.1167253682246165E-2</v>
      </c>
      <c r="D6" s="32">
        <f>'Water Heater Stock'!D7/'Water Heater Stock'!D$5</f>
        <v>6.0020129908014065E-2</v>
      </c>
      <c r="E6" s="32">
        <f>'Water Heater Stock'!E7/'Water Heater Stock'!E$5</f>
        <v>8.6724141583002429E-2</v>
      </c>
      <c r="F6" s="32">
        <f>'Water Heater Stock'!F7/'Water Heater Stock'!F$5</f>
        <v>0.11143299011664118</v>
      </c>
      <c r="G6" s="32">
        <f>'Water Heater Stock'!G7/'Water Heater Stock'!G$5</f>
        <v>0.13428940907833226</v>
      </c>
      <c r="H6" s="32">
        <f>'Water Heater Stock'!H7/'Water Heater Stock'!H$5</f>
        <v>0.15542594758849529</v>
      </c>
      <c r="I6" s="32">
        <f>'Water Heater Stock'!I7/'Water Heater Stock'!I$5</f>
        <v>0.17496569774910209</v>
      </c>
      <c r="J6" s="32">
        <f>'Water Heater Stock'!J7/'Water Heater Stock'!J$5</f>
        <v>0.19302297011091146</v>
      </c>
      <c r="K6" s="32">
        <f>'Water Heater Stock'!K7/'Water Heater Stock'!K$5</f>
        <v>0.20970392088910322</v>
      </c>
      <c r="L6" s="32">
        <f>'Water Heater Stock'!L7/'Water Heater Stock'!L$5</f>
        <v>0.22510713437389376</v>
      </c>
      <c r="M6" s="32">
        <f>'Water Heater Stock'!M7/'Water Heater Stock'!M$5</f>
        <v>0.23932416373653254</v>
      </c>
      <c r="N6" s="32">
        <f>'Water Heater Stock'!N7/'Water Heater Stock'!N$5</f>
        <v>0.25244003320248498</v>
      </c>
      <c r="O6" s="32">
        <f>'Water Heater Stock'!O7/'Water Heater Stock'!O$5</f>
        <v>0.26453370435133688</v>
      </c>
      <c r="P6" s="32">
        <f>'Water Heater Stock'!P7/'Water Heater Stock'!P$5</f>
        <v>0.27567850910584918</v>
      </c>
      <c r="Q6" s="32">
        <f>'Water Heater Stock'!Q7/'Water Heater Stock'!Q$5</f>
        <v>0.28594255178956551</v>
      </c>
      <c r="R6" s="32">
        <f>'Water Heater Stock'!R7/'Water Heater Stock'!R$5</f>
        <v>0.29538908246241952</v>
      </c>
      <c r="S6" s="32">
        <f>'Water Heater Stock'!S7/'Water Heater Stock'!S$5</f>
        <v>0.30407684358597531</v>
      </c>
      <c r="T6" s="32">
        <f>'Water Heater Stock'!T7/'Water Heater Stock'!T$5</f>
        <v>0.31206039192339063</v>
      </c>
      <c r="U6" s="32">
        <f>'Water Heater Stock'!U7/'Water Heater Stock'!U$5</f>
        <v>0.31939039744311887</v>
      </c>
      <c r="V6" s="32">
        <f>'Water Heater Stock'!V7/'Water Heater Stock'!V$5</f>
        <v>0.3261139208690092</v>
      </c>
      <c r="W6" s="32">
        <f>'Water Heater Stock'!W7/'Water Heater Stock'!W$5</f>
        <v>0.33227467140213379</v>
      </c>
    </row>
    <row r="7" spans="1:23">
      <c r="A7" s="9" t="str">
        <f>+'Device Energy Use'!A7</f>
        <v>Gas Tank</v>
      </c>
      <c r="B7" s="32">
        <f>'Water Heater Stock'!B8/'Water Heater Stock'!B$5</f>
        <v>0</v>
      </c>
      <c r="C7" s="32">
        <f>'Water Heater Stock'!C8/'Water Heater Stock'!C$5</f>
        <v>3.9956678363431461E-6</v>
      </c>
      <c r="D7" s="32">
        <f>'Water Heater Stock'!D8/'Water Heater Stock'!D$5</f>
        <v>7.6732435634506082E-6</v>
      </c>
      <c r="E7" s="32">
        <f>'Water Heater Stock'!E8/'Water Heater Stock'!E$5</f>
        <v>1.1055610323173812E-5</v>
      </c>
      <c r="F7" s="32">
        <f>'Water Heater Stock'!F8/'Water Heater Stock'!F$5</f>
        <v>1.4164019907088302E-5</v>
      </c>
      <c r="G7" s="32">
        <f>'Water Heater Stock'!G8/'Water Heater Stock'!G$5</f>
        <v>1.7018209199681319E-5</v>
      </c>
      <c r="H7" s="32">
        <f>'Water Heater Stock'!H8/'Water Heater Stock'!H$5</f>
        <v>1.963650830340362E-5</v>
      </c>
      <c r="I7" s="32">
        <f>'Water Heater Stock'!I8/'Water Heater Stock'!I$5</f>
        <v>2.2035940939815184E-5</v>
      </c>
      <c r="J7" s="32">
        <f>'Water Heater Stock'!J8/'Water Heater Stock'!J$5</f>
        <v>2.4232317678609463E-5</v>
      </c>
      <c r="K7" s="32">
        <f>'Water Heater Stock'!K8/'Water Heater Stock'!K$5</f>
        <v>2.6240322506887169E-5</v>
      </c>
      <c r="L7" s="32">
        <f>'Water Heater Stock'!L8/'Water Heater Stock'!L$5</f>
        <v>2.807359321445195E-5</v>
      </c>
      <c r="M7" s="32">
        <f>'Water Heater Stock'!M8/'Water Heater Stock'!M$5</f>
        <v>2.9744796036916236E-5</v>
      </c>
      <c r="N7" s="32">
        <f>'Water Heater Stock'!N8/'Water Heater Stock'!N$5</f>
        <v>3.1265694966848263E-5</v>
      </c>
      <c r="O7" s="32">
        <f>'Water Heater Stock'!O8/'Water Heater Stock'!O$5</f>
        <v>3.2647216113888328E-5</v>
      </c>
      <c r="P7" s="32">
        <f>'Water Heater Stock'!P8/'Water Heater Stock'!P$5</f>
        <v>3.3899507467552262E-5</v>
      </c>
      <c r="Q7" s="32">
        <f>'Water Heater Stock'!Q8/'Water Heater Stock'!Q$5</f>
        <v>3.5031994391173465E-5</v>
      </c>
      <c r="R7" s="32">
        <f>'Water Heater Stock'!R8/'Water Heater Stock'!R$5</f>
        <v>3.6053431151972992E-5</v>
      </c>
      <c r="S7" s="32">
        <f>'Water Heater Stock'!S8/'Water Heater Stock'!S$5</f>
        <v>3.697194877046088E-5</v>
      </c>
      <c r="T7" s="32">
        <f>'Water Heater Stock'!T8/'Water Heater Stock'!T$5</f>
        <v>3.7795099452142058E-5</v>
      </c>
      <c r="U7" s="32">
        <f>'Water Heater Stock'!U8/'Water Heater Stock'!U$5</f>
        <v>3.8529897845714697E-5</v>
      </c>
      <c r="V7" s="32">
        <f>'Water Heater Stock'!V8/'Water Heater Stock'!V$5</f>
        <v>3.9182859354505862E-5</v>
      </c>
      <c r="W7" s="32">
        <f>'Water Heater Stock'!W8/'Water Heater Stock'!W$5</f>
        <v>3.9760035711691253E-5</v>
      </c>
    </row>
    <row r="8" spans="1:23">
      <c r="A8" s="9" t="str">
        <f>+'Device Energy Use'!A8</f>
        <v>Instant Gas</v>
      </c>
      <c r="B8" s="32">
        <f>'Water Heater Stock'!B9/'Water Heater Stock'!B$5</f>
        <v>0</v>
      </c>
      <c r="C8" s="32">
        <f>'Water Heater Stock'!C9/'Water Heater Stock'!C$5</f>
        <v>1.1371262134869057E-2</v>
      </c>
      <c r="D8" s="32">
        <f>'Water Heater Stock'!D9/'Water Heater Stock'!D$5</f>
        <v>2.1989816055951083E-2</v>
      </c>
      <c r="E8" s="32">
        <f>'Water Heater Stock'!E9/'Water Heater Stock'!E$5</f>
        <v>3.190980987448281E-2</v>
      </c>
      <c r="F8" s="32">
        <f>'Water Heater Stock'!F9/'Water Heater Stock'!F$5</f>
        <v>4.1181521688893476E-2</v>
      </c>
      <c r="G8" s="32">
        <f>'Water Heater Stock'!G9/'Water Heater Stock'!G$5</f>
        <v>4.9851635887266647E-2</v>
      </c>
      <c r="H8" s="32">
        <f>'Water Heater Stock'!H9/'Water Heater Stock'!H$5</f>
        <v>5.7963499712384355E-2</v>
      </c>
      <c r="I8" s="32">
        <f>'Water Heater Stock'!I9/'Water Heater Stock'!I$5</f>
        <v>6.5557361499213054E-2</v>
      </c>
      <c r="J8" s="32">
        <f>'Water Heater Stock'!J9/'Water Heater Stock'!J$5</f>
        <v>7.267059189398957E-2</v>
      </c>
      <c r="K8" s="32">
        <f>'Water Heater Stock'!K9/'Water Heater Stock'!K$5</f>
        <v>7.9337889270556239E-2</v>
      </c>
      <c r="L8" s="32">
        <f>'Water Heater Stock'!L9/'Water Heater Stock'!L$5</f>
        <v>8.5591470472765496E-2</v>
      </c>
      <c r="M8" s="32">
        <f>'Water Heater Stock'!M9/'Water Heater Stock'!M$5</f>
        <v>9.1461247931146447E-2</v>
      </c>
      <c r="N8" s="32">
        <f>'Water Heater Stock'!N9/'Water Heater Stock'!N$5</f>
        <v>9.6974994127158279E-2</v>
      </c>
      <c r="O8" s="32">
        <f>'Water Heater Stock'!O9/'Water Heater Stock'!O$5</f>
        <v>0.10215849430883477</v>
      </c>
      <c r="P8" s="32">
        <f>'Water Heater Stock'!P9/'Water Heater Stock'!P$5</f>
        <v>0.10703568829706901</v>
      </c>
      <c r="Q8" s="32">
        <f>'Water Heater Stock'!Q9/'Water Heater Stock'!Q$5</f>
        <v>0.11162880216184508</v>
      </c>
      <c r="R8" s="32">
        <f>'Water Heater Stock'!R9/'Water Heater Stock'!R$5</f>
        <v>0.1159584704920598</v>
      </c>
      <c r="S8" s="32">
        <f>'Water Heater Stock'!S9/'Water Heater Stock'!S$5</f>
        <v>0.12004384993089327</v>
      </c>
      <c r="T8" s="32">
        <f>'Water Heater Stock'!T9/'Water Heater Stock'!T$5</f>
        <v>0.12390272460069146</v>
      </c>
      <c r="U8" s="32">
        <f>'Water Heater Stock'!U9/'Water Heater Stock'!U$5</f>
        <v>0.12755160399675852</v>
      </c>
      <c r="V8" s="32">
        <f>'Water Heater Stock'!V9/'Water Heater Stock'!V$5</f>
        <v>0.13100581388807389</v>
      </c>
      <c r="W8" s="32">
        <f>'Water Heater Stock'!W9/'Water Heater Stock'!W$5</f>
        <v>0.13427958072452148</v>
      </c>
    </row>
    <row r="9" spans="1:23">
      <c r="A9" s="9" t="str">
        <f>+'Device Energy Use'!A9</f>
        <v>Condensing Gas</v>
      </c>
      <c r="B9" s="32">
        <f>'Water Heater Stock'!B10/'Water Heater Stock'!B$5</f>
        <v>0</v>
      </c>
      <c r="C9" s="32">
        <f>'Water Heater Stock'!C10/'Water Heater Stock'!C$5</f>
        <v>2.8885017744140856E-2</v>
      </c>
      <c r="D9" s="32">
        <f>'Water Heater Stock'!D10/'Water Heater Stock'!D$5</f>
        <v>5.5735485529457389E-2</v>
      </c>
      <c r="E9" s="32">
        <f>'Water Heater Stock'!E10/'Water Heater Stock'!E$5</f>
        <v>8.0696144524487257E-2</v>
      </c>
      <c r="F9" s="32">
        <f>'Water Heater Stock'!F10/'Water Heater Stock'!F$5</f>
        <v>0.10390138867885121</v>
      </c>
      <c r="G9" s="32">
        <f>'Water Heater Stock'!G10/'Water Heater Stock'!G$5</f>
        <v>0.12547600395946454</v>
      </c>
      <c r="H9" s="32">
        <f>'Water Heater Stock'!H10/'Water Heater Stock'!H$5</f>
        <v>0.14553585478972533</v>
      </c>
      <c r="I9" s="32">
        <f>'Water Heater Stock'!I10/'Water Heater Stock'!I$5</f>
        <v>0.16418852146282392</v>
      </c>
      <c r="J9" s="32">
        <f>'Water Heater Stock'!J10/'Water Heater Stock'!J$5</f>
        <v>0.18153389203094306</v>
      </c>
      <c r="K9" s="32">
        <f>'Water Heater Stock'!K10/'Water Heater Stock'!K$5</f>
        <v>0.19766471192198729</v>
      </c>
      <c r="L9" s="32">
        <f>'Water Heater Stock'!L10/'Water Heater Stock'!L$5</f>
        <v>0.21266709430321193</v>
      </c>
      <c r="M9" s="32">
        <f>'Water Heater Stock'!M10/'Water Heater Stock'!M$5</f>
        <v>0.22662099399544794</v>
      </c>
      <c r="N9" s="32">
        <f>'Water Heater Stock'!N10/'Water Heater Stock'!N$5</f>
        <v>0.23960064754134788</v>
      </c>
      <c r="O9" s="32">
        <f>'Water Heater Stock'!O10/'Water Heater Stock'!O$5</f>
        <v>0.25167498184511405</v>
      </c>
      <c r="P9" s="32">
        <f>'Water Heater Stock'!P10/'Water Heater Stock'!P$5</f>
        <v>0.26290799362848649</v>
      </c>
      <c r="Q9" s="32">
        <f>'Water Heater Stock'!Q10/'Water Heater Stock'!Q$5</f>
        <v>0.2733591017874234</v>
      </c>
      <c r="R9" s="32">
        <f>'Water Heater Stock'!R10/'Water Heater Stock'!R$5</f>
        <v>0.28308347458501043</v>
      </c>
      <c r="S9" s="32">
        <f>'Water Heater Stock'!S10/'Water Heater Stock'!S$5</f>
        <v>0.29213233347787954</v>
      </c>
      <c r="T9" s="32">
        <f>'Water Heater Stock'!T10/'Water Heater Stock'!T$5</f>
        <v>0.30055323524503191</v>
      </c>
      <c r="U9" s="32">
        <f>'Water Heater Stock'!U10/'Water Heater Stock'!U$5</f>
        <v>0.30839033396875154</v>
      </c>
      <c r="V9" s="32">
        <f>'Water Heater Stock'!V10/'Water Heater Stock'!V$5</f>
        <v>0.31568462430659427</v>
      </c>
      <c r="W9" s="32">
        <f>'Water Heater Stock'!W10/'Water Heater Stock'!W$5</f>
        <v>0.3224741673906511</v>
      </c>
    </row>
    <row r="11" spans="1:23">
      <c r="A11" s="42" t="s">
        <v>108</v>
      </c>
    </row>
    <row r="12" spans="1:23" s="23" customFormat="1">
      <c r="A12" s="40" t="str">
        <f>+'Device Energy Use'!A4</f>
        <v>Water Heat Ending</v>
      </c>
      <c r="B12" s="39">
        <f>'Levelized Costs'!B4</f>
        <v>2014</v>
      </c>
      <c r="C12" s="39">
        <f>'Levelized Costs'!C4</f>
        <v>2015</v>
      </c>
      <c r="D12" s="39">
        <f>'Levelized Costs'!D4</f>
        <v>2016</v>
      </c>
      <c r="E12" s="39">
        <f>'Levelized Costs'!E4</f>
        <v>2017</v>
      </c>
      <c r="F12" s="39">
        <f>'Levelized Costs'!F4</f>
        <v>2018</v>
      </c>
      <c r="G12" s="39">
        <f>'Levelized Costs'!G4</f>
        <v>2019</v>
      </c>
      <c r="H12" s="39">
        <f>'Levelized Costs'!H4</f>
        <v>2020</v>
      </c>
      <c r="I12" s="39">
        <f>'Levelized Costs'!I4</f>
        <v>2021</v>
      </c>
      <c r="J12" s="39">
        <f>'Levelized Costs'!J4</f>
        <v>2022</v>
      </c>
      <c r="K12" s="39">
        <f>'Levelized Costs'!K4</f>
        <v>2023</v>
      </c>
      <c r="L12" s="39">
        <f>'Levelized Costs'!L4</f>
        <v>2024</v>
      </c>
      <c r="M12" s="39">
        <f>'Levelized Costs'!M4</f>
        <v>2025</v>
      </c>
      <c r="N12" s="39">
        <f>'Levelized Costs'!N4</f>
        <v>2026</v>
      </c>
      <c r="O12" s="39">
        <f>'Levelized Costs'!O4</f>
        <v>2027</v>
      </c>
      <c r="P12" s="39">
        <f>'Levelized Costs'!P4</f>
        <v>2028</v>
      </c>
      <c r="Q12" s="39">
        <f>'Levelized Costs'!Q4</f>
        <v>2029</v>
      </c>
      <c r="R12" s="39">
        <f>'Levelized Costs'!R4</f>
        <v>2030</v>
      </c>
      <c r="S12" s="39">
        <f>'Levelized Costs'!S4</f>
        <v>2031</v>
      </c>
      <c r="T12" s="39">
        <f>'Levelized Costs'!T4</f>
        <v>2032</v>
      </c>
      <c r="U12" s="39">
        <f>'Levelized Costs'!U4</f>
        <v>2033</v>
      </c>
      <c r="V12" s="39">
        <f>'Levelized Costs'!V4</f>
        <v>2034</v>
      </c>
      <c r="W12" s="39">
        <f>'Levelized Costs'!W4</f>
        <v>2035</v>
      </c>
    </row>
    <row r="13" spans="1:23">
      <c r="A13" s="9" t="str">
        <f>+'Device Energy Use'!A5</f>
        <v>Electric Resistance</v>
      </c>
      <c r="B13" s="32">
        <f>'Water Heater Stock'!B15/'Water Heater Stock'!B$14</f>
        <v>1</v>
      </c>
      <c r="C13" s="32">
        <f>'Water Heater Stock'!C15/'Water Heater Stock'!C$14</f>
        <v>0.9285714285714286</v>
      </c>
      <c r="D13" s="32">
        <f>'Water Heater Stock'!D15/'Water Heater Stock'!D$14</f>
        <v>0.86224489795918369</v>
      </c>
      <c r="E13" s="32">
        <f>'Water Heater Stock'!E15/'Water Heater Stock'!E$14</f>
        <v>0.80065597667638488</v>
      </c>
      <c r="F13" s="32">
        <f>'Water Heater Stock'!F15/'Water Heater Stock'!F$14</f>
        <v>0.74346626405664318</v>
      </c>
      <c r="G13" s="32">
        <f>'Water Heater Stock'!G15/'Water Heater Stock'!G$14</f>
        <v>0.69036153090974006</v>
      </c>
      <c r="H13" s="32">
        <f>'Water Heater Stock'!H15/'Water Heater Stock'!H$14</f>
        <v>0.64104999298761567</v>
      </c>
      <c r="I13" s="32">
        <f>'Water Heater Stock'!I15/'Water Heater Stock'!I$14</f>
        <v>0.59526070777421458</v>
      </c>
      <c r="J13" s="32">
        <f>'Water Heater Stock'!J15/'Water Heater Stock'!J$14</f>
        <v>0.55274208579034212</v>
      </c>
      <c r="K13" s="32">
        <f>'Water Heater Stock'!K15/'Water Heater Stock'!K$14</f>
        <v>0.51326050823388913</v>
      </c>
      <c r="L13" s="32">
        <f>'Water Heater Stock'!L15/'Water Heater Stock'!L$14</f>
        <v>0.47659904336003989</v>
      </c>
      <c r="M13" s="32">
        <f>'Water Heater Stock'!M15/'Water Heater Stock'!M$14</f>
        <v>0.44255625454860842</v>
      </c>
      <c r="N13" s="32">
        <f>'Water Heater Stock'!N15/'Water Heater Stock'!N$14</f>
        <v>0.4109450935094221</v>
      </c>
      <c r="O13" s="32">
        <f>'Water Heater Stock'!O15/'Water Heater Stock'!O$14</f>
        <v>0.38159187254446342</v>
      </c>
      <c r="P13" s="32">
        <f>'Water Heater Stock'!P15/'Water Heater Stock'!P$14</f>
        <v>0.35433531021985892</v>
      </c>
      <c r="Q13" s="32">
        <f>'Water Heater Stock'!Q15/'Water Heater Stock'!Q$14</f>
        <v>0.32902564520415467</v>
      </c>
      <c r="R13" s="32">
        <f>'Water Heater Stock'!R15/'Water Heater Stock'!R$14</f>
        <v>0.30552381340385792</v>
      </c>
      <c r="S13" s="32">
        <f>'Water Heater Stock'!S15/'Water Heater Stock'!S$14</f>
        <v>0.28370068387501091</v>
      </c>
      <c r="T13" s="32">
        <f>'Water Heater Stock'!T15/'Water Heater Stock'!T$14</f>
        <v>0.26343634931251014</v>
      </c>
      <c r="U13" s="32">
        <f>'Water Heater Stock'!U15/'Water Heater Stock'!U$14</f>
        <v>0.24461946721875938</v>
      </c>
      <c r="V13" s="32">
        <f>'Water Heater Stock'!V15/'Water Heater Stock'!V$14</f>
        <v>0.22714664813170515</v>
      </c>
      <c r="W13" s="32">
        <f>'Water Heater Stock'!W15/'Water Heater Stock'!W$14</f>
        <v>0.21092188755086905</v>
      </c>
    </row>
    <row r="14" spans="1:23">
      <c r="A14" s="9" t="str">
        <f>+'Device Energy Use'!A6</f>
        <v>HPWH</v>
      </c>
      <c r="B14" s="32">
        <f>'Water Heater Stock'!B16/'Water Heater Stock'!B$14</f>
        <v>0</v>
      </c>
      <c r="C14" s="32">
        <f>'Water Heater Stock'!C16/'Water Heater Stock'!C$14</f>
        <v>7.1428571428571425E-2</v>
      </c>
      <c r="D14" s="32">
        <f>'Water Heater Stock'!D16/'Water Heater Stock'!D$14</f>
        <v>0.13775510204081631</v>
      </c>
      <c r="E14" s="32">
        <f>'Water Heater Stock'!E16/'Water Heater Stock'!E$14</f>
        <v>0.19934402332361514</v>
      </c>
      <c r="F14" s="32">
        <f>'Water Heater Stock'!F16/'Water Heater Stock'!F$14</f>
        <v>0.25653373594335693</v>
      </c>
      <c r="G14" s="32">
        <f>'Water Heater Stock'!G16/'Water Heater Stock'!G$14</f>
        <v>0.30963846909025994</v>
      </c>
      <c r="H14" s="32">
        <f>'Water Heater Stock'!H16/'Water Heater Stock'!H$14</f>
        <v>0.35895000701238428</v>
      </c>
      <c r="I14" s="32">
        <f>'Water Heater Stock'!I16/'Water Heater Stock'!I$14</f>
        <v>0.40473929222578542</v>
      </c>
      <c r="J14" s="32">
        <f>'Water Heater Stock'!J16/'Water Heater Stock'!J$14</f>
        <v>0.44725791420965788</v>
      </c>
      <c r="K14" s="32">
        <f>'Water Heater Stock'!K16/'Water Heater Stock'!K$14</f>
        <v>0.48673949176611092</v>
      </c>
      <c r="L14" s="32">
        <f>'Water Heater Stock'!L16/'Water Heater Stock'!L$14</f>
        <v>0.52340095663996011</v>
      </c>
      <c r="M14" s="32">
        <f>'Water Heater Stock'!M16/'Water Heater Stock'!M$14</f>
        <v>0.55744374545139153</v>
      </c>
      <c r="N14" s="32">
        <f>'Water Heater Stock'!N16/'Water Heater Stock'!N$14</f>
        <v>0.58905490649057779</v>
      </c>
      <c r="O14" s="32">
        <f>'Water Heater Stock'!O16/'Water Heater Stock'!O$14</f>
        <v>0.61840812745553664</v>
      </c>
      <c r="P14" s="32">
        <f>'Water Heater Stock'!P16/'Water Heater Stock'!P$14</f>
        <v>0.64566468978014113</v>
      </c>
      <c r="Q14" s="32">
        <f>'Water Heater Stock'!Q16/'Water Heater Stock'!Q$14</f>
        <v>0.67097435479584533</v>
      </c>
      <c r="R14" s="32">
        <f>'Water Heater Stock'!R16/'Water Heater Stock'!R$14</f>
        <v>0.69447618659614219</v>
      </c>
      <c r="S14" s="32">
        <f>'Water Heater Stock'!S16/'Water Heater Stock'!S$14</f>
        <v>0.71629931612498909</v>
      </c>
      <c r="T14" s="32">
        <f>'Water Heater Stock'!T16/'Water Heater Stock'!T$14</f>
        <v>0.73656365068748986</v>
      </c>
      <c r="U14" s="32">
        <f>'Water Heater Stock'!U16/'Water Heater Stock'!U$14</f>
        <v>0.75538053278124062</v>
      </c>
      <c r="V14" s="32">
        <f>'Water Heater Stock'!V16/'Water Heater Stock'!V$14</f>
        <v>0.77285335186829485</v>
      </c>
      <c r="W14" s="32">
        <f>'Water Heater Stock'!W16/'Water Heater Stock'!W$14</f>
        <v>0.78907811244913095</v>
      </c>
    </row>
    <row r="15" spans="1:23">
      <c r="A15" s="9" t="str">
        <f>+'Device Energy Use'!A7</f>
        <v>Gas Tank</v>
      </c>
      <c r="B15" s="32">
        <f>'Water Heater Stock'!B17/'Water Heater Stock'!B$14</f>
        <v>0</v>
      </c>
      <c r="C15" s="32">
        <f>'Water Heater Stock'!C17/'Water Heater Stock'!C$14</f>
        <v>0</v>
      </c>
      <c r="D15" s="32">
        <f>'Water Heater Stock'!D17/'Water Heater Stock'!D$14</f>
        <v>0</v>
      </c>
      <c r="E15" s="32">
        <f>'Water Heater Stock'!E17/'Water Heater Stock'!E$14</f>
        <v>0</v>
      </c>
      <c r="F15" s="32">
        <f>'Water Heater Stock'!F17/'Water Heater Stock'!F$14</f>
        <v>0</v>
      </c>
      <c r="G15" s="32">
        <f>'Water Heater Stock'!G17/'Water Heater Stock'!G$14</f>
        <v>0</v>
      </c>
      <c r="H15" s="32">
        <f>'Water Heater Stock'!H17/'Water Heater Stock'!H$14</f>
        <v>0</v>
      </c>
      <c r="I15" s="32">
        <f>'Water Heater Stock'!I17/'Water Heater Stock'!I$14</f>
        <v>0</v>
      </c>
      <c r="J15" s="32">
        <f>'Water Heater Stock'!J17/'Water Heater Stock'!J$14</f>
        <v>0</v>
      </c>
      <c r="K15" s="32">
        <f>'Water Heater Stock'!K17/'Water Heater Stock'!K$14</f>
        <v>0</v>
      </c>
      <c r="L15" s="32">
        <f>'Water Heater Stock'!L17/'Water Heater Stock'!L$14</f>
        <v>0</v>
      </c>
      <c r="M15" s="32">
        <f>'Water Heater Stock'!M17/'Water Heater Stock'!M$14</f>
        <v>0</v>
      </c>
      <c r="N15" s="32">
        <f>'Water Heater Stock'!N17/'Water Heater Stock'!N$14</f>
        <v>0</v>
      </c>
      <c r="O15" s="32">
        <f>'Water Heater Stock'!O17/'Water Heater Stock'!O$14</f>
        <v>0</v>
      </c>
      <c r="P15" s="32">
        <f>'Water Heater Stock'!P17/'Water Heater Stock'!P$14</f>
        <v>0</v>
      </c>
      <c r="Q15" s="32">
        <f>'Water Heater Stock'!Q17/'Water Heater Stock'!Q$14</f>
        <v>0</v>
      </c>
      <c r="R15" s="32">
        <f>'Water Heater Stock'!R17/'Water Heater Stock'!R$14</f>
        <v>0</v>
      </c>
      <c r="S15" s="32">
        <f>'Water Heater Stock'!S17/'Water Heater Stock'!S$14</f>
        <v>0</v>
      </c>
      <c r="T15" s="32">
        <f>'Water Heater Stock'!T17/'Water Heater Stock'!T$14</f>
        <v>0</v>
      </c>
      <c r="U15" s="32">
        <f>'Water Heater Stock'!U17/'Water Heater Stock'!U$14</f>
        <v>0</v>
      </c>
      <c r="V15" s="32">
        <f>'Water Heater Stock'!V17/'Water Heater Stock'!V$14</f>
        <v>0</v>
      </c>
      <c r="W15" s="32">
        <f>'Water Heater Stock'!W17/'Water Heater Stock'!W$14</f>
        <v>0</v>
      </c>
    </row>
    <row r="16" spans="1:23">
      <c r="A16" s="9" t="str">
        <f>+'Device Energy Use'!A8</f>
        <v>Instant Gas</v>
      </c>
      <c r="B16" s="32">
        <f>'Water Heater Stock'!B18/'Water Heater Stock'!B$14</f>
        <v>0</v>
      </c>
      <c r="C16" s="32">
        <f>'Water Heater Stock'!C18/'Water Heater Stock'!C$14</f>
        <v>0</v>
      </c>
      <c r="D16" s="32">
        <f>'Water Heater Stock'!D18/'Water Heater Stock'!D$14</f>
        <v>0</v>
      </c>
      <c r="E16" s="32">
        <f>'Water Heater Stock'!E18/'Water Heater Stock'!E$14</f>
        <v>0</v>
      </c>
      <c r="F16" s="32">
        <f>'Water Heater Stock'!F18/'Water Heater Stock'!F$14</f>
        <v>0</v>
      </c>
      <c r="G16" s="32">
        <f>'Water Heater Stock'!G18/'Water Heater Stock'!G$14</f>
        <v>0</v>
      </c>
      <c r="H16" s="32">
        <f>'Water Heater Stock'!H18/'Water Heater Stock'!H$14</f>
        <v>0</v>
      </c>
      <c r="I16" s="32">
        <f>'Water Heater Stock'!I18/'Water Heater Stock'!I$14</f>
        <v>0</v>
      </c>
      <c r="J16" s="32">
        <f>'Water Heater Stock'!J18/'Water Heater Stock'!J$14</f>
        <v>0</v>
      </c>
      <c r="K16" s="32">
        <f>'Water Heater Stock'!K18/'Water Heater Stock'!K$14</f>
        <v>0</v>
      </c>
      <c r="L16" s="32">
        <f>'Water Heater Stock'!L18/'Water Heater Stock'!L$14</f>
        <v>0</v>
      </c>
      <c r="M16" s="32">
        <f>'Water Heater Stock'!M18/'Water Heater Stock'!M$14</f>
        <v>0</v>
      </c>
      <c r="N16" s="32">
        <f>'Water Heater Stock'!N18/'Water Heater Stock'!N$14</f>
        <v>0</v>
      </c>
      <c r="O16" s="32">
        <f>'Water Heater Stock'!O18/'Water Heater Stock'!O$14</f>
        <v>0</v>
      </c>
      <c r="P16" s="32">
        <f>'Water Heater Stock'!P18/'Water Heater Stock'!P$14</f>
        <v>0</v>
      </c>
      <c r="Q16" s="32">
        <f>'Water Heater Stock'!Q18/'Water Heater Stock'!Q$14</f>
        <v>0</v>
      </c>
      <c r="R16" s="32">
        <f>'Water Heater Stock'!R18/'Water Heater Stock'!R$14</f>
        <v>0</v>
      </c>
      <c r="S16" s="32">
        <f>'Water Heater Stock'!S18/'Water Heater Stock'!S$14</f>
        <v>0</v>
      </c>
      <c r="T16" s="32">
        <f>'Water Heater Stock'!T18/'Water Heater Stock'!T$14</f>
        <v>0</v>
      </c>
      <c r="U16" s="32">
        <f>'Water Heater Stock'!U18/'Water Heater Stock'!U$14</f>
        <v>0</v>
      </c>
      <c r="V16" s="32">
        <f>'Water Heater Stock'!V18/'Water Heater Stock'!V$14</f>
        <v>0</v>
      </c>
      <c r="W16" s="32">
        <f>'Water Heater Stock'!W18/'Water Heater Stock'!W$14</f>
        <v>0</v>
      </c>
    </row>
    <row r="17" spans="1:23">
      <c r="A17" s="9" t="str">
        <f>+'Device Energy Use'!A9</f>
        <v>Condensing Gas</v>
      </c>
      <c r="B17" s="32">
        <f>'Water Heater Stock'!B19/'Water Heater Stock'!B$14</f>
        <v>0</v>
      </c>
      <c r="C17" s="32">
        <f>'Water Heater Stock'!C19/'Water Heater Stock'!C$14</f>
        <v>0</v>
      </c>
      <c r="D17" s="32">
        <f>'Water Heater Stock'!D19/'Water Heater Stock'!D$14</f>
        <v>0</v>
      </c>
      <c r="E17" s="32">
        <f>'Water Heater Stock'!E19/'Water Heater Stock'!E$14</f>
        <v>0</v>
      </c>
      <c r="F17" s="32">
        <f>'Water Heater Stock'!F19/'Water Heater Stock'!F$14</f>
        <v>0</v>
      </c>
      <c r="G17" s="32">
        <f>'Water Heater Stock'!G19/'Water Heater Stock'!G$14</f>
        <v>0</v>
      </c>
      <c r="H17" s="32">
        <f>'Water Heater Stock'!H19/'Water Heater Stock'!H$14</f>
        <v>0</v>
      </c>
      <c r="I17" s="32">
        <f>'Water Heater Stock'!I19/'Water Heater Stock'!I$14</f>
        <v>0</v>
      </c>
      <c r="J17" s="32">
        <f>'Water Heater Stock'!J19/'Water Heater Stock'!J$14</f>
        <v>0</v>
      </c>
      <c r="K17" s="32">
        <f>'Water Heater Stock'!K19/'Water Heater Stock'!K$14</f>
        <v>0</v>
      </c>
      <c r="L17" s="32">
        <f>'Water Heater Stock'!L19/'Water Heater Stock'!L$14</f>
        <v>0</v>
      </c>
      <c r="M17" s="32">
        <f>'Water Heater Stock'!M19/'Water Heater Stock'!M$14</f>
        <v>0</v>
      </c>
      <c r="N17" s="32">
        <f>'Water Heater Stock'!N19/'Water Heater Stock'!N$14</f>
        <v>0</v>
      </c>
      <c r="O17" s="32">
        <f>'Water Heater Stock'!O19/'Water Heater Stock'!O$14</f>
        <v>0</v>
      </c>
      <c r="P17" s="32">
        <f>'Water Heater Stock'!P19/'Water Heater Stock'!P$14</f>
        <v>0</v>
      </c>
      <c r="Q17" s="32">
        <f>'Water Heater Stock'!Q19/'Water Heater Stock'!Q$14</f>
        <v>0</v>
      </c>
      <c r="R17" s="32">
        <f>'Water Heater Stock'!R19/'Water Heater Stock'!R$14</f>
        <v>0</v>
      </c>
      <c r="S17" s="32">
        <f>'Water Heater Stock'!S19/'Water Heater Stock'!S$14</f>
        <v>0</v>
      </c>
      <c r="T17" s="32">
        <f>'Water Heater Stock'!T19/'Water Heater Stock'!T$14</f>
        <v>0</v>
      </c>
      <c r="U17" s="32">
        <f>'Water Heater Stock'!U19/'Water Heater Stock'!U$14</f>
        <v>0</v>
      </c>
      <c r="V17" s="32">
        <f>'Water Heater Stock'!V19/'Water Heater Stock'!V$14</f>
        <v>0</v>
      </c>
      <c r="W17" s="32">
        <f>'Water Heater Stock'!W19/'Water Heater Stock'!W$14</f>
        <v>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W17"/>
  <sheetViews>
    <sheetView workbookViewId="0">
      <selection activeCell="E15" sqref="E15"/>
    </sheetView>
  </sheetViews>
  <sheetFormatPr defaultColWidth="9.140625" defaultRowHeight="15.75"/>
  <cols>
    <col min="1" max="1" width="20.7109375" style="9" customWidth="1"/>
    <col min="2" max="7" width="9.7109375" style="9" customWidth="1"/>
    <col min="8" max="29" width="8.42578125" style="9" customWidth="1"/>
    <col min="30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Montana, Single Family, Gas FAF, &gt;55 Gallons, Electric Resistance is starting water heater</v>
      </c>
    </row>
    <row r="3" spans="1:23" ht="18" customHeight="1">
      <c r="A3" s="42" t="s">
        <v>88</v>
      </c>
    </row>
    <row r="4" spans="1:23" s="23" customFormat="1">
      <c r="A4" s="40" t="str">
        <f>+'Device Energy Use'!A4</f>
        <v>Water Heat Ending</v>
      </c>
      <c r="B4" s="39">
        <f>'Marginal Allocation Weight'!B4</f>
        <v>2014</v>
      </c>
      <c r="C4" s="39">
        <f>'Marginal Allocation Weight'!C4</f>
        <v>2015</v>
      </c>
      <c r="D4" s="39">
        <f>'Marginal Allocation Weight'!D4</f>
        <v>2016</v>
      </c>
      <c r="E4" s="39">
        <f>'Marginal Allocation Weight'!E4</f>
        <v>2017</v>
      </c>
      <c r="F4" s="39">
        <f>'Marginal Allocation Weight'!F4</f>
        <v>2018</v>
      </c>
      <c r="G4" s="39">
        <f>'Marginal Allocation Weight'!G4</f>
        <v>2019</v>
      </c>
      <c r="H4" s="39">
        <f>'Marginal Allocation Weight'!H4</f>
        <v>2020</v>
      </c>
      <c r="I4" s="39">
        <f>'Marginal Allocation Weight'!I4</f>
        <v>2021</v>
      </c>
      <c r="J4" s="39">
        <f>'Marginal Allocation Weight'!J4</f>
        <v>2022</v>
      </c>
      <c r="K4" s="39">
        <f>'Marginal Allocation Weight'!K4</f>
        <v>2023</v>
      </c>
      <c r="L4" s="39">
        <f>'Marginal Allocation Weight'!L4</f>
        <v>2024</v>
      </c>
      <c r="M4" s="39">
        <f>'Marginal Allocation Weight'!M4</f>
        <v>2025</v>
      </c>
      <c r="N4" s="39">
        <f>'Marginal Allocation Weight'!N4</f>
        <v>2026</v>
      </c>
      <c r="O4" s="39">
        <f>'Marginal Allocation Weight'!O4</f>
        <v>2027</v>
      </c>
      <c r="P4" s="39">
        <f>'Marginal Allocation Weight'!P4</f>
        <v>2028</v>
      </c>
      <c r="Q4" s="39">
        <f>'Marginal Allocation Weight'!Q4</f>
        <v>2029</v>
      </c>
      <c r="R4" s="39">
        <f>'Marginal Allocation Weight'!R4</f>
        <v>2030</v>
      </c>
      <c r="S4" s="39">
        <f>'Marginal Allocation Weight'!S4</f>
        <v>2031</v>
      </c>
      <c r="T4" s="39">
        <f>'Marginal Allocation Weight'!T4</f>
        <v>2032</v>
      </c>
      <c r="U4" s="39">
        <f>'Marginal Allocation Weight'!U4</f>
        <v>2033</v>
      </c>
      <c r="V4" s="39">
        <f>'Marginal Allocation Weight'!V4</f>
        <v>2034</v>
      </c>
      <c r="W4" s="39">
        <f>'Marginal Allocation Weight'!W4</f>
        <v>2035</v>
      </c>
    </row>
    <row r="5" spans="1:23">
      <c r="A5" s="9" t="str">
        <f>+'Device Energy Use'!A5</f>
        <v>Electric Resistance</v>
      </c>
      <c r="B5" s="32">
        <f>'Marginal Allocation Weight'!B5/'Total Allocation Weight'!B5</f>
        <v>0.99986047835963832</v>
      </c>
      <c r="C5" s="32">
        <f>'Marginal Allocation Weight'!C5/'Total Allocation Weight'!C5</f>
        <v>1.459079270615422E-5</v>
      </c>
      <c r="D5" s="32">
        <f>'Marginal Allocation Weight'!D5/'Total Allocation Weight'!D5</f>
        <v>1.4413660397685072E-5</v>
      </c>
      <c r="E5" s="32">
        <f>'Marginal Allocation Weight'!E5/'Total Allocation Weight'!E5</f>
        <v>1.4239288678475561E-5</v>
      </c>
      <c r="F5" s="32">
        <f>'Marginal Allocation Weight'!F5/'Total Allocation Weight'!F5</f>
        <v>1.4067639742542654E-5</v>
      </c>
      <c r="G5" s="32">
        <f>'Marginal Allocation Weight'!G5/'Total Allocation Weight'!G5</f>
        <v>1.3898676124455078E-5</v>
      </c>
      <c r="H5" s="32">
        <f>'Marginal Allocation Weight'!H5/'Total Allocation Weight'!H5</f>
        <v>1.3732360703079362E-5</v>
      </c>
      <c r="I5" s="32">
        <f>'Marginal Allocation Weight'!I5/'Total Allocation Weight'!I5</f>
        <v>1.3568656705038918E-5</v>
      </c>
      <c r="J5" s="32">
        <f>'Marginal Allocation Weight'!J5/'Total Allocation Weight'!J5</f>
        <v>1.3407527707893343E-5</v>
      </c>
      <c r="K5" s="32">
        <f>'Marginal Allocation Weight'!K5/'Total Allocation Weight'!K5</f>
        <v>1.3248937643045202E-5</v>
      </c>
      <c r="L5" s="32">
        <f>'Marginal Allocation Weight'!L5/'Total Allocation Weight'!L5</f>
        <v>1.3092850798381512E-5</v>
      </c>
      <c r="M5" s="32">
        <f>'Marginal Allocation Weight'!M5/'Total Allocation Weight'!M5</f>
        <v>1.2939231820657101E-5</v>
      </c>
      <c r="N5" s="32">
        <f>'Marginal Allocation Weight'!N5/'Total Allocation Weight'!N5</f>
        <v>1.278804571762696E-5</v>
      </c>
      <c r="O5" s="32">
        <f>'Marginal Allocation Weight'!O5/'Total Allocation Weight'!O5</f>
        <v>1.263925785993473E-5</v>
      </c>
      <c r="P5" s="32">
        <f>'Marginal Allocation Weight'!P5/'Total Allocation Weight'!P5</f>
        <v>1.2492833982764307E-5</v>
      </c>
      <c r="Q5" s="32">
        <f>'Marginal Allocation Weight'!Q5/'Total Allocation Weight'!Q5</f>
        <v>1.2348740187261616E-5</v>
      </c>
      <c r="R5" s="32">
        <f>'Marginal Allocation Weight'!R5/'Total Allocation Weight'!R5</f>
        <v>1.2206942941733435E-5</v>
      </c>
      <c r="S5" s="32">
        <f>'Marginal Allocation Weight'!S5/'Total Allocation Weight'!S5</f>
        <v>1.2067409082630107E-5</v>
      </c>
      <c r="T5" s="32">
        <f>'Marginal Allocation Weight'!T5/'Total Allocation Weight'!T5</f>
        <v>1.1930105815318943E-5</v>
      </c>
      <c r="U5" s="32">
        <f>'Marginal Allocation Weight'!U5/'Total Allocation Weight'!U5</f>
        <v>1.1795000714655048E-5</v>
      </c>
      <c r="V5" s="32">
        <f>'Marginal Allocation Weight'!V5/'Total Allocation Weight'!V5</f>
        <v>1.1662061725356069E-5</v>
      </c>
      <c r="W5" s="32">
        <f>'Marginal Allocation Weight'!W5/'Total Allocation Weight'!W5</f>
        <v>1.1531257162187541E-5</v>
      </c>
    </row>
    <row r="6" spans="1:23">
      <c r="A6" s="9" t="str">
        <f>+'Device Energy Use'!A6</f>
        <v>HPWH</v>
      </c>
      <c r="B6" s="32">
        <f>'Marginal Allocation Weight'!B6/'Total Allocation Weight'!B6</f>
        <v>6.1052534682885706E-5</v>
      </c>
      <c r="C6" s="32">
        <f>'Marginal Allocation Weight'!C6/'Total Allocation Weight'!C6</f>
        <v>0.43634155155144633</v>
      </c>
      <c r="D6" s="32">
        <f>'Marginal Allocation Weight'!D6/'Total Allocation Weight'!D6</f>
        <v>0.4351075208429967</v>
      </c>
      <c r="E6" s="32">
        <f>'Marginal Allocation Weight'!E6/'Total Allocation Weight'!E6</f>
        <v>0.43387629335785122</v>
      </c>
      <c r="F6" s="32">
        <f>'Marginal Allocation Weight'!F6/'Total Allocation Weight'!F6</f>
        <v>0.43264802105394479</v>
      </c>
      <c r="G6" s="32">
        <f>'Marginal Allocation Weight'!G6/'Total Allocation Weight'!G6</f>
        <v>0.43142285558031651</v>
      </c>
      <c r="H6" s="32">
        <f>'Marginal Allocation Weight'!H6/'Total Allocation Weight'!H6</f>
        <v>0.43020094822061461</v>
      </c>
      <c r="I6" s="32">
        <f>'Marginal Allocation Weight'!I6/'Total Allocation Weight'!I6</f>
        <v>0.42898244983699035</v>
      </c>
      <c r="J6" s="32">
        <f>'Marginal Allocation Weight'!J6/'Total Allocation Weight'!J6</f>
        <v>0.42776751081443287</v>
      </c>
      <c r="K6" s="32">
        <f>'Marginal Allocation Weight'!K6/'Total Allocation Weight'!K6</f>
        <v>0.42655628100559684</v>
      </c>
      <c r="L6" s="32">
        <f>'Marginal Allocation Weight'!L6/'Total Allocation Weight'!L6</f>
        <v>0.42534890967617062</v>
      </c>
      <c r="M6" s="32">
        <f>'Marginal Allocation Weight'!M6/'Total Allocation Weight'!M6</f>
        <v>0.42414554545083627</v>
      </c>
      <c r="N6" s="32">
        <f>'Marginal Allocation Weight'!N6/'Total Allocation Weight'!N6</f>
        <v>0.42294633625986688</v>
      </c>
      <c r="O6" s="32">
        <f>'Marginal Allocation Weight'!O6/'Total Allocation Weight'!O6</f>
        <v>0.42175142928641168</v>
      </c>
      <c r="P6" s="32">
        <f>'Marginal Allocation Weight'!P6/'Total Allocation Weight'!P6</f>
        <v>0.42056097091450917</v>
      </c>
      <c r="Q6" s="32">
        <f>'Marginal Allocation Weight'!Q6/'Total Allocation Weight'!Q6</f>
        <v>0.4193751066778777</v>
      </c>
      <c r="R6" s="32">
        <f>'Marginal Allocation Weight'!R6/'Total Allocation Weight'!R6</f>
        <v>0.41819398120952217</v>
      </c>
      <c r="S6" s="32">
        <f>'Marginal Allocation Weight'!S6/'Total Allocation Weight'!S6</f>
        <v>0.41701773819220067</v>
      </c>
      <c r="T6" s="32">
        <f>'Marginal Allocation Weight'!T6/'Total Allocation Weight'!T6</f>
        <v>0.41584652030978969</v>
      </c>
      <c r="U6" s="32">
        <f>'Marginal Allocation Weight'!U6/'Total Allocation Weight'!U6</f>
        <v>0.41468046919958601</v>
      </c>
      <c r="V6" s="32">
        <f>'Marginal Allocation Weight'!V6/'Total Allocation Weight'!V6</f>
        <v>0.41351972540558318</v>
      </c>
      <c r="W6" s="32">
        <f>'Marginal Allocation Weight'!W6/'Total Allocation Weight'!W6</f>
        <v>0.41236442833275339</v>
      </c>
    </row>
    <row r="7" spans="1:23">
      <c r="A7" s="9" t="str">
        <f>+'Device Energy Use'!A7</f>
        <v>Gas Tank</v>
      </c>
      <c r="B7" s="32">
        <f>'Marginal Allocation Weight'!B7/'Total Allocation Weight'!B7</f>
        <v>7.869024838194339E-9</v>
      </c>
      <c r="C7" s="32">
        <f>'Marginal Allocation Weight'!C7/'Total Allocation Weight'!C7</f>
        <v>5.5939349708804037E-5</v>
      </c>
      <c r="D7" s="32">
        <f>'Marginal Allocation Weight'!D7/'Total Allocation Weight'!D7</f>
        <v>5.5481728015847605E-5</v>
      </c>
      <c r="E7" s="32">
        <f>'Marginal Allocation Weight'!E7/'Total Allocation Weight'!E7</f>
        <v>5.5026378199575483E-5</v>
      </c>
      <c r="F7" s="32">
        <f>'Marginal Allocation Weight'!F7/'Total Allocation Weight'!F7</f>
        <v>5.4573344497976628E-5</v>
      </c>
      <c r="G7" s="32">
        <f>'Marginal Allocation Weight'!G7/'Total Allocation Weight'!G7</f>
        <v>5.4122670003390552E-5</v>
      </c>
      <c r="H7" s="32">
        <f>'Marginal Allocation Weight'!H7/'Total Allocation Weight'!H7</f>
        <v>5.3674396651793538E-5</v>
      </c>
      <c r="I7" s="32">
        <f>'Marginal Allocation Weight'!I7/'Total Allocation Weight'!I7</f>
        <v>5.3228565213165475E-5</v>
      </c>
      <c r="J7" s="32">
        <f>'Marginal Allocation Weight'!J7/'Total Allocation Weight'!J7</f>
        <v>5.2785215282935112E-5</v>
      </c>
      <c r="K7" s="32">
        <f>'Marginal Allocation Weight'!K7/'Total Allocation Weight'!K7</f>
        <v>5.2344385274497383E-5</v>
      </c>
      <c r="L7" s="32">
        <f>'Marginal Allocation Weight'!L7/'Total Allocation Weight'!L7</f>
        <v>5.1906112412794128E-5</v>
      </c>
      <c r="M7" s="32">
        <f>'Marginal Allocation Weight'!M7/'Total Allocation Weight'!M7</f>
        <v>5.1470432728951942E-5</v>
      </c>
      <c r="N7" s="32">
        <f>'Marginal Allocation Weight'!N7/'Total Allocation Weight'!N7</f>
        <v>5.103738105596458E-5</v>
      </c>
      <c r="O7" s="32">
        <f>'Marginal Allocation Weight'!O7/'Total Allocation Weight'!O7</f>
        <v>5.0606991025409173E-5</v>
      </c>
      <c r="P7" s="32">
        <f>'Marginal Allocation Weight'!P7/'Total Allocation Weight'!P7</f>
        <v>5.0179295065183389E-5</v>
      </c>
      <c r="Q7" s="32">
        <f>'Marginal Allocation Weight'!Q7/'Total Allocation Weight'!Q7</f>
        <v>4.975432439824916E-5</v>
      </c>
      <c r="R7" s="32">
        <f>'Marginal Allocation Weight'!R7/'Total Allocation Weight'!R7</f>
        <v>4.9332109042366853E-5</v>
      </c>
      <c r="S7" s="32">
        <f>'Marginal Allocation Weight'!S7/'Total Allocation Weight'!S7</f>
        <v>4.8912677810803539E-5</v>
      </c>
      <c r="T7" s="32">
        <f>'Marginal Allocation Weight'!T7/'Total Allocation Weight'!T7</f>
        <v>4.8496058313997278E-5</v>
      </c>
      <c r="U7" s="32">
        <f>'Marginal Allocation Weight'!U7/'Total Allocation Weight'!U7</f>
        <v>4.8082276962159029E-5</v>
      </c>
      <c r="V7" s="32">
        <f>'Marginal Allocation Weight'!V7/'Total Allocation Weight'!V7</f>
        <v>4.7671358968791037E-5</v>
      </c>
      <c r="W7" s="32">
        <f>'Marginal Allocation Weight'!W7/'Total Allocation Weight'!W7</f>
        <v>4.7263328355101374E-5</v>
      </c>
    </row>
    <row r="8" spans="1:23">
      <c r="A8" s="9" t="str">
        <f>+'Device Energy Use'!A8</f>
        <v>Instant Gas</v>
      </c>
      <c r="B8" s="32">
        <f>'Marginal Allocation Weight'!B8/'Total Allocation Weight'!B8</f>
        <v>2.2096329273745615E-5</v>
      </c>
      <c r="C8" s="32">
        <f>'Marginal Allocation Weight'!C8/'Total Allocation Weight'!C8</f>
        <v>0.15919766988816678</v>
      </c>
      <c r="D8" s="32">
        <f>'Marginal Allocation Weight'!D8/'Total Allocation Weight'!D8</f>
        <v>0.1600310170300174</v>
      </c>
      <c r="E8" s="32">
        <f>'Marginal Allocation Weight'!E8/'Total Allocation Weight'!E8</f>
        <v>0.16086972951539524</v>
      </c>
      <c r="F8" s="32">
        <f>'Marginal Allocation Weight'!F8/'Total Allocation Weight'!F8</f>
        <v>0.1617137752762321</v>
      </c>
      <c r="G8" s="32">
        <f>'Marginal Allocation Weight'!G8/'Total Allocation Weight'!G8</f>
        <v>0.16256312046611793</v>
      </c>
      <c r="H8" s="32">
        <f>'Marginal Allocation Weight'!H8/'Total Allocation Weight'!H8</f>
        <v>0.16341772943891447</v>
      </c>
      <c r="I8" s="32">
        <f>'Marginal Allocation Weight'!I8/'Total Allocation Weight'!I8</f>
        <v>0.16427756472798619</v>
      </c>
      <c r="J8" s="32">
        <f>'Marginal Allocation Weight'!J8/'Total Allocation Weight'!J8</f>
        <v>0.16514258702608423</v>
      </c>
      <c r="K8" s="32">
        <f>'Marginal Allocation Weight'!K8/'Total Allocation Weight'!K8</f>
        <v>0.16601275516592315</v>
      </c>
      <c r="L8" s="32">
        <f>'Marginal Allocation Weight'!L8/'Total Allocation Weight'!L8</f>
        <v>0.16688802610148584</v>
      </c>
      <c r="M8" s="32">
        <f>'Marginal Allocation Weight'!M8/'Total Allocation Weight'!M8</f>
        <v>0.16776835489009873</v>
      </c>
      <c r="N8" s="32">
        <f>'Marginal Allocation Weight'!N8/'Total Allocation Weight'!N8</f>
        <v>0.16865369467531233</v>
      </c>
      <c r="O8" s="32">
        <f>'Marginal Allocation Weight'!O8/'Total Allocation Weight'!O8</f>
        <v>0.16954399667062894</v>
      </c>
      <c r="P8" s="32">
        <f>'Marginal Allocation Weight'!P8/'Total Allocation Weight'!P8</f>
        <v>0.17043921014411434</v>
      </c>
      <c r="Q8" s="32">
        <f>'Marginal Allocation Weight'!Q8/'Total Allocation Weight'!Q8</f>
        <v>0.17133928240393384</v>
      </c>
      <c r="R8" s="32">
        <f>'Marginal Allocation Weight'!R8/'Total Allocation Weight'!R8</f>
        <v>0.17224415878485114</v>
      </c>
      <c r="S8" s="32">
        <f>'Marginal Allocation Weight'!S8/'Total Allocation Weight'!S8</f>
        <v>0.17315378263572848</v>
      </c>
      <c r="T8" s="32">
        <f>'Marginal Allocation Weight'!T8/'Total Allocation Weight'!T8</f>
        <v>0.17406809530806791</v>
      </c>
      <c r="U8" s="32">
        <f>'Marginal Allocation Weight'!U8/'Total Allocation Weight'!U8</f>
        <v>0.17498703614563063</v>
      </c>
      <c r="V8" s="32">
        <f>'Marginal Allocation Weight'!V8/'Total Allocation Weight'!V8</f>
        <v>0.17591054247517349</v>
      </c>
      <c r="W8" s="32">
        <f>'Marginal Allocation Weight'!W8/'Total Allocation Weight'!W8</f>
        <v>0.17683854959834008</v>
      </c>
    </row>
    <row r="9" spans="1:23">
      <c r="A9" s="9" t="str">
        <f>+'Device Energy Use'!A9</f>
        <v>Condensing Gas</v>
      </c>
      <c r="B9" s="32">
        <f>'Marginal Allocation Weight'!B9/'Total Allocation Weight'!B9</f>
        <v>5.6364907380025437E-5</v>
      </c>
      <c r="C9" s="32">
        <f>'Marginal Allocation Weight'!C9/'Total Allocation Weight'!C9</f>
        <v>0.404390248417972</v>
      </c>
      <c r="D9" s="32">
        <f>'Marginal Allocation Weight'!D9/'Total Allocation Weight'!D9</f>
        <v>0.40479156673857231</v>
      </c>
      <c r="E9" s="32">
        <f>'Marginal Allocation Weight'!E9/'Total Allocation Weight'!E9</f>
        <v>0.4051847114598755</v>
      </c>
      <c r="F9" s="32">
        <f>'Marginal Allocation Weight'!F9/'Total Allocation Weight'!F9</f>
        <v>0.40556956268558253</v>
      </c>
      <c r="G9" s="32">
        <f>'Marginal Allocation Weight'!G9/'Total Allocation Weight'!G9</f>
        <v>0.40594600260743779</v>
      </c>
      <c r="H9" s="32">
        <f>'Marginal Allocation Weight'!H9/'Total Allocation Weight'!H9</f>
        <v>0.40631391558311597</v>
      </c>
      <c r="I9" s="32">
        <f>'Marginal Allocation Weight'!I9/'Total Allocation Weight'!I9</f>
        <v>0.40667318821310522</v>
      </c>
      <c r="J9" s="32">
        <f>'Marginal Allocation Weight'!J9/'Total Allocation Weight'!J9</f>
        <v>0.40702370941649207</v>
      </c>
      <c r="K9" s="32">
        <f>'Marginal Allocation Weight'!K9/'Total Allocation Weight'!K9</f>
        <v>0.40736537050556243</v>
      </c>
      <c r="L9" s="32">
        <f>'Marginal Allocation Weight'!L9/'Total Allocation Weight'!L9</f>
        <v>0.40769806525913238</v>
      </c>
      <c r="M9" s="32">
        <f>'Marginal Allocation Weight'!M9/'Total Allocation Weight'!M9</f>
        <v>0.40802168999451549</v>
      </c>
      <c r="N9" s="32">
        <f>'Marginal Allocation Weight'!N9/'Total Allocation Weight'!N9</f>
        <v>0.40833614363804716</v>
      </c>
      <c r="O9" s="32">
        <f>'Marginal Allocation Weight'!O9/'Total Allocation Weight'!O9</f>
        <v>0.40864132779407408</v>
      </c>
      <c r="P9" s="32">
        <f>'Marginal Allocation Weight'!P9/'Total Allocation Weight'!P9</f>
        <v>0.40893714681232857</v>
      </c>
      <c r="Q9" s="32">
        <f>'Marginal Allocation Weight'!Q9/'Total Allocation Weight'!Q9</f>
        <v>0.4092235078536029</v>
      </c>
      <c r="R9" s="32">
        <f>'Marginal Allocation Weight'!R9/'Total Allocation Weight'!R9</f>
        <v>0.40950032095364264</v>
      </c>
      <c r="S9" s="32">
        <f>'Marginal Allocation Weight'!S9/'Total Allocation Weight'!S9</f>
        <v>0.40976749908517751</v>
      </c>
      <c r="T9" s="32">
        <f>'Marginal Allocation Weight'!T9/'Total Allocation Weight'!T9</f>
        <v>0.4100249582180131</v>
      </c>
      <c r="U9" s="32">
        <f>'Marginal Allocation Weight'!U9/'Total Allocation Weight'!U9</f>
        <v>0.41027261737710641</v>
      </c>
      <c r="V9" s="32">
        <f>'Marginal Allocation Weight'!V9/'Total Allocation Weight'!V9</f>
        <v>0.41051039869854916</v>
      </c>
      <c r="W9" s="32">
        <f>'Marginal Allocation Weight'!W9/'Total Allocation Weight'!W9</f>
        <v>0.41073822748338934</v>
      </c>
    </row>
    <row r="11" spans="1:23">
      <c r="A11" s="42" t="s">
        <v>135</v>
      </c>
    </row>
    <row r="12" spans="1:23" s="23" customFormat="1">
      <c r="A12" s="40" t="str">
        <f>+'Device Energy Use'!A4</f>
        <v>Water Heat Ending</v>
      </c>
      <c r="B12" s="39">
        <f>'Levelized Costs'!B4</f>
        <v>2014</v>
      </c>
      <c r="C12" s="39">
        <f>'Levelized Costs'!C4</f>
        <v>2015</v>
      </c>
      <c r="D12" s="39">
        <f>'Levelized Costs'!D4</f>
        <v>2016</v>
      </c>
      <c r="E12" s="39">
        <f>'Levelized Costs'!E4</f>
        <v>2017</v>
      </c>
      <c r="F12" s="39">
        <f>'Levelized Costs'!F4</f>
        <v>2018</v>
      </c>
      <c r="G12" s="39">
        <f>'Levelized Costs'!G4</f>
        <v>2019</v>
      </c>
      <c r="H12" s="39">
        <f>'Levelized Costs'!H4</f>
        <v>2020</v>
      </c>
      <c r="I12" s="39">
        <f>'Levelized Costs'!I4</f>
        <v>2021</v>
      </c>
      <c r="J12" s="39">
        <f>'Levelized Costs'!J4</f>
        <v>2022</v>
      </c>
      <c r="K12" s="39">
        <f>'Levelized Costs'!K4</f>
        <v>2023</v>
      </c>
      <c r="L12" s="39">
        <f>'Levelized Costs'!L4</f>
        <v>2024</v>
      </c>
      <c r="M12" s="39">
        <f>'Levelized Costs'!M4</f>
        <v>2025</v>
      </c>
      <c r="N12" s="39">
        <f>'Levelized Costs'!N4</f>
        <v>2026</v>
      </c>
      <c r="O12" s="39">
        <f>'Levelized Costs'!O4</f>
        <v>2027</v>
      </c>
      <c r="P12" s="39">
        <f>'Levelized Costs'!P4</f>
        <v>2028</v>
      </c>
      <c r="Q12" s="39">
        <f>'Levelized Costs'!Q4</f>
        <v>2029</v>
      </c>
      <c r="R12" s="39">
        <f>'Levelized Costs'!R4</f>
        <v>2030</v>
      </c>
      <c r="S12" s="39">
        <f>'Levelized Costs'!S4</f>
        <v>2031</v>
      </c>
      <c r="T12" s="39">
        <f>'Levelized Costs'!T4</f>
        <v>2032</v>
      </c>
      <c r="U12" s="39">
        <f>'Levelized Costs'!U4</f>
        <v>2033</v>
      </c>
      <c r="V12" s="39">
        <f>'Levelized Costs'!V4</f>
        <v>2034</v>
      </c>
      <c r="W12" s="39">
        <f>'Levelized Costs'!W4</f>
        <v>2035</v>
      </c>
    </row>
    <row r="13" spans="1:23">
      <c r="A13" s="9" t="str">
        <f>+'Device Energy Use'!A5</f>
        <v>Electric Resistance</v>
      </c>
      <c r="B13" s="32">
        <v>0</v>
      </c>
      <c r="C13" s="32">
        <f>IF('Levelized Costs'!C5='Levelized Costs'!C$13,1,0)</f>
        <v>0</v>
      </c>
      <c r="D13" s="32">
        <f>IF('Levelized Costs'!D5='Levelized Costs'!D$13,1,0)</f>
        <v>0</v>
      </c>
      <c r="E13" s="32">
        <f>IF('Levelized Costs'!E5='Levelized Costs'!E$13,1,0)</f>
        <v>0</v>
      </c>
      <c r="F13" s="32">
        <f>IF('Levelized Costs'!F5='Levelized Costs'!F$13,1,0)</f>
        <v>0</v>
      </c>
      <c r="G13" s="32">
        <f>IF('Levelized Costs'!G5='Levelized Costs'!G$13,1,0)</f>
        <v>0</v>
      </c>
      <c r="H13" s="32">
        <f>IF('Levelized Costs'!H5='Levelized Costs'!H$13,1,0)</f>
        <v>0</v>
      </c>
      <c r="I13" s="32">
        <f>IF('Levelized Costs'!I5='Levelized Costs'!I$13,1,0)</f>
        <v>0</v>
      </c>
      <c r="J13" s="32">
        <f>IF('Levelized Costs'!J5='Levelized Costs'!J$13,1,0)</f>
        <v>0</v>
      </c>
      <c r="K13" s="32">
        <f>IF('Levelized Costs'!K5='Levelized Costs'!K$13,1,0)</f>
        <v>0</v>
      </c>
      <c r="L13" s="32">
        <f>IF('Levelized Costs'!L5='Levelized Costs'!L$13,1,0)</f>
        <v>0</v>
      </c>
      <c r="M13" s="32">
        <f>IF('Levelized Costs'!M5='Levelized Costs'!M$13,1,0)</f>
        <v>0</v>
      </c>
      <c r="N13" s="32">
        <f>IF('Levelized Costs'!N5='Levelized Costs'!N$13,1,0)</f>
        <v>0</v>
      </c>
      <c r="O13" s="32">
        <f>IF('Levelized Costs'!O5='Levelized Costs'!O$13,1,0)</f>
        <v>0</v>
      </c>
      <c r="P13" s="32">
        <f>IF('Levelized Costs'!P5='Levelized Costs'!P$13,1,0)</f>
        <v>0</v>
      </c>
      <c r="Q13" s="32">
        <f>IF('Levelized Costs'!Q5='Levelized Costs'!Q$13,1,0)</f>
        <v>0</v>
      </c>
      <c r="R13" s="32">
        <f>IF('Levelized Costs'!R5='Levelized Costs'!R$13,1,0)</f>
        <v>0</v>
      </c>
      <c r="S13" s="32">
        <f>IF('Levelized Costs'!S5='Levelized Costs'!S$13,1,0)</f>
        <v>0</v>
      </c>
      <c r="T13" s="32">
        <f>IF('Levelized Costs'!T5='Levelized Costs'!T$13,1,0)</f>
        <v>0</v>
      </c>
      <c r="U13" s="32">
        <f>IF('Levelized Costs'!U5='Levelized Costs'!U$13,1,0)</f>
        <v>0</v>
      </c>
      <c r="V13" s="32">
        <f>IF('Levelized Costs'!V5='Levelized Costs'!V$13,1,0)</f>
        <v>0</v>
      </c>
      <c r="W13" s="32">
        <f>IF('Levelized Costs'!W5='Levelized Costs'!W$13,1,0)</f>
        <v>0</v>
      </c>
    </row>
    <row r="14" spans="1:23">
      <c r="A14" s="9" t="str">
        <f>+'Device Energy Use'!A6</f>
        <v>HPWH</v>
      </c>
      <c r="B14" s="32">
        <v>0</v>
      </c>
      <c r="C14" s="32">
        <f>IF('Levelized Costs'!C6='Levelized Costs'!C$13,1,0)</f>
        <v>1</v>
      </c>
      <c r="D14" s="32">
        <f>IF('Levelized Costs'!D6='Levelized Costs'!D$13,1,0)</f>
        <v>1</v>
      </c>
      <c r="E14" s="32">
        <f>IF('Levelized Costs'!E6='Levelized Costs'!E$13,1,0)</f>
        <v>1</v>
      </c>
      <c r="F14" s="32">
        <f>IF('Levelized Costs'!F6='Levelized Costs'!F$13,1,0)</f>
        <v>1</v>
      </c>
      <c r="G14" s="32">
        <f>IF('Levelized Costs'!G6='Levelized Costs'!G$13,1,0)</f>
        <v>1</v>
      </c>
      <c r="H14" s="32">
        <f>IF('Levelized Costs'!H6='Levelized Costs'!H$13,1,0)</f>
        <v>1</v>
      </c>
      <c r="I14" s="32">
        <f>IF('Levelized Costs'!I6='Levelized Costs'!I$13,1,0)</f>
        <v>1</v>
      </c>
      <c r="J14" s="32">
        <f>IF('Levelized Costs'!J6='Levelized Costs'!J$13,1,0)</f>
        <v>1</v>
      </c>
      <c r="K14" s="32">
        <f>IF('Levelized Costs'!K6='Levelized Costs'!K$13,1,0)</f>
        <v>1</v>
      </c>
      <c r="L14" s="32">
        <f>IF('Levelized Costs'!L6='Levelized Costs'!L$13,1,0)</f>
        <v>1</v>
      </c>
      <c r="M14" s="32">
        <f>IF('Levelized Costs'!M6='Levelized Costs'!M$13,1,0)</f>
        <v>1</v>
      </c>
      <c r="N14" s="32">
        <f>IF('Levelized Costs'!N6='Levelized Costs'!N$13,1,0)</f>
        <v>1</v>
      </c>
      <c r="O14" s="32">
        <f>IF('Levelized Costs'!O6='Levelized Costs'!O$13,1,0)</f>
        <v>1</v>
      </c>
      <c r="P14" s="32">
        <f>IF('Levelized Costs'!P6='Levelized Costs'!P$13,1,0)</f>
        <v>1</v>
      </c>
      <c r="Q14" s="32">
        <f>IF('Levelized Costs'!Q6='Levelized Costs'!Q$13,1,0)</f>
        <v>1</v>
      </c>
      <c r="R14" s="32">
        <f>IF('Levelized Costs'!R6='Levelized Costs'!R$13,1,0)</f>
        <v>1</v>
      </c>
      <c r="S14" s="32">
        <f>IF('Levelized Costs'!S6='Levelized Costs'!S$13,1,0)</f>
        <v>1</v>
      </c>
      <c r="T14" s="32">
        <f>IF('Levelized Costs'!T6='Levelized Costs'!T$13,1,0)</f>
        <v>1</v>
      </c>
      <c r="U14" s="32">
        <f>IF('Levelized Costs'!U6='Levelized Costs'!U$13,1,0)</f>
        <v>1</v>
      </c>
      <c r="V14" s="32">
        <f>IF('Levelized Costs'!V6='Levelized Costs'!V$13,1,0)</f>
        <v>1</v>
      </c>
      <c r="W14" s="32">
        <f>IF('Levelized Costs'!W6='Levelized Costs'!W$13,1,0)</f>
        <v>1</v>
      </c>
    </row>
    <row r="15" spans="1:23">
      <c r="A15" s="9" t="str">
        <f>+'Device Energy Use'!A7</f>
        <v>Gas Tank</v>
      </c>
      <c r="B15" s="32">
        <v>0</v>
      </c>
      <c r="C15" s="32">
        <f>IF('Levelized Costs'!C7='Levelized Costs'!C$13,1,0)</f>
        <v>0</v>
      </c>
      <c r="D15" s="32">
        <f>IF('Levelized Costs'!D7='Levelized Costs'!D$13,1,0)</f>
        <v>0</v>
      </c>
      <c r="E15" s="32">
        <f>IF('Levelized Costs'!E7='Levelized Costs'!E$13,1,0)</f>
        <v>0</v>
      </c>
      <c r="F15" s="32">
        <f>IF('Levelized Costs'!F7='Levelized Costs'!F$13,1,0)</f>
        <v>0</v>
      </c>
      <c r="G15" s="32">
        <f>IF('Levelized Costs'!G7='Levelized Costs'!G$13,1,0)</f>
        <v>0</v>
      </c>
      <c r="H15" s="32">
        <f>IF('Levelized Costs'!H7='Levelized Costs'!H$13,1,0)</f>
        <v>0</v>
      </c>
      <c r="I15" s="32">
        <f>IF('Levelized Costs'!I7='Levelized Costs'!I$13,1,0)</f>
        <v>0</v>
      </c>
      <c r="J15" s="32">
        <f>IF('Levelized Costs'!J7='Levelized Costs'!J$13,1,0)</f>
        <v>0</v>
      </c>
      <c r="K15" s="32">
        <f>IF('Levelized Costs'!K7='Levelized Costs'!K$13,1,0)</f>
        <v>0</v>
      </c>
      <c r="L15" s="32">
        <f>IF('Levelized Costs'!L7='Levelized Costs'!L$13,1,0)</f>
        <v>0</v>
      </c>
      <c r="M15" s="32">
        <f>IF('Levelized Costs'!M7='Levelized Costs'!M$13,1,0)</f>
        <v>0</v>
      </c>
      <c r="N15" s="32">
        <f>IF('Levelized Costs'!N7='Levelized Costs'!N$13,1,0)</f>
        <v>0</v>
      </c>
      <c r="O15" s="32">
        <f>IF('Levelized Costs'!O7='Levelized Costs'!O$13,1,0)</f>
        <v>0</v>
      </c>
      <c r="P15" s="32">
        <f>IF('Levelized Costs'!P7='Levelized Costs'!P$13,1,0)</f>
        <v>0</v>
      </c>
      <c r="Q15" s="32">
        <f>IF('Levelized Costs'!Q7='Levelized Costs'!Q$13,1,0)</f>
        <v>0</v>
      </c>
      <c r="R15" s="32">
        <f>IF('Levelized Costs'!R7='Levelized Costs'!R$13,1,0)</f>
        <v>0</v>
      </c>
      <c r="S15" s="32">
        <f>IF('Levelized Costs'!S7='Levelized Costs'!S$13,1,0)</f>
        <v>0</v>
      </c>
      <c r="T15" s="32">
        <f>IF('Levelized Costs'!T7='Levelized Costs'!T$13,1,0)</f>
        <v>0</v>
      </c>
      <c r="U15" s="32">
        <f>IF('Levelized Costs'!U7='Levelized Costs'!U$13,1,0)</f>
        <v>0</v>
      </c>
      <c r="V15" s="32">
        <f>IF('Levelized Costs'!V7='Levelized Costs'!V$13,1,0)</f>
        <v>0</v>
      </c>
      <c r="W15" s="32">
        <f>IF('Levelized Costs'!W7='Levelized Costs'!W$13,1,0)</f>
        <v>0</v>
      </c>
    </row>
    <row r="16" spans="1:23">
      <c r="A16" s="9" t="str">
        <f>+'Device Energy Use'!A8</f>
        <v>Instant Gas</v>
      </c>
      <c r="B16" s="32">
        <v>0</v>
      </c>
      <c r="C16" s="32">
        <f>IF('Levelized Costs'!C8='Levelized Costs'!C$13,1,0)</f>
        <v>0</v>
      </c>
      <c r="D16" s="32">
        <f>IF('Levelized Costs'!D8='Levelized Costs'!D$13,1,0)</f>
        <v>0</v>
      </c>
      <c r="E16" s="32">
        <f>IF('Levelized Costs'!E8='Levelized Costs'!E$13,1,0)</f>
        <v>0</v>
      </c>
      <c r="F16" s="32">
        <f>IF('Levelized Costs'!F8='Levelized Costs'!F$13,1,0)</f>
        <v>0</v>
      </c>
      <c r="G16" s="32">
        <f>IF('Levelized Costs'!G8='Levelized Costs'!G$13,1,0)</f>
        <v>0</v>
      </c>
      <c r="H16" s="32">
        <f>IF('Levelized Costs'!H8='Levelized Costs'!H$13,1,0)</f>
        <v>0</v>
      </c>
      <c r="I16" s="32">
        <f>IF('Levelized Costs'!I8='Levelized Costs'!I$13,1,0)</f>
        <v>0</v>
      </c>
      <c r="J16" s="32">
        <f>IF('Levelized Costs'!J8='Levelized Costs'!J$13,1,0)</f>
        <v>0</v>
      </c>
      <c r="K16" s="32">
        <f>IF('Levelized Costs'!K8='Levelized Costs'!K$13,1,0)</f>
        <v>0</v>
      </c>
      <c r="L16" s="32">
        <f>IF('Levelized Costs'!L8='Levelized Costs'!L$13,1,0)</f>
        <v>0</v>
      </c>
      <c r="M16" s="32">
        <f>IF('Levelized Costs'!M8='Levelized Costs'!M$13,1,0)</f>
        <v>0</v>
      </c>
      <c r="N16" s="32">
        <f>IF('Levelized Costs'!N8='Levelized Costs'!N$13,1,0)</f>
        <v>0</v>
      </c>
      <c r="O16" s="32">
        <f>IF('Levelized Costs'!O8='Levelized Costs'!O$13,1,0)</f>
        <v>0</v>
      </c>
      <c r="P16" s="32">
        <f>IF('Levelized Costs'!P8='Levelized Costs'!P$13,1,0)</f>
        <v>0</v>
      </c>
      <c r="Q16" s="32">
        <f>IF('Levelized Costs'!Q8='Levelized Costs'!Q$13,1,0)</f>
        <v>0</v>
      </c>
      <c r="R16" s="32">
        <f>IF('Levelized Costs'!R8='Levelized Costs'!R$13,1,0)</f>
        <v>0</v>
      </c>
      <c r="S16" s="32">
        <f>IF('Levelized Costs'!S8='Levelized Costs'!S$13,1,0)</f>
        <v>0</v>
      </c>
      <c r="T16" s="32">
        <f>IF('Levelized Costs'!T8='Levelized Costs'!T$13,1,0)</f>
        <v>0</v>
      </c>
      <c r="U16" s="32">
        <f>IF('Levelized Costs'!U8='Levelized Costs'!U$13,1,0)</f>
        <v>0</v>
      </c>
      <c r="V16" s="32">
        <f>IF('Levelized Costs'!V8='Levelized Costs'!V$13,1,0)</f>
        <v>0</v>
      </c>
      <c r="W16" s="32">
        <f>IF('Levelized Costs'!W8='Levelized Costs'!W$13,1,0)</f>
        <v>0</v>
      </c>
    </row>
    <row r="17" spans="1:23">
      <c r="A17" s="9" t="str">
        <f>+'Device Energy Use'!A9</f>
        <v>Condensing Gas</v>
      </c>
      <c r="B17" s="32">
        <v>0</v>
      </c>
      <c r="C17" s="32">
        <f>IF('Levelized Costs'!C9='Levelized Costs'!C$13,1,0)</f>
        <v>0</v>
      </c>
      <c r="D17" s="32">
        <f>IF('Levelized Costs'!D9='Levelized Costs'!D$13,1,0)</f>
        <v>0</v>
      </c>
      <c r="E17" s="32">
        <f>IF('Levelized Costs'!E9='Levelized Costs'!E$13,1,0)</f>
        <v>0</v>
      </c>
      <c r="F17" s="32">
        <f>IF('Levelized Costs'!F9='Levelized Costs'!F$13,1,0)</f>
        <v>0</v>
      </c>
      <c r="G17" s="32">
        <f>IF('Levelized Costs'!G9='Levelized Costs'!G$13,1,0)</f>
        <v>0</v>
      </c>
      <c r="H17" s="32">
        <f>IF('Levelized Costs'!H9='Levelized Costs'!H$13,1,0)</f>
        <v>0</v>
      </c>
      <c r="I17" s="32">
        <f>IF('Levelized Costs'!I9='Levelized Costs'!I$13,1,0)</f>
        <v>0</v>
      </c>
      <c r="J17" s="32">
        <f>IF('Levelized Costs'!J9='Levelized Costs'!J$13,1,0)</f>
        <v>0</v>
      </c>
      <c r="K17" s="32">
        <f>IF('Levelized Costs'!K9='Levelized Costs'!K$13,1,0)</f>
        <v>0</v>
      </c>
      <c r="L17" s="32">
        <f>IF('Levelized Costs'!L9='Levelized Costs'!L$13,1,0)</f>
        <v>0</v>
      </c>
      <c r="M17" s="32">
        <f>IF('Levelized Costs'!M9='Levelized Costs'!M$13,1,0)</f>
        <v>0</v>
      </c>
      <c r="N17" s="32">
        <f>IF('Levelized Costs'!N9='Levelized Costs'!N$13,1,0)</f>
        <v>0</v>
      </c>
      <c r="O17" s="32">
        <f>IF('Levelized Costs'!O9='Levelized Costs'!O$13,1,0)</f>
        <v>0</v>
      </c>
      <c r="P17" s="32">
        <f>IF('Levelized Costs'!P9='Levelized Costs'!P$13,1,0)</f>
        <v>0</v>
      </c>
      <c r="Q17" s="32">
        <f>IF('Levelized Costs'!Q9='Levelized Costs'!Q$13,1,0)</f>
        <v>0</v>
      </c>
      <c r="R17" s="32">
        <f>IF('Levelized Costs'!R9='Levelized Costs'!R$13,1,0)</f>
        <v>0</v>
      </c>
      <c r="S17" s="32">
        <f>IF('Levelized Costs'!S9='Levelized Costs'!S$13,1,0)</f>
        <v>0</v>
      </c>
      <c r="T17" s="32">
        <f>IF('Levelized Costs'!T9='Levelized Costs'!T$13,1,0)</f>
        <v>0</v>
      </c>
      <c r="U17" s="32">
        <f>IF('Levelized Costs'!U9='Levelized Costs'!U$13,1,0)</f>
        <v>0</v>
      </c>
      <c r="V17" s="32">
        <f>IF('Levelized Costs'!V9='Levelized Costs'!V$13,1,0)</f>
        <v>0</v>
      </c>
      <c r="W17" s="32">
        <f>IF('Levelized Costs'!W9='Levelized Costs'!W$13,1,0)</f>
        <v>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W10"/>
  <sheetViews>
    <sheetView workbookViewId="0">
      <selection activeCell="E7" sqref="E7"/>
    </sheetView>
  </sheetViews>
  <sheetFormatPr defaultRowHeight="15"/>
  <cols>
    <col min="1" max="1" width="20.7109375" customWidth="1"/>
    <col min="2" max="8" width="9.7109375" customWidth="1"/>
    <col min="9" max="24" width="10.28515625" customWidth="1"/>
  </cols>
  <sheetData>
    <row r="1" spans="1:23" ht="15.75">
      <c r="A1" s="147" t="str">
        <f>CONCATENATE("Segment:  ",State,", Single Family, ", SpaceHeat, ", ", TankSize,", ", StartWH, " is starting water heater")</f>
        <v>Segment:  Montana, Single Family, Gas FAF, &gt;55 Gallons, Electric Resistance is starting water heater</v>
      </c>
    </row>
    <row r="3" spans="1:23" s="9" customFormat="1" ht="15.75">
      <c r="A3" s="12" t="s">
        <v>41</v>
      </c>
    </row>
    <row r="4" spans="1:23" s="9" customFormat="1" ht="15.75">
      <c r="A4" s="40" t="str">
        <f>'Device Energy Use'!A4</f>
        <v>Water Heat Ending</v>
      </c>
      <c r="B4" s="39">
        <f>+'Marginal Market Share'!B4</f>
        <v>2014</v>
      </c>
      <c r="C4" s="39">
        <f>+'Marginal Market Share'!C4</f>
        <v>2015</v>
      </c>
      <c r="D4" s="39">
        <f>+'Marginal Market Share'!D4</f>
        <v>2016</v>
      </c>
      <c r="E4" s="39">
        <f>+'Marginal Market Share'!E4</f>
        <v>2017</v>
      </c>
      <c r="F4" s="39">
        <f>+'Marginal Market Share'!F4</f>
        <v>2018</v>
      </c>
      <c r="G4" s="39">
        <f>+'Marginal Market Share'!G4</f>
        <v>2019</v>
      </c>
      <c r="H4" s="39">
        <f>+'Marginal Market Share'!H4</f>
        <v>2020</v>
      </c>
      <c r="I4" s="39">
        <f>+'Marginal Market Share'!I4</f>
        <v>2021</v>
      </c>
      <c r="J4" s="39">
        <f>+'Marginal Market Share'!J4</f>
        <v>2022</v>
      </c>
      <c r="K4" s="39">
        <f>+'Marginal Market Share'!K4</f>
        <v>2023</v>
      </c>
      <c r="L4" s="39">
        <f>+'Marginal Market Share'!L4</f>
        <v>2024</v>
      </c>
      <c r="M4" s="39">
        <f>+'Marginal Market Share'!M4</f>
        <v>2025</v>
      </c>
      <c r="N4" s="39">
        <f>+'Marginal Market Share'!N4</f>
        <v>2026</v>
      </c>
      <c r="O4" s="39">
        <f>+'Marginal Market Share'!O4</f>
        <v>2027</v>
      </c>
      <c r="P4" s="39">
        <f>+'Marginal Market Share'!P4</f>
        <v>2028</v>
      </c>
      <c r="Q4" s="39">
        <f>+'Marginal Market Share'!Q4</f>
        <v>2029</v>
      </c>
      <c r="R4" s="39">
        <f>+'Marginal Market Share'!R4</f>
        <v>2030</v>
      </c>
      <c r="S4" s="39">
        <f>+'Marginal Market Share'!S4</f>
        <v>2031</v>
      </c>
      <c r="T4" s="39">
        <f>+'Marginal Market Share'!T4</f>
        <v>2032</v>
      </c>
      <c r="U4" s="39">
        <f>+'Marginal Market Share'!U4</f>
        <v>2033</v>
      </c>
      <c r="V4" s="39">
        <f>+'Marginal Market Share'!V4</f>
        <v>2034</v>
      </c>
      <c r="W4" s="39">
        <f>+'Marginal Market Share'!W4</f>
        <v>2035</v>
      </c>
    </row>
    <row r="5" spans="1:23" s="9" customFormat="1" ht="15.75">
      <c r="A5" s="9" t="str">
        <f>+'Marginal Market Share'!A5</f>
        <v>Electric Resistance</v>
      </c>
      <c r="B5" s="130">
        <f>SUM('Marginal Allocation Weight'!B$5:B$9)</f>
        <v>22029.539392279141</v>
      </c>
      <c r="C5" s="130">
        <f>SUM('Marginal Allocation Weight'!C$5:C$9)</f>
        <v>3.1115464852938191</v>
      </c>
      <c r="D5" s="130">
        <f>SUM('Marginal Allocation Weight'!D$5:D$9)</f>
        <v>3.149784892238503</v>
      </c>
      <c r="E5" s="130">
        <f>SUM('Marginal Allocation Weight'!E$5:E$9)</f>
        <v>3.188356580698616</v>
      </c>
      <c r="F5" s="130">
        <f>SUM('Marginal Allocation Weight'!F$5:F$9)</f>
        <v>3.2272599095062589</v>
      </c>
      <c r="G5" s="130">
        <f>SUM('Marginal Allocation Weight'!G$5:G$9)</f>
        <v>3.266493107397654</v>
      </c>
      <c r="H5" s="130">
        <f>SUM('Marginal Allocation Weight'!H$5:H$9)</f>
        <v>3.306054271666802</v>
      </c>
      <c r="I5" s="130">
        <f>SUM('Marginal Allocation Weight'!I$5:I$9)</f>
        <v>3.3459413668874776</v>
      </c>
      <c r="J5" s="130">
        <f>SUM('Marginal Allocation Weight'!J$5:J$9)</f>
        <v>3.3861522237061492</v>
      </c>
      <c r="K5" s="130">
        <f>SUM('Marginal Allocation Weight'!K$5:K$9)</f>
        <v>3.426684537708331</v>
      </c>
      <c r="L5" s="130">
        <f>SUM('Marginal Allocation Weight'!L$5:L$9)</f>
        <v>3.4675358683608475</v>
      </c>
      <c r="M5" s="130">
        <f>SUM('Marginal Allocation Weight'!M$5:M$9)</f>
        <v>3.5087036380324532</v>
      </c>
      <c r="N5" s="130">
        <f>SUM('Marginal Allocation Weight'!N$5:N$9)</f>
        <v>3.5501851310951977</v>
      </c>
      <c r="O5" s="130">
        <f>SUM('Marginal Allocation Weight'!O$5:O$9)</f>
        <v>3.5919774931088639</v>
      </c>
      <c r="P5" s="130">
        <f>SUM('Marginal Allocation Weight'!P$5:P$9)</f>
        <v>3.6340777300907625</v>
      </c>
      <c r="Q5" s="130">
        <f>SUM('Marginal Allocation Weight'!Q$5:Q$9)</f>
        <v>3.6764827078730917</v>
      </c>
      <c r="R5" s="130">
        <f>SUM('Marginal Allocation Weight'!R$5:R$9)</f>
        <v>3.7191891515500015</v>
      </c>
      <c r="S5" s="130">
        <f>SUM('Marginal Allocation Weight'!S$5:S$9)</f>
        <v>3.7621936450164561</v>
      </c>
      <c r="T5" s="130">
        <f>SUM('Marginal Allocation Weight'!T$5:T$9)</f>
        <v>3.8054926306008729</v>
      </c>
      <c r="U5" s="130">
        <f>SUM('Marginal Allocation Weight'!U$5:U$9)</f>
        <v>3.8490824087934445</v>
      </c>
      <c r="V5" s="130">
        <f>SUM('Marginal Allocation Weight'!V$5:V$9)</f>
        <v>3.8929591380720199</v>
      </c>
      <c r="W5" s="130">
        <f>SUM('Marginal Allocation Weight'!W$5:W$9)</f>
        <v>3.9371188348272206</v>
      </c>
    </row>
    <row r="6" spans="1:23" s="9" customFormat="1" ht="15.75">
      <c r="A6" s="9" t="str">
        <f>+'Marginal Market Share'!A6</f>
        <v>HPWH</v>
      </c>
      <c r="B6" s="130">
        <f>SUM('Marginal Allocation Weight'!B$5:B$9)</f>
        <v>22029.539392279141</v>
      </c>
      <c r="C6" s="130">
        <f>SUM('Marginal Allocation Weight'!C$5:C$9)</f>
        <v>3.1115464852938191</v>
      </c>
      <c r="D6" s="130">
        <f>SUM('Marginal Allocation Weight'!D$5:D$9)</f>
        <v>3.149784892238503</v>
      </c>
      <c r="E6" s="130">
        <f>SUM('Marginal Allocation Weight'!E$5:E$9)</f>
        <v>3.188356580698616</v>
      </c>
      <c r="F6" s="130">
        <f>SUM('Marginal Allocation Weight'!F$5:F$9)</f>
        <v>3.2272599095062589</v>
      </c>
      <c r="G6" s="130">
        <f>SUM('Marginal Allocation Weight'!G$5:G$9)</f>
        <v>3.266493107397654</v>
      </c>
      <c r="H6" s="130">
        <f>SUM('Marginal Allocation Weight'!H$5:H$9)</f>
        <v>3.306054271666802</v>
      </c>
      <c r="I6" s="130">
        <f>SUM('Marginal Allocation Weight'!I$5:I$9)</f>
        <v>3.3459413668874776</v>
      </c>
      <c r="J6" s="130">
        <f>SUM('Marginal Allocation Weight'!J$5:J$9)</f>
        <v>3.3861522237061492</v>
      </c>
      <c r="K6" s="130">
        <f>SUM('Marginal Allocation Weight'!K$5:K$9)</f>
        <v>3.426684537708331</v>
      </c>
      <c r="L6" s="130">
        <f>SUM('Marginal Allocation Weight'!L$5:L$9)</f>
        <v>3.4675358683608475</v>
      </c>
      <c r="M6" s="130">
        <f>SUM('Marginal Allocation Weight'!M$5:M$9)</f>
        <v>3.5087036380324532</v>
      </c>
      <c r="N6" s="130">
        <f>SUM('Marginal Allocation Weight'!N$5:N$9)</f>
        <v>3.5501851310951977</v>
      </c>
      <c r="O6" s="130">
        <f>SUM('Marginal Allocation Weight'!O$5:O$9)</f>
        <v>3.5919774931088639</v>
      </c>
      <c r="P6" s="130">
        <f>SUM('Marginal Allocation Weight'!P$5:P$9)</f>
        <v>3.6340777300907625</v>
      </c>
      <c r="Q6" s="130">
        <f>SUM('Marginal Allocation Weight'!Q$5:Q$9)</f>
        <v>3.6764827078730917</v>
      </c>
      <c r="R6" s="130">
        <f>SUM('Marginal Allocation Weight'!R$5:R$9)</f>
        <v>3.7191891515500015</v>
      </c>
      <c r="S6" s="130">
        <f>SUM('Marginal Allocation Weight'!S$5:S$9)</f>
        <v>3.7621936450164561</v>
      </c>
      <c r="T6" s="130">
        <f>SUM('Marginal Allocation Weight'!T$5:T$9)</f>
        <v>3.8054926306008729</v>
      </c>
      <c r="U6" s="130">
        <f>SUM('Marginal Allocation Weight'!U$5:U$9)</f>
        <v>3.8490824087934445</v>
      </c>
      <c r="V6" s="130">
        <f>SUM('Marginal Allocation Weight'!V$5:V$9)</f>
        <v>3.8929591380720199</v>
      </c>
      <c r="W6" s="130">
        <f>SUM('Marginal Allocation Weight'!W$5:W$9)</f>
        <v>3.9371188348272206</v>
      </c>
    </row>
    <row r="7" spans="1:23" s="9" customFormat="1" ht="15.75">
      <c r="A7" s="9" t="str">
        <f>+'Marginal Market Share'!A7</f>
        <v>Gas Tank</v>
      </c>
      <c r="B7" s="130">
        <f>SUM('Marginal Allocation Weight'!B$5:B$9)</f>
        <v>22029.539392279141</v>
      </c>
      <c r="C7" s="130">
        <f>SUM('Marginal Allocation Weight'!C$5:C$9)</f>
        <v>3.1115464852938191</v>
      </c>
      <c r="D7" s="130">
        <f>SUM('Marginal Allocation Weight'!D$5:D$9)</f>
        <v>3.149784892238503</v>
      </c>
      <c r="E7" s="130">
        <f>SUM('Marginal Allocation Weight'!E$5:E$9)</f>
        <v>3.188356580698616</v>
      </c>
      <c r="F7" s="130">
        <f>SUM('Marginal Allocation Weight'!F$5:F$9)</f>
        <v>3.2272599095062589</v>
      </c>
      <c r="G7" s="130">
        <f>SUM('Marginal Allocation Weight'!G$5:G$9)</f>
        <v>3.266493107397654</v>
      </c>
      <c r="H7" s="130">
        <f>SUM('Marginal Allocation Weight'!H$5:H$9)</f>
        <v>3.306054271666802</v>
      </c>
      <c r="I7" s="130">
        <f>SUM('Marginal Allocation Weight'!I$5:I$9)</f>
        <v>3.3459413668874776</v>
      </c>
      <c r="J7" s="130">
        <f>SUM('Marginal Allocation Weight'!J$5:J$9)</f>
        <v>3.3861522237061492</v>
      </c>
      <c r="K7" s="130">
        <f>SUM('Marginal Allocation Weight'!K$5:K$9)</f>
        <v>3.426684537708331</v>
      </c>
      <c r="L7" s="130">
        <f>SUM('Marginal Allocation Weight'!L$5:L$9)</f>
        <v>3.4675358683608475</v>
      </c>
      <c r="M7" s="130">
        <f>SUM('Marginal Allocation Weight'!M$5:M$9)</f>
        <v>3.5087036380324532</v>
      </c>
      <c r="N7" s="130">
        <f>SUM('Marginal Allocation Weight'!N$5:N$9)</f>
        <v>3.5501851310951977</v>
      </c>
      <c r="O7" s="130">
        <f>SUM('Marginal Allocation Weight'!O$5:O$9)</f>
        <v>3.5919774931088639</v>
      </c>
      <c r="P7" s="130">
        <f>SUM('Marginal Allocation Weight'!P$5:P$9)</f>
        <v>3.6340777300907625</v>
      </c>
      <c r="Q7" s="130">
        <f>SUM('Marginal Allocation Weight'!Q$5:Q$9)</f>
        <v>3.6764827078730917</v>
      </c>
      <c r="R7" s="130">
        <f>SUM('Marginal Allocation Weight'!R$5:R$9)</f>
        <v>3.7191891515500015</v>
      </c>
      <c r="S7" s="130">
        <f>SUM('Marginal Allocation Weight'!S$5:S$9)</f>
        <v>3.7621936450164561</v>
      </c>
      <c r="T7" s="130">
        <f>SUM('Marginal Allocation Weight'!T$5:T$9)</f>
        <v>3.8054926306008729</v>
      </c>
      <c r="U7" s="130">
        <f>SUM('Marginal Allocation Weight'!U$5:U$9)</f>
        <v>3.8490824087934445</v>
      </c>
      <c r="V7" s="130">
        <f>SUM('Marginal Allocation Weight'!V$5:V$9)</f>
        <v>3.8929591380720199</v>
      </c>
      <c r="W7" s="130">
        <f>SUM('Marginal Allocation Weight'!W$5:W$9)</f>
        <v>3.9371188348272206</v>
      </c>
    </row>
    <row r="8" spans="1:23" s="9" customFormat="1" ht="15.75">
      <c r="A8" s="9" t="str">
        <f>+'Marginal Market Share'!A8</f>
        <v>Instant Gas</v>
      </c>
      <c r="B8" s="130">
        <f>SUM('Marginal Allocation Weight'!B$5:B$9)</f>
        <v>22029.539392279141</v>
      </c>
      <c r="C8" s="130">
        <f>SUM('Marginal Allocation Weight'!C$5:C$9)</f>
        <v>3.1115464852938191</v>
      </c>
      <c r="D8" s="130">
        <f>SUM('Marginal Allocation Weight'!D$5:D$9)</f>
        <v>3.149784892238503</v>
      </c>
      <c r="E8" s="130">
        <f>SUM('Marginal Allocation Weight'!E$5:E$9)</f>
        <v>3.188356580698616</v>
      </c>
      <c r="F8" s="130">
        <f>SUM('Marginal Allocation Weight'!F$5:F$9)</f>
        <v>3.2272599095062589</v>
      </c>
      <c r="G8" s="130">
        <f>SUM('Marginal Allocation Weight'!G$5:G$9)</f>
        <v>3.266493107397654</v>
      </c>
      <c r="H8" s="130">
        <f>SUM('Marginal Allocation Weight'!H$5:H$9)</f>
        <v>3.306054271666802</v>
      </c>
      <c r="I8" s="130">
        <f>SUM('Marginal Allocation Weight'!I$5:I$9)</f>
        <v>3.3459413668874776</v>
      </c>
      <c r="J8" s="130">
        <f>SUM('Marginal Allocation Weight'!J$5:J$9)</f>
        <v>3.3861522237061492</v>
      </c>
      <c r="K8" s="130">
        <f>SUM('Marginal Allocation Weight'!K$5:K$9)</f>
        <v>3.426684537708331</v>
      </c>
      <c r="L8" s="130">
        <f>SUM('Marginal Allocation Weight'!L$5:L$9)</f>
        <v>3.4675358683608475</v>
      </c>
      <c r="M8" s="130">
        <f>SUM('Marginal Allocation Weight'!M$5:M$9)</f>
        <v>3.5087036380324532</v>
      </c>
      <c r="N8" s="130">
        <f>SUM('Marginal Allocation Weight'!N$5:N$9)</f>
        <v>3.5501851310951977</v>
      </c>
      <c r="O8" s="130">
        <f>SUM('Marginal Allocation Weight'!O$5:O$9)</f>
        <v>3.5919774931088639</v>
      </c>
      <c r="P8" s="130">
        <f>SUM('Marginal Allocation Weight'!P$5:P$9)</f>
        <v>3.6340777300907625</v>
      </c>
      <c r="Q8" s="130">
        <f>SUM('Marginal Allocation Weight'!Q$5:Q$9)</f>
        <v>3.6764827078730917</v>
      </c>
      <c r="R8" s="130">
        <f>SUM('Marginal Allocation Weight'!R$5:R$9)</f>
        <v>3.7191891515500015</v>
      </c>
      <c r="S8" s="130">
        <f>SUM('Marginal Allocation Weight'!S$5:S$9)</f>
        <v>3.7621936450164561</v>
      </c>
      <c r="T8" s="130">
        <f>SUM('Marginal Allocation Weight'!T$5:T$9)</f>
        <v>3.8054926306008729</v>
      </c>
      <c r="U8" s="130">
        <f>SUM('Marginal Allocation Weight'!U$5:U$9)</f>
        <v>3.8490824087934445</v>
      </c>
      <c r="V8" s="130">
        <f>SUM('Marginal Allocation Weight'!V$5:V$9)</f>
        <v>3.8929591380720199</v>
      </c>
      <c r="W8" s="130">
        <f>SUM('Marginal Allocation Weight'!W$5:W$9)</f>
        <v>3.9371188348272206</v>
      </c>
    </row>
    <row r="9" spans="1:23" s="9" customFormat="1" ht="15.75">
      <c r="A9" s="9" t="str">
        <f>+'Marginal Market Share'!A9</f>
        <v>Condensing Gas</v>
      </c>
      <c r="B9" s="130">
        <f>SUM('Marginal Allocation Weight'!B$5:B$9)</f>
        <v>22029.539392279141</v>
      </c>
      <c r="C9" s="130">
        <f>SUM('Marginal Allocation Weight'!C$5:C$9)</f>
        <v>3.1115464852938191</v>
      </c>
      <c r="D9" s="130">
        <f>SUM('Marginal Allocation Weight'!D$5:D$9)</f>
        <v>3.149784892238503</v>
      </c>
      <c r="E9" s="130">
        <f>SUM('Marginal Allocation Weight'!E$5:E$9)</f>
        <v>3.188356580698616</v>
      </c>
      <c r="F9" s="130">
        <f>SUM('Marginal Allocation Weight'!F$5:F$9)</f>
        <v>3.2272599095062589</v>
      </c>
      <c r="G9" s="130">
        <f>SUM('Marginal Allocation Weight'!G$5:G$9)</f>
        <v>3.266493107397654</v>
      </c>
      <c r="H9" s="130">
        <f>SUM('Marginal Allocation Weight'!H$5:H$9)</f>
        <v>3.306054271666802</v>
      </c>
      <c r="I9" s="130">
        <f>SUM('Marginal Allocation Weight'!I$5:I$9)</f>
        <v>3.3459413668874776</v>
      </c>
      <c r="J9" s="130">
        <f>SUM('Marginal Allocation Weight'!J$5:J$9)</f>
        <v>3.3861522237061492</v>
      </c>
      <c r="K9" s="130">
        <f>SUM('Marginal Allocation Weight'!K$5:K$9)</f>
        <v>3.426684537708331</v>
      </c>
      <c r="L9" s="130">
        <f>SUM('Marginal Allocation Weight'!L$5:L$9)</f>
        <v>3.4675358683608475</v>
      </c>
      <c r="M9" s="130">
        <f>SUM('Marginal Allocation Weight'!M$5:M$9)</f>
        <v>3.5087036380324532</v>
      </c>
      <c r="N9" s="130">
        <f>SUM('Marginal Allocation Weight'!N$5:N$9)</f>
        <v>3.5501851310951977</v>
      </c>
      <c r="O9" s="130">
        <f>SUM('Marginal Allocation Weight'!O$5:O$9)</f>
        <v>3.5919774931088639</v>
      </c>
      <c r="P9" s="130">
        <f>SUM('Marginal Allocation Weight'!P$5:P$9)</f>
        <v>3.6340777300907625</v>
      </c>
      <c r="Q9" s="130">
        <f>SUM('Marginal Allocation Weight'!Q$5:Q$9)</f>
        <v>3.6764827078730917</v>
      </c>
      <c r="R9" s="130">
        <f>SUM('Marginal Allocation Weight'!R$5:R$9)</f>
        <v>3.7191891515500015</v>
      </c>
      <c r="S9" s="130">
        <f>SUM('Marginal Allocation Weight'!S$5:S$9)</f>
        <v>3.7621936450164561</v>
      </c>
      <c r="T9" s="130">
        <f>SUM('Marginal Allocation Weight'!T$5:T$9)</f>
        <v>3.8054926306008729</v>
      </c>
      <c r="U9" s="130">
        <f>SUM('Marginal Allocation Weight'!U$5:U$9)</f>
        <v>3.8490824087934445</v>
      </c>
      <c r="V9" s="130">
        <f>SUM('Marginal Allocation Weight'!V$5:V$9)</f>
        <v>3.8929591380720199</v>
      </c>
      <c r="W9" s="130">
        <f>SUM('Marginal Allocation Weight'!W$5:W$9)</f>
        <v>3.9371188348272206</v>
      </c>
    </row>
    <row r="10" spans="1:23" s="9" customFormat="1" ht="15.75">
      <c r="A10"/>
      <c r="B10"/>
      <c r="C10"/>
      <c r="D10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AC10"/>
  <sheetViews>
    <sheetView workbookViewId="0">
      <selection activeCell="B5" sqref="B5"/>
    </sheetView>
  </sheetViews>
  <sheetFormatPr defaultColWidth="9.140625" defaultRowHeight="15.75"/>
  <cols>
    <col min="1" max="1" width="20.7109375" style="9" customWidth="1"/>
    <col min="2" max="9" width="11.7109375" style="9" customWidth="1"/>
    <col min="10" max="10" width="12.42578125" style="9" bestFit="1" customWidth="1"/>
    <col min="11" max="14" width="13.7109375" style="9" bestFit="1" customWidth="1"/>
    <col min="15" max="15" width="12.42578125" style="9" bestFit="1" customWidth="1"/>
    <col min="16" max="28" width="13.7109375" style="9" bestFit="1" customWidth="1"/>
    <col min="29" max="29" width="12.42578125" style="9" bestFit="1" customWidth="1"/>
    <col min="30" max="16384" width="9.140625" style="9"/>
  </cols>
  <sheetData>
    <row r="1" spans="1:29">
      <c r="A1" s="147" t="str">
        <f>CONCATENATE("Segment:  ",State,", Single Family, ", SpaceHeat, ", ", TankSize,", ", StartWH, " is starting water heater")</f>
        <v>Segment:  Montana, Single Family, Gas FAF, &gt;55 Gallons, Electric Resistance is starting water heater</v>
      </c>
    </row>
    <row r="3" spans="1:29">
      <c r="A3" s="12" t="s">
        <v>40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>
      <c r="A4" s="38" t="str">
        <f>'Device Energy Use'!A4</f>
        <v>Water Heat Ending</v>
      </c>
      <c r="B4" s="39">
        <f>'Levelized Costs'!B4</f>
        <v>2014</v>
      </c>
      <c r="C4" s="39">
        <f>'Levelized Costs'!C4</f>
        <v>2015</v>
      </c>
      <c r="D4" s="39">
        <f>'Levelized Costs'!D4</f>
        <v>2016</v>
      </c>
      <c r="E4" s="39">
        <f>'Levelized Costs'!E4</f>
        <v>2017</v>
      </c>
      <c r="F4" s="39">
        <f>'Levelized Costs'!F4</f>
        <v>2018</v>
      </c>
      <c r="G4" s="39">
        <f>'Levelized Costs'!G4</f>
        <v>2019</v>
      </c>
      <c r="H4" s="39">
        <f>'Levelized Costs'!H4</f>
        <v>2020</v>
      </c>
      <c r="I4" s="39">
        <f>'Levelized Costs'!I4</f>
        <v>2021</v>
      </c>
      <c r="J4" s="39">
        <f>'Levelized Costs'!J4</f>
        <v>2022</v>
      </c>
      <c r="K4" s="39">
        <f>'Levelized Costs'!K4</f>
        <v>2023</v>
      </c>
      <c r="L4" s="39">
        <f>'Levelized Costs'!L4</f>
        <v>2024</v>
      </c>
      <c r="M4" s="39">
        <f>'Levelized Costs'!M4</f>
        <v>2025</v>
      </c>
      <c r="N4" s="39">
        <f>'Levelized Costs'!N4</f>
        <v>2026</v>
      </c>
      <c r="O4" s="39">
        <f>'Levelized Costs'!O4</f>
        <v>2027</v>
      </c>
      <c r="P4" s="39">
        <f>'Levelized Costs'!P4</f>
        <v>2028</v>
      </c>
      <c r="Q4" s="39">
        <f>'Levelized Costs'!Q4</f>
        <v>2029</v>
      </c>
      <c r="R4" s="39">
        <f>'Levelized Costs'!R4</f>
        <v>2030</v>
      </c>
      <c r="S4" s="39">
        <f>'Levelized Costs'!S4</f>
        <v>2031</v>
      </c>
      <c r="T4" s="39">
        <f>'Levelized Costs'!T4</f>
        <v>2032</v>
      </c>
      <c r="U4" s="39">
        <f>'Levelized Costs'!U4</f>
        <v>2033</v>
      </c>
      <c r="V4" s="39">
        <f>'Levelized Costs'!V4</f>
        <v>2034</v>
      </c>
      <c r="W4" s="39">
        <f>'Levelized Costs'!W4</f>
        <v>2035</v>
      </c>
    </row>
    <row r="5" spans="1:29">
      <c r="A5" s="9" t="str">
        <f>+'Total Allocation Weight'!A5</f>
        <v>Electric Resistance</v>
      </c>
      <c r="B5" s="130">
        <f>EXP('Non-Price Factors'!B10+VarianceFactor*LN('Levelized Costs'!B5/'Levelized Costs'!B$5))</f>
        <v>22026.465794806718</v>
      </c>
      <c r="C5" s="130">
        <f>EXP('Non-Price Factors'!C10+VarianceFactor*LN('Levelized Costs'!C5/'Levelized Costs'!C$5))</f>
        <v>4.5399929762484854E-5</v>
      </c>
      <c r="D5" s="130">
        <f>EXP('Non-Price Factors'!D10+VarianceFactor*LN('Levelized Costs'!D5/'Levelized Costs'!D$5))</f>
        <v>4.5399929762484854E-5</v>
      </c>
      <c r="E5" s="130">
        <f>EXP('Non-Price Factors'!E10+VarianceFactor*LN('Levelized Costs'!E5/'Levelized Costs'!E$5))</f>
        <v>4.5399929762484854E-5</v>
      </c>
      <c r="F5" s="130">
        <f>EXP('Non-Price Factors'!F10+VarianceFactor*LN('Levelized Costs'!F5/'Levelized Costs'!F$5))</f>
        <v>4.5399929762484854E-5</v>
      </c>
      <c r="G5" s="130">
        <f>EXP('Non-Price Factors'!G10+VarianceFactor*LN('Levelized Costs'!G5/'Levelized Costs'!G$5))</f>
        <v>4.5399929762484854E-5</v>
      </c>
      <c r="H5" s="130">
        <f>EXP('Non-Price Factors'!H10+VarianceFactor*LN('Levelized Costs'!H5/'Levelized Costs'!H$5))</f>
        <v>4.5399929762484854E-5</v>
      </c>
      <c r="I5" s="130">
        <f>EXP('Non-Price Factors'!I10+VarianceFactor*LN('Levelized Costs'!I5/'Levelized Costs'!I$5))</f>
        <v>4.5399929762484854E-5</v>
      </c>
      <c r="J5" s="130">
        <f>EXP('Non-Price Factors'!J10+VarianceFactor*LN('Levelized Costs'!J5/'Levelized Costs'!J$5))</f>
        <v>4.5399929762484854E-5</v>
      </c>
      <c r="K5" s="130">
        <f>EXP('Non-Price Factors'!K10+VarianceFactor*LN('Levelized Costs'!K5/'Levelized Costs'!K$5))</f>
        <v>4.5399929762484854E-5</v>
      </c>
      <c r="L5" s="130">
        <f>EXP('Non-Price Factors'!L10+VarianceFactor*LN('Levelized Costs'!L5/'Levelized Costs'!L$5))</f>
        <v>4.5399929762484854E-5</v>
      </c>
      <c r="M5" s="130">
        <f>EXP('Non-Price Factors'!M10+VarianceFactor*LN('Levelized Costs'!M5/'Levelized Costs'!M$5))</f>
        <v>4.5399929762484854E-5</v>
      </c>
      <c r="N5" s="130">
        <f>EXP('Non-Price Factors'!N10+VarianceFactor*LN('Levelized Costs'!N5/'Levelized Costs'!N$5))</f>
        <v>4.5399929762484854E-5</v>
      </c>
      <c r="O5" s="130">
        <f>EXP('Non-Price Factors'!O10+VarianceFactor*LN('Levelized Costs'!O5/'Levelized Costs'!O$5))</f>
        <v>4.5399929762484854E-5</v>
      </c>
      <c r="P5" s="130">
        <f>EXP('Non-Price Factors'!P10+VarianceFactor*LN('Levelized Costs'!P5/'Levelized Costs'!P$5))</f>
        <v>4.5399929762484854E-5</v>
      </c>
      <c r="Q5" s="130">
        <f>EXP('Non-Price Factors'!Q10+VarianceFactor*LN('Levelized Costs'!Q5/'Levelized Costs'!Q$5))</f>
        <v>4.5399929762484854E-5</v>
      </c>
      <c r="R5" s="130">
        <f>EXP('Non-Price Factors'!R10+VarianceFactor*LN('Levelized Costs'!R5/'Levelized Costs'!R$5))</f>
        <v>4.5399929762484854E-5</v>
      </c>
      <c r="S5" s="130">
        <f>EXP('Non-Price Factors'!S10+VarianceFactor*LN('Levelized Costs'!S5/'Levelized Costs'!S$5))</f>
        <v>4.5399929762484854E-5</v>
      </c>
      <c r="T5" s="130">
        <f>EXP('Non-Price Factors'!T10+VarianceFactor*LN('Levelized Costs'!T5/'Levelized Costs'!T$5))</f>
        <v>4.5399929762484854E-5</v>
      </c>
      <c r="U5" s="130">
        <f>EXP('Non-Price Factors'!U10+VarianceFactor*LN('Levelized Costs'!U5/'Levelized Costs'!U$5))</f>
        <v>4.5399929762484854E-5</v>
      </c>
      <c r="V5" s="130">
        <f>EXP('Non-Price Factors'!V10+VarianceFactor*LN('Levelized Costs'!V5/'Levelized Costs'!V$5))</f>
        <v>4.5399929762484854E-5</v>
      </c>
      <c r="W5" s="130">
        <f>EXP('Non-Price Factors'!W10+VarianceFactor*LN('Levelized Costs'!W5/'Levelized Costs'!W$5))</f>
        <v>4.5399929762484854E-5</v>
      </c>
    </row>
    <row r="6" spans="1:29">
      <c r="A6" s="9" t="str">
        <f>+'Total Allocation Weight'!A6</f>
        <v>HPWH</v>
      </c>
      <c r="B6" s="130">
        <f>EXP('Non-Price Factors'!B11+VarianceFactor*LN('Levelized Costs'!B6/'Levelized Costs'!B$5))</f>
        <v>1.3449592177951191</v>
      </c>
      <c r="C6" s="130">
        <f>EXP('Non-Price Factors'!C11+VarianceFactor*LN('Levelized Costs'!C6/'Levelized Costs'!C$5))</f>
        <v>1.3576970211175545</v>
      </c>
      <c r="D6" s="130">
        <f>EXP('Non-Price Factors'!D11+VarianceFactor*LN('Levelized Costs'!D6/'Levelized Costs'!D$5))</f>
        <v>1.3704950956506206</v>
      </c>
      <c r="E6" s="130">
        <f>EXP('Non-Price Factors'!E11+VarianceFactor*LN('Levelized Costs'!E6/'Levelized Costs'!E$5))</f>
        <v>1.3833523351366281</v>
      </c>
      <c r="F6" s="130">
        <f>EXP('Non-Price Factors'!F11+VarianceFactor*LN('Levelized Costs'!F6/'Levelized Costs'!F$5))</f>
        <v>1.3962676132746159</v>
      </c>
      <c r="G6" s="130">
        <f>EXP('Non-Price Factors'!G11+VarianceFactor*LN('Levelized Costs'!G6/'Levelized Costs'!G$5))</f>
        <v>1.4092397841269173</v>
      </c>
      <c r="H6" s="130">
        <f>EXP('Non-Price Factors'!H11+VarianceFactor*LN('Levelized Costs'!H6/'Levelized Costs'!H$5))</f>
        <v>1.4222676825398717</v>
      </c>
      <c r="I6" s="130">
        <f>EXP('Non-Price Factors'!I11+VarianceFactor*LN('Levelized Costs'!I6/'Levelized Costs'!I$5))</f>
        <v>1.4353501245783182</v>
      </c>
      <c r="J6" s="130">
        <f>EXP('Non-Price Factors'!J11+VarianceFactor*LN('Levelized Costs'!J6/'Levelized Costs'!J$5))</f>
        <v>1.4484859079735362</v>
      </c>
      <c r="K6" s="130">
        <f>EXP('Non-Price Factors'!K11+VarianceFactor*LN('Levelized Costs'!K6/'Levelized Costs'!K$5))</f>
        <v>1.4616738125842486</v>
      </c>
      <c r="L6" s="130">
        <f>EXP('Non-Price Factors'!L11+VarianceFactor*LN('Levelized Costs'!L6/'Levelized Costs'!L$5))</f>
        <v>1.4749126008703</v>
      </c>
      <c r="M6" s="130">
        <f>EXP('Non-Price Factors'!M11+VarianceFactor*LN('Levelized Costs'!M6/'Levelized Costs'!M$5))</f>
        <v>1.4882010183786085</v>
      </c>
      <c r="N6" s="130">
        <f>EXP('Non-Price Factors'!N11+VarianceFactor*LN('Levelized Costs'!N6/'Levelized Costs'!N$5))</f>
        <v>1.5015377942409691</v>
      </c>
      <c r="O6" s="130">
        <f>EXP('Non-Price Factors'!O11+VarianceFactor*LN('Levelized Costs'!O6/'Levelized Costs'!O$5))</f>
        <v>1.5149216416832854</v>
      </c>
      <c r="P6" s="130">
        <f>EXP('Non-Price Factors'!P11+VarianceFactor*LN('Levelized Costs'!P6/'Levelized Costs'!P$5))</f>
        <v>1.5283512585457666</v>
      </c>
      <c r="Q6" s="130">
        <f>EXP('Non-Price Factors'!Q11+VarianceFactor*LN('Levelized Costs'!Q6/'Levelized Costs'!Q$5))</f>
        <v>1.5418253278136504</v>
      </c>
      <c r="R6" s="130">
        <f>EXP('Non-Price Factors'!R11+VarianceFactor*LN('Levelized Costs'!R6/'Levelized Costs'!R$5))</f>
        <v>1.5553425181579601</v>
      </c>
      <c r="S6" s="130">
        <f>EXP('Non-Price Factors'!S11+VarianceFactor*LN('Levelized Costs'!S6/'Levelized Costs'!S$5))</f>
        <v>1.5689014844858336</v>
      </c>
      <c r="T6" s="130">
        <f>EXP('Non-Price Factors'!T11+VarianceFactor*LN('Levelized Costs'!T6/'Levelized Costs'!T$5))</f>
        <v>1.5825008684999209</v>
      </c>
      <c r="U6" s="130">
        <f>EXP('Non-Price Factors'!U11+VarianceFactor*LN('Levelized Costs'!U6/'Levelized Costs'!U$5))</f>
        <v>1.5961392992663384</v>
      </c>
      <c r="V6" s="130">
        <f>EXP('Non-Price Factors'!V11+VarianceFactor*LN('Levelized Costs'!V6/'Levelized Costs'!V$5))</f>
        <v>1.6098153937906974</v>
      </c>
      <c r="W6" s="130">
        <f>EXP('Non-Price Factors'!W11+VarianceFactor*LN('Levelized Costs'!W6/'Levelized Costs'!W$5))</f>
        <v>1.6235277576016429</v>
      </c>
    </row>
    <row r="7" spans="1:29">
      <c r="A7" s="9" t="str">
        <f>+'Total Allocation Weight'!A7</f>
        <v>Gas Tank</v>
      </c>
      <c r="B7" s="130">
        <f>EXP('Non-Price Factors'!B12+VarianceFactor*LN('Levelized Costs'!B7/'Levelized Costs'!B$5))</f>
        <v>1.733509926518252E-4</v>
      </c>
      <c r="C7" s="130">
        <f>EXP('Non-Price Factors'!C12+VarianceFactor*LN('Levelized Costs'!C7/'Levelized Costs'!C$5))</f>
        <v>1.7405788697605101E-4</v>
      </c>
      <c r="D7" s="130">
        <f>EXP('Non-Price Factors'!D12+VarianceFactor*LN('Levelized Costs'!D7/'Levelized Costs'!D$5))</f>
        <v>1.7475550869960248E-4</v>
      </c>
      <c r="E7" s="130">
        <f>EXP('Non-Price Factors'!E12+VarianceFactor*LN('Levelized Costs'!E7/'Levelized Costs'!E$5))</f>
        <v>1.7544371504462736E-4</v>
      </c>
      <c r="F7" s="130">
        <f>EXP('Non-Price Factors'!F12+VarianceFactor*LN('Levelized Costs'!F7/'Levelized Costs'!F$5))</f>
        <v>1.7612236682599394E-4</v>
      </c>
      <c r="G7" s="130">
        <f>EXP('Non-Price Factors'!G12+VarianceFactor*LN('Levelized Costs'!G7/'Levelized Costs'!G$5))</f>
        <v>1.7679132852003299E-4</v>
      </c>
      <c r="H7" s="130">
        <f>EXP('Non-Price Factors'!H12+VarianceFactor*LN('Levelized Costs'!H7/'Levelized Costs'!H$5))</f>
        <v>1.7745046832980032E-4</v>
      </c>
      <c r="I7" s="130">
        <f>EXP('Non-Price Factors'!I12+VarianceFactor*LN('Levelized Costs'!I7/'Levelized Costs'!I$5))</f>
        <v>1.7809965824679814E-4</v>
      </c>
      <c r="J7" s="130">
        <f>EXP('Non-Price Factors'!J12+VarianceFactor*LN('Levelized Costs'!J7/'Levelized Costs'!J$5))</f>
        <v>1.7873877410911853E-4</v>
      </c>
      <c r="K7" s="130">
        <f>EXP('Non-Price Factors'!K12+VarianceFactor*LN('Levelized Costs'!K7/'Levelized Costs'!K$5))</f>
        <v>1.7936769565596783E-4</v>
      </c>
      <c r="L7" s="130">
        <f>EXP('Non-Price Factors'!L12+VarianceFactor*LN('Levelized Costs'!L7/'Levelized Costs'!L$5))</f>
        <v>1.7998630657853386E-4</v>
      </c>
      <c r="M7" s="130">
        <f>EXP('Non-Price Factors'!M12+VarianceFactor*LN('Levelized Costs'!M7/'Levelized Costs'!M$5))</f>
        <v>1.8059449456717832E-4</v>
      </c>
      <c r="N7" s="130">
        <f>EXP('Non-Price Factors'!N12+VarianceFactor*LN('Levelized Costs'!N7/'Levelized Costs'!N$5))</f>
        <v>1.8119215135492517E-4</v>
      </c>
      <c r="O7" s="130">
        <f>EXP('Non-Price Factors'!O12+VarianceFactor*LN('Levelized Costs'!O7/'Levelized Costs'!O$5))</f>
        <v>1.8177917275723202E-4</v>
      </c>
      <c r="P7" s="130">
        <f>EXP('Non-Price Factors'!P12+VarianceFactor*LN('Levelized Costs'!P7/'Levelized Costs'!P$5))</f>
        <v>1.8235545870803625E-4</v>
      </c>
      <c r="Q7" s="130">
        <f>EXP('Non-Price Factors'!Q12+VarianceFactor*LN('Levelized Costs'!Q7/'Levelized Costs'!Q$5))</f>
        <v>1.829209132920713E-4</v>
      </c>
      <c r="R7" s="130">
        <f>EXP('Non-Price Factors'!R12+VarianceFactor*LN('Levelized Costs'!R7/'Levelized Costs'!R$5))</f>
        <v>1.8347544477345253E-4</v>
      </c>
      <c r="S7" s="130">
        <f>EXP('Non-Price Factors'!S12+VarianceFactor*LN('Levelized Costs'!S7/'Levelized Costs'!S$5))</f>
        <v>1.840189656205425E-4</v>
      </c>
      <c r="T7" s="130">
        <f>EXP('Non-Price Factors'!T12+VarianceFactor*LN('Levelized Costs'!T7/'Levelized Costs'!T$5))</f>
        <v>1.8455139252710685E-4</v>
      </c>
      <c r="U7" s="130">
        <f>EXP('Non-Price Factors'!U12+VarianceFactor*LN('Levelized Costs'!U7/'Levelized Costs'!U$5))</f>
        <v>1.8507264642978063E-4</v>
      </c>
      <c r="V7" s="130">
        <f>EXP('Non-Price Factors'!V12+VarianceFactor*LN('Levelized Costs'!V7/'Levelized Costs'!V$5))</f>
        <v>1.8558265252186662E-4</v>
      </c>
      <c r="W7" s="130">
        <f>EXP('Non-Price Factors'!W12+VarianceFactor*LN('Levelized Costs'!W7/'Levelized Costs'!W$5))</f>
        <v>1.8608134026349305E-4</v>
      </c>
    </row>
    <row r="8" spans="1:29">
      <c r="A8" s="9" t="str">
        <f>+'Total Allocation Weight'!A8</f>
        <v>Instant Gas</v>
      </c>
      <c r="B8" s="130">
        <f>EXP('Non-Price Factors'!B13+VarianceFactor*LN('Levelized Costs'!B8/'Levelized Costs'!B$5))</f>
        <v>0.48677195616074981</v>
      </c>
      <c r="C8" s="130">
        <f>EXP('Non-Price Factors'!C13+VarianceFactor*LN('Levelized Costs'!C8/'Levelized Costs'!C$5))</f>
        <v>0.49535095020749098</v>
      </c>
      <c r="D8" s="130">
        <f>EXP('Non-Price Factors'!D13+VarianceFactor*LN('Levelized Costs'!D8/'Levelized Costs'!D$5))</f>
        <v>0.50406327973071141</v>
      </c>
      <c r="E8" s="130">
        <f>EXP('Non-Price Factors'!E13+VarianceFactor*LN('Levelized Costs'!E8/'Levelized Costs'!E$5))</f>
        <v>0.51291006073561685</v>
      </c>
      <c r="F8" s="130">
        <f>EXP('Non-Price Factors'!F13+VarianceFactor*LN('Levelized Costs'!F8/'Levelized Costs'!F$5))</f>
        <v>0.52189238376388825</v>
      </c>
      <c r="G8" s="130">
        <f>EXP('Non-Price Factors'!G13+VarianceFactor*LN('Levelized Costs'!G8/'Levelized Costs'!G$5))</f>
        <v>0.53101131251962874</v>
      </c>
      <c r="H8" s="130">
        <f>EXP('Non-Price Factors'!H13+VarianceFactor*LN('Levelized Costs'!H8/'Levelized Costs'!H$5))</f>
        <v>0.54026788247761293</v>
      </c>
      <c r="I8" s="130">
        <f>EXP('Non-Price Factors'!I13+VarianceFactor*LN('Levelized Costs'!I8/'Levelized Costs'!I$5))</f>
        <v>0.54966309947490422</v>
      </c>
      <c r="J8" s="130">
        <f>EXP('Non-Price Factors'!J13+VarianceFactor*LN('Levelized Costs'!J8/'Levelized Costs'!J$5))</f>
        <v>0.5591979382869614</v>
      </c>
      <c r="K8" s="130">
        <f>EXP('Non-Price Factors'!K13+VarianceFactor*LN('Levelized Costs'!K8/'Levelized Costs'!K$5))</f>
        <v>0.56887334118942767</v>
      </c>
      <c r="L8" s="130">
        <f>EXP('Non-Price Factors'!L13+VarianceFactor*LN('Levelized Costs'!L8/'Levelized Costs'!L$5))</f>
        <v>0.57869021650684349</v>
      </c>
      <c r="M8" s="130">
        <f>EXP('Non-Price Factors'!M13+VarianceFactor*LN('Levelized Costs'!M8/'Levelized Costs'!M$5))</f>
        <v>0.58864943714960916</v>
      </c>
      <c r="N8" s="130">
        <f>EXP('Non-Price Factors'!N13+VarianceFactor*LN('Levelized Costs'!N8/'Levelized Costs'!N$5))</f>
        <v>0.59875183914056318</v>
      </c>
      <c r="O8" s="130">
        <f>EXP('Non-Price Factors'!O13+VarianceFactor*LN('Levelized Costs'!O8/'Levelized Costs'!O$5))</f>
        <v>0.60899822013262328</v>
      </c>
      <c r="P8" s="130">
        <f>EXP('Non-Price Factors'!P13+VarianceFactor*LN('Levelized Costs'!P8/'Levelized Costs'!P$5))</f>
        <v>0.61938933791898554</v>
      </c>
      <c r="Q8" s="130">
        <f>EXP('Non-Price Factors'!Q13+VarianceFactor*LN('Levelized Costs'!Q8/'Levelized Costs'!Q$5))</f>
        <v>0.62992590893744704</v>
      </c>
      <c r="R8" s="130">
        <f>EXP('Non-Price Factors'!R13+VarianceFactor*LN('Levelized Costs'!R8/'Levelized Costs'!R$5))</f>
        <v>0.64060860677047426</v>
      </c>
      <c r="S8" s="130">
        <f>EXP('Non-Price Factors'!S13+VarianceFactor*LN('Levelized Costs'!S8/'Levelized Costs'!S$5))</f>
        <v>0.65143806064269849</v>
      </c>
      <c r="T8" s="130">
        <f>EXP('Non-Price Factors'!T13+VarianceFactor*LN('Levelized Costs'!T8/'Levelized Costs'!T$5))</f>
        <v>0.66241485391758281</v>
      </c>
      <c r="U8" s="130">
        <f>EXP('Non-Price Factors'!U13+VarianceFactor*LN('Levelized Costs'!U8/'Levelized Costs'!U$5))</f>
        <v>0.67353952259504946</v>
      </c>
      <c r="V8" s="130">
        <f>EXP('Non-Price Factors'!V13+VarianceFactor*LN('Levelized Costs'!V8/'Levelized Costs'!V$5))</f>
        <v>0.68481255381193284</v>
      </c>
      <c r="W8" s="130">
        <f>EXP('Non-Price Factors'!W13+VarianceFactor*LN('Levelized Costs'!W8/'Levelized Costs'!W$5))</f>
        <v>0.69623438434715235</v>
      </c>
    </row>
    <row r="9" spans="1:29">
      <c r="A9" s="9" t="str">
        <f>+'Total Allocation Weight'!A9</f>
        <v>Condensing Gas</v>
      </c>
      <c r="B9" s="130">
        <f>EXP('Non-Price Factors'!B14+VarianceFactor*LN('Levelized Costs'!B9/'Levelized Costs'!B$5))</f>
        <v>1.2416929474704357</v>
      </c>
      <c r="C9" s="130">
        <f>EXP('Non-Price Factors'!C14+VarianceFactor*LN('Levelized Costs'!C9/'Levelized Costs'!C$5))</f>
        <v>1.2582790561520352</v>
      </c>
      <c r="D9" s="130">
        <f>EXP('Non-Price Factors'!D14+VarianceFactor*LN('Levelized Costs'!D9/'Levelized Costs'!D$5))</f>
        <v>1.2750063614187088</v>
      </c>
      <c r="E9" s="130">
        <f>EXP('Non-Price Factors'!E14+VarianceFactor*LN('Levelized Costs'!E9/'Levelized Costs'!E$5))</f>
        <v>1.2918733411815639</v>
      </c>
      <c r="F9" s="130">
        <f>EXP('Non-Price Factors'!F14+VarianceFactor*LN('Levelized Costs'!F9/'Levelized Costs'!F$5))</f>
        <v>1.308878390171166</v>
      </c>
      <c r="G9" s="130">
        <f>EXP('Non-Price Factors'!G14+VarianceFactor*LN('Levelized Costs'!G9/'Levelized Costs'!G$5))</f>
        <v>1.3260198194928257</v>
      </c>
      <c r="H9" s="130">
        <f>EXP('Non-Price Factors'!H14+VarianceFactor*LN('Levelized Costs'!H9/'Levelized Costs'!H$5))</f>
        <v>1.3432958562512249</v>
      </c>
      <c r="I9" s="130">
        <f>EXP('Non-Price Factors'!I14+VarianceFactor*LN('Levelized Costs'!I9/'Levelized Costs'!I$5))</f>
        <v>1.3607046432462457</v>
      </c>
      <c r="J9" s="130">
        <f>EXP('Non-Price Factors'!J14+VarianceFactor*LN('Levelized Costs'!J9/'Levelized Costs'!J$5))</f>
        <v>1.3782442387417801</v>
      </c>
      <c r="K9" s="130">
        <f>EXP('Non-Price Factors'!K14+VarianceFactor*LN('Levelized Costs'!K9/'Levelized Costs'!K$5))</f>
        <v>1.3959126163092361</v>
      </c>
      <c r="L9" s="130">
        <f>EXP('Non-Price Factors'!L14+VarianceFactor*LN('Levelized Costs'!L9/'Levelized Costs'!L$5))</f>
        <v>1.413707664747363</v>
      </c>
      <c r="M9" s="130">
        <f>EXP('Non-Price Factors'!M14+VarianceFactor*LN('Levelized Costs'!M9/'Levelized Costs'!M$5))</f>
        <v>1.4316271880799063</v>
      </c>
      <c r="N9" s="130">
        <f>EXP('Non-Price Factors'!N14+VarianceFactor*LN('Levelized Costs'!N9/'Levelized Costs'!N$5))</f>
        <v>1.449668905632548</v>
      </c>
      <c r="O9" s="130">
        <f>EXP('Non-Price Factors'!O14+VarianceFactor*LN('Levelized Costs'!O9/'Levelized Costs'!O$5))</f>
        <v>1.4678304521904357</v>
      </c>
      <c r="P9" s="130">
        <f>EXP('Non-Price Factors'!P14+VarianceFactor*LN('Levelized Costs'!P9/'Levelized Costs'!P$5))</f>
        <v>1.4861093782375399</v>
      </c>
      <c r="Q9" s="130">
        <f>EXP('Non-Price Factors'!Q14+VarianceFactor*LN('Levelized Costs'!Q9/'Levelized Costs'!Q$5))</f>
        <v>1.5045031502789394</v>
      </c>
      <c r="R9" s="130">
        <f>EXP('Non-Price Factors'!R14+VarianceFactor*LN('Levelized Costs'!R9/'Levelized Costs'!R$5))</f>
        <v>1.5230091512470314</v>
      </c>
      <c r="S9" s="130">
        <f>EXP('Non-Price Factors'!S14+VarianceFactor*LN('Levelized Costs'!S9/'Levelized Costs'!S$5))</f>
        <v>1.5416246809925414</v>
      </c>
      <c r="T9" s="130">
        <f>EXP('Non-Price Factors'!T14+VarianceFactor*LN('Levelized Costs'!T9/'Levelized Costs'!T$5))</f>
        <v>1.5603469568610797</v>
      </c>
      <c r="U9" s="130">
        <f>EXP('Non-Price Factors'!U14+VarianceFactor*LN('Levelized Costs'!U9/'Levelized Costs'!U$5))</f>
        <v>1.579173114355864</v>
      </c>
      <c r="V9" s="130">
        <f>EXP('Non-Price Factors'!V14+VarianceFactor*LN('Levelized Costs'!V9/'Levelized Costs'!V$5))</f>
        <v>1.5981002078871052</v>
      </c>
      <c r="W9" s="130">
        <f>EXP('Non-Price Factors'!W14+VarianceFactor*LN('Levelized Costs'!W9/'Levelized Costs'!W$5))</f>
        <v>1.6171252116083996</v>
      </c>
    </row>
    <row r="10" spans="1:29">
      <c r="A10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45"/>
  <sheetViews>
    <sheetView workbookViewId="0">
      <selection activeCell="C5" sqref="C5"/>
    </sheetView>
  </sheetViews>
  <sheetFormatPr defaultColWidth="9.140625" defaultRowHeight="15.75"/>
  <cols>
    <col min="1" max="1" width="4.140625" style="9" customWidth="1"/>
    <col min="2" max="2" width="46" style="9" customWidth="1"/>
    <col min="3" max="3" width="15.5703125" style="9" customWidth="1"/>
    <col min="4" max="7" width="12.7109375" style="9" customWidth="1"/>
    <col min="8" max="25" width="14.7109375" style="9" bestFit="1" customWidth="1"/>
    <col min="26" max="27" width="10.5703125" style="9" bestFit="1" customWidth="1"/>
    <col min="28" max="16384" width="9.140625" style="9"/>
  </cols>
  <sheetData>
    <row r="1" spans="1:6">
      <c r="A1" s="147" t="str">
        <f>CONCATENATE("Segment:  ",State,", Single Family, ", SpaceHeat, ", ", TankSize,", ", StartWH, " is starting water heater")</f>
        <v>Segment:  Montana, Single Family, Gas FAF, &gt;55 Gallons, Electric Resistance is starting water heater</v>
      </c>
    </row>
    <row r="3" spans="1:6" ht="31.5" customHeight="1">
      <c r="B3" s="184" t="str">
        <f>CONCATENATE("Marginal Market Shares (%) - ",State,", Single Family, ", SpaceHeat, ", ", TankSize,", ", StartWH, " is starting water heater")</f>
        <v>Marginal Market Shares (%) - Montana, Single Family, Gas FAF, &gt;55 Gallons, Electric Resistance is starting water heater</v>
      </c>
      <c r="C3" s="185"/>
      <c r="D3" s="185"/>
      <c r="E3" s="185"/>
      <c r="F3" s="185"/>
    </row>
    <row r="4" spans="1:6" ht="47.25">
      <c r="B4" s="80" t="s">
        <v>78</v>
      </c>
      <c r="C4" s="88" t="s">
        <v>109</v>
      </c>
      <c r="D4" s="88" t="s">
        <v>79</v>
      </c>
      <c r="E4" s="88" t="s">
        <v>100</v>
      </c>
      <c r="F4" s="93" t="s">
        <v>76</v>
      </c>
    </row>
    <row r="5" spans="1:6">
      <c r="B5" s="82" t="str">
        <f>'Marginal Market Share'!A5</f>
        <v>Electric Resistance</v>
      </c>
      <c r="C5" s="83">
        <f>'Marginal Market Share'!B5</f>
        <v>0.99986047835963832</v>
      </c>
      <c r="D5" s="83">
        <f>'Marginal Market Share'!W5</f>
        <v>1.1531257162187541E-5</v>
      </c>
      <c r="E5" s="83">
        <f>'Marginal Market Share'!W13</f>
        <v>0</v>
      </c>
      <c r="F5" s="84">
        <f>E5-D5</f>
        <v>-1.1531257162187541E-5</v>
      </c>
    </row>
    <row r="6" spans="1:6">
      <c r="B6" s="82" t="str">
        <f>'Marginal Market Share'!A6</f>
        <v>HPWH</v>
      </c>
      <c r="C6" s="83">
        <f>'Marginal Market Share'!B6</f>
        <v>6.1052534682885706E-5</v>
      </c>
      <c r="D6" s="83">
        <f>'Marginal Market Share'!W6</f>
        <v>0.41236442833275339</v>
      </c>
      <c r="E6" s="83">
        <f>'Marginal Market Share'!W14</f>
        <v>1</v>
      </c>
      <c r="F6" s="84">
        <f>E6-D6</f>
        <v>0.58763557166724656</v>
      </c>
    </row>
    <row r="7" spans="1:6">
      <c r="B7" s="82" t="str">
        <f>'Marginal Market Share'!A7</f>
        <v>Gas Tank</v>
      </c>
      <c r="C7" s="83">
        <f>'Marginal Market Share'!B7</f>
        <v>7.869024838194339E-9</v>
      </c>
      <c r="D7" s="83">
        <f>'Marginal Market Share'!W7</f>
        <v>4.7263328355101374E-5</v>
      </c>
      <c r="E7" s="83">
        <f>'Marginal Market Share'!W15</f>
        <v>0</v>
      </c>
      <c r="F7" s="84">
        <f>E7-D7</f>
        <v>-4.7263328355101374E-5</v>
      </c>
    </row>
    <row r="8" spans="1:6">
      <c r="B8" s="82" t="str">
        <f>'Marginal Market Share'!A8</f>
        <v>Instant Gas</v>
      </c>
      <c r="C8" s="83">
        <f>'Marginal Market Share'!B8</f>
        <v>2.2096329273745615E-5</v>
      </c>
      <c r="D8" s="83">
        <f>'Marginal Market Share'!W8</f>
        <v>0.17683854959834008</v>
      </c>
      <c r="E8" s="83">
        <f>'Marginal Market Share'!W16</f>
        <v>0</v>
      </c>
      <c r="F8" s="84">
        <f>E8-D8</f>
        <v>-0.17683854959834008</v>
      </c>
    </row>
    <row r="9" spans="1:6">
      <c r="B9" s="85" t="str">
        <f>'Marginal Market Share'!A9</f>
        <v>Condensing Gas</v>
      </c>
      <c r="C9" s="86">
        <f>'Marginal Market Share'!B9</f>
        <v>5.6364907380025437E-5</v>
      </c>
      <c r="D9" s="86">
        <f>'Marginal Market Share'!W9</f>
        <v>0.41073822748338934</v>
      </c>
      <c r="E9" s="86">
        <f>'Marginal Market Share'!W17</f>
        <v>0</v>
      </c>
      <c r="F9" s="87">
        <f>E9-D9</f>
        <v>-0.41073822748338934</v>
      </c>
    </row>
    <row r="10" spans="1:6">
      <c r="B10" s="96"/>
      <c r="C10" s="83"/>
      <c r="D10" s="83"/>
      <c r="E10" s="83"/>
    </row>
    <row r="11" spans="1:6" ht="30.75" customHeight="1">
      <c r="B11" s="184" t="str">
        <f>CONCATENATE("Average Market Shares by Scenario (%) - ",State,", Single Family, ", SpaceHeat, ", ", TankSize,", ", StartWH, " is starting water heater")</f>
        <v>Average Market Shares by Scenario (%) - Montana, Single Family, Gas FAF, &gt;55 Gallons, Electric Resistance is starting water heater</v>
      </c>
      <c r="C11" s="185"/>
      <c r="D11" s="185"/>
      <c r="E11" s="185"/>
      <c r="F11" s="185"/>
    </row>
    <row r="12" spans="1:6" ht="47.25">
      <c r="B12" s="80" t="s">
        <v>78</v>
      </c>
      <c r="C12" s="88" t="s">
        <v>109</v>
      </c>
      <c r="D12" s="88" t="s">
        <v>79</v>
      </c>
      <c r="E12" s="88" t="s">
        <v>100</v>
      </c>
      <c r="F12" s="93" t="s">
        <v>76</v>
      </c>
    </row>
    <row r="13" spans="1:6">
      <c r="B13" s="82" t="str">
        <f>'Marginal Market Share'!A13</f>
        <v>Electric Resistance</v>
      </c>
      <c r="C13" s="83">
        <f>'Average Market Share'!B5</f>
        <v>1</v>
      </c>
      <c r="D13" s="83">
        <f>'Average Market Share'!W5</f>
        <v>0.21093182044698203</v>
      </c>
      <c r="E13" s="83">
        <f>'Average Market Share'!W13</f>
        <v>0.21092188755086905</v>
      </c>
      <c r="F13" s="84">
        <f>E13-D13</f>
        <v>-9.93289611297965E-6</v>
      </c>
    </row>
    <row r="14" spans="1:6">
      <c r="B14" s="82" t="str">
        <f>'Marginal Market Share'!A14</f>
        <v>HPWH</v>
      </c>
      <c r="C14" s="83">
        <f>'Average Market Share'!B6</f>
        <v>0</v>
      </c>
      <c r="D14" s="83">
        <f>'Average Market Share'!W6</f>
        <v>0.33227467140213379</v>
      </c>
      <c r="E14" s="83">
        <f>'Average Market Share'!W14</f>
        <v>0.78907811244913095</v>
      </c>
      <c r="F14" s="84">
        <f>E14-D14</f>
        <v>0.45680344104699716</v>
      </c>
    </row>
    <row r="15" spans="1:6">
      <c r="B15" s="82" t="str">
        <f>'Marginal Market Share'!A15</f>
        <v>Gas Tank</v>
      </c>
      <c r="C15" s="83">
        <f>'Average Market Share'!B7</f>
        <v>0</v>
      </c>
      <c r="D15" s="83">
        <f>'Average Market Share'!W7</f>
        <v>3.9760035711691253E-5</v>
      </c>
      <c r="E15" s="83">
        <f>'Average Market Share'!W15</f>
        <v>0</v>
      </c>
      <c r="F15" s="84">
        <f>E15-D15</f>
        <v>-3.9760035711691253E-5</v>
      </c>
    </row>
    <row r="16" spans="1:6">
      <c r="B16" s="82" t="str">
        <f>'Marginal Market Share'!A16</f>
        <v>Instant Gas</v>
      </c>
      <c r="C16" s="83">
        <f>'Average Market Share'!B8</f>
        <v>0</v>
      </c>
      <c r="D16" s="83">
        <f>'Average Market Share'!W8</f>
        <v>0.13427958072452148</v>
      </c>
      <c r="E16" s="83">
        <f>'Average Market Share'!W16</f>
        <v>0</v>
      </c>
      <c r="F16" s="84">
        <f>E16-D16</f>
        <v>-0.13427958072452148</v>
      </c>
    </row>
    <row r="17" spans="2:7">
      <c r="B17" s="85" t="str">
        <f>'Marginal Market Share'!A17</f>
        <v>Condensing Gas</v>
      </c>
      <c r="C17" s="86">
        <f>'Average Market Share'!B9</f>
        <v>0</v>
      </c>
      <c r="D17" s="86">
        <f>'Average Market Share'!W9</f>
        <v>0.3224741673906511</v>
      </c>
      <c r="E17" s="86">
        <f>'Average Market Share'!W17</f>
        <v>0</v>
      </c>
      <c r="F17" s="87">
        <f>E17-D17</f>
        <v>-0.3224741673906511</v>
      </c>
    </row>
    <row r="18" spans="2:7">
      <c r="B18" s="96"/>
      <c r="C18" s="83"/>
      <c r="D18" s="83"/>
      <c r="E18" s="83"/>
      <c r="F18" s="83"/>
    </row>
    <row r="19" spans="2:7" ht="31.5" customHeight="1">
      <c r="B19" s="184" t="str">
        <f>CONCATENATE("BAU Case Average Market Shares (%) - ",State,", Single Family, ", SpaceHeat, ", ", TankSize,", ", StartWH, " is starting water heater")</f>
        <v>BAU Case Average Market Shares (%) - Montana, Single Family, Gas FAF, &gt;55 Gallons, Electric Resistance is starting water heater</v>
      </c>
      <c r="C19" s="185"/>
      <c r="D19" s="185"/>
      <c r="E19" s="185"/>
      <c r="F19" s="185"/>
      <c r="G19" s="185"/>
    </row>
    <row r="20" spans="2:7">
      <c r="B20" s="80" t="s">
        <v>78</v>
      </c>
      <c r="C20" s="88">
        <v>2015</v>
      </c>
      <c r="D20" s="88">
        <v>2020</v>
      </c>
      <c r="E20" s="88">
        <v>2025</v>
      </c>
      <c r="F20" s="88">
        <v>2030</v>
      </c>
      <c r="G20" s="93">
        <v>2035</v>
      </c>
    </row>
    <row r="21" spans="2:7">
      <c r="B21" s="82" t="str">
        <f>'Average Market Share'!A5</f>
        <v>Electric Resistance</v>
      </c>
      <c r="C21" s="83">
        <f>'Average Market Share'!C5</f>
        <v>0.92857247077090754</v>
      </c>
      <c r="D21" s="83">
        <f>'Average Market Share'!H5</f>
        <v>0.64105506140109159</v>
      </c>
      <c r="E21" s="83">
        <f>'Average Market Share'!M5</f>
        <v>0.44256384954083616</v>
      </c>
      <c r="F21" s="83">
        <f>'Average Market Share'!R5</f>
        <v>0.3055329190293582</v>
      </c>
      <c r="G21" s="84">
        <f>'Average Market Share'!W5</f>
        <v>0.21093182044698203</v>
      </c>
    </row>
    <row r="22" spans="2:7">
      <c r="B22" s="82" t="str">
        <f>'Average Market Share'!A6</f>
        <v>HPWH</v>
      </c>
      <c r="C22" s="83">
        <f>'Average Market Share'!C6</f>
        <v>3.1167253682246165E-2</v>
      </c>
      <c r="D22" s="83">
        <f>'Average Market Share'!H6</f>
        <v>0.15542594758849529</v>
      </c>
      <c r="E22" s="83">
        <f>'Average Market Share'!M6</f>
        <v>0.23932416373653254</v>
      </c>
      <c r="F22" s="83">
        <f>'Average Market Share'!R6</f>
        <v>0.29538908246241952</v>
      </c>
      <c r="G22" s="84">
        <f>'Average Market Share'!W6</f>
        <v>0.33227467140213379</v>
      </c>
    </row>
    <row r="23" spans="2:7">
      <c r="B23" s="82" t="str">
        <f>'Average Market Share'!A7</f>
        <v>Gas Tank</v>
      </c>
      <c r="C23" s="83">
        <f>'Average Market Share'!C7</f>
        <v>3.9956678363431461E-6</v>
      </c>
      <c r="D23" s="83">
        <f>'Average Market Share'!H7</f>
        <v>1.963650830340362E-5</v>
      </c>
      <c r="E23" s="83">
        <f>'Average Market Share'!M7</f>
        <v>2.9744796036916236E-5</v>
      </c>
      <c r="F23" s="83">
        <f>'Average Market Share'!R7</f>
        <v>3.6053431151972992E-5</v>
      </c>
      <c r="G23" s="84">
        <f>'Average Market Share'!W7</f>
        <v>3.9760035711691253E-5</v>
      </c>
    </row>
    <row r="24" spans="2:7">
      <c r="B24" s="82" t="str">
        <f>'Average Market Share'!A8</f>
        <v>Instant Gas</v>
      </c>
      <c r="C24" s="83">
        <f>'Average Market Share'!C8</f>
        <v>1.1371262134869057E-2</v>
      </c>
      <c r="D24" s="83">
        <f>'Average Market Share'!H8</f>
        <v>5.7963499712384355E-2</v>
      </c>
      <c r="E24" s="83">
        <f>'Average Market Share'!M8</f>
        <v>9.1461247931146447E-2</v>
      </c>
      <c r="F24" s="83">
        <f>'Average Market Share'!R8</f>
        <v>0.1159584704920598</v>
      </c>
      <c r="G24" s="84">
        <f>'Average Market Share'!W8</f>
        <v>0.13427958072452148</v>
      </c>
    </row>
    <row r="25" spans="2:7">
      <c r="B25" s="85" t="str">
        <f>'Average Market Share'!A9</f>
        <v>Condensing Gas</v>
      </c>
      <c r="C25" s="86">
        <f>'Average Market Share'!C9</f>
        <v>2.8885017744140856E-2</v>
      </c>
      <c r="D25" s="86">
        <f>'Average Market Share'!H9</f>
        <v>0.14553585478972533</v>
      </c>
      <c r="E25" s="86">
        <f>'Average Market Share'!M9</f>
        <v>0.22662099399544794</v>
      </c>
      <c r="F25" s="86">
        <f>'Average Market Share'!R9</f>
        <v>0.28308347458501043</v>
      </c>
      <c r="G25" s="87">
        <f>'Average Market Share'!W9</f>
        <v>0.3224741673906511</v>
      </c>
    </row>
    <row r="26" spans="2:7">
      <c r="B26" s="96"/>
      <c r="C26" s="83"/>
      <c r="D26" s="83"/>
      <c r="E26" s="83"/>
      <c r="F26" s="83"/>
      <c r="G26" s="83"/>
    </row>
    <row r="27" spans="2:7" ht="33.75" customHeight="1">
      <c r="B27" s="184" t="str">
        <f>CONCATENATE("Least Cost Case Average Market Shares (%) - ",State,", Single Family, ", SpaceHeat, ", ", TankSize,", ", StartWH, " is starting water heater")</f>
        <v>Least Cost Case Average Market Shares (%) - Montana, Single Family, Gas FAF, &gt;55 Gallons, Electric Resistance is starting water heater</v>
      </c>
      <c r="C27" s="185"/>
      <c r="D27" s="185"/>
      <c r="E27" s="185"/>
      <c r="F27" s="185"/>
      <c r="G27" s="185"/>
    </row>
    <row r="28" spans="2:7">
      <c r="B28" s="80" t="s">
        <v>78</v>
      </c>
      <c r="C28" s="88">
        <v>2015</v>
      </c>
      <c r="D28" s="88">
        <v>2020</v>
      </c>
      <c r="E28" s="88">
        <v>2025</v>
      </c>
      <c r="F28" s="88">
        <v>2030</v>
      </c>
      <c r="G28" s="93">
        <v>2035</v>
      </c>
    </row>
    <row r="29" spans="2:7">
      <c r="B29" s="82" t="str">
        <f>'Average Market Share'!A13</f>
        <v>Electric Resistance</v>
      </c>
      <c r="C29" s="83">
        <f>'Average Market Share'!C13</f>
        <v>0.9285714285714286</v>
      </c>
      <c r="D29" s="83">
        <f>'Average Market Share'!H13</f>
        <v>0.64104999298761567</v>
      </c>
      <c r="E29" s="83">
        <f>'Average Market Share'!M13</f>
        <v>0.44255625454860842</v>
      </c>
      <c r="F29" s="83">
        <f>'Average Market Share'!R13</f>
        <v>0.30552381340385792</v>
      </c>
      <c r="G29" s="84">
        <f>'Average Market Share'!W13</f>
        <v>0.21092188755086905</v>
      </c>
    </row>
    <row r="30" spans="2:7">
      <c r="B30" s="82" t="str">
        <f>'Average Market Share'!A14</f>
        <v>HPWH</v>
      </c>
      <c r="C30" s="83">
        <f>'Average Market Share'!C14</f>
        <v>7.1428571428571425E-2</v>
      </c>
      <c r="D30" s="83">
        <f>'Average Market Share'!H14</f>
        <v>0.35895000701238428</v>
      </c>
      <c r="E30" s="83">
        <f>'Average Market Share'!M14</f>
        <v>0.55744374545139153</v>
      </c>
      <c r="F30" s="83">
        <f>'Average Market Share'!R14</f>
        <v>0.69447618659614219</v>
      </c>
      <c r="G30" s="84">
        <f>'Average Market Share'!W14</f>
        <v>0.78907811244913095</v>
      </c>
    </row>
    <row r="31" spans="2:7">
      <c r="B31" s="82" t="str">
        <f>'Average Market Share'!A15</f>
        <v>Gas Tank</v>
      </c>
      <c r="C31" s="83">
        <f>'Average Market Share'!C15</f>
        <v>0</v>
      </c>
      <c r="D31" s="83">
        <f>'Average Market Share'!H15</f>
        <v>0</v>
      </c>
      <c r="E31" s="83">
        <f>'Average Market Share'!M15</f>
        <v>0</v>
      </c>
      <c r="F31" s="83">
        <f>'Average Market Share'!R15</f>
        <v>0</v>
      </c>
      <c r="G31" s="84">
        <f>'Average Market Share'!W15</f>
        <v>0</v>
      </c>
    </row>
    <row r="32" spans="2:7">
      <c r="B32" s="82" t="str">
        <f>'Average Market Share'!A16</f>
        <v>Instant Gas</v>
      </c>
      <c r="C32" s="83">
        <f>'Average Market Share'!C16</f>
        <v>0</v>
      </c>
      <c r="D32" s="83">
        <f>'Average Market Share'!H16</f>
        <v>0</v>
      </c>
      <c r="E32" s="83">
        <f>'Average Market Share'!M16</f>
        <v>0</v>
      </c>
      <c r="F32" s="83">
        <f>'Average Market Share'!R16</f>
        <v>0</v>
      </c>
      <c r="G32" s="84">
        <f>'Average Market Share'!W16</f>
        <v>0</v>
      </c>
    </row>
    <row r="33" spans="2:7">
      <c r="B33" s="85" t="str">
        <f>'Average Market Share'!A17</f>
        <v>Condensing Gas</v>
      </c>
      <c r="C33" s="86">
        <f>'Average Market Share'!C17</f>
        <v>0</v>
      </c>
      <c r="D33" s="86">
        <f>'Average Market Share'!H17</f>
        <v>0</v>
      </c>
      <c r="E33" s="86">
        <f>'Average Market Share'!M17</f>
        <v>0</v>
      </c>
      <c r="F33" s="86">
        <f>'Average Market Share'!R17</f>
        <v>0</v>
      </c>
      <c r="G33" s="87">
        <f>'Average Market Share'!W17</f>
        <v>0</v>
      </c>
    </row>
    <row r="34" spans="2:7">
      <c r="B34" s="44"/>
      <c r="C34" s="79"/>
      <c r="D34" s="95"/>
    </row>
    <row r="35" spans="2:7" ht="34.5" customHeight="1">
      <c r="B35" s="184" t="str">
        <f>CONCATENATE("Change in Natural Gas Usage Least Cost vs BAU Case (tBtu) - ",State,", Single Family, ", SpaceHeat, ", ", TankSize,", ", StartWH, " is starting water heater")</f>
        <v>Change in Natural Gas Usage Least Cost vs BAU Case (tBtu) - Montana, Single Family, Gas FAF, &gt;55 Gallons, Electric Resistance is starting water heater</v>
      </c>
      <c r="C35" s="185"/>
      <c r="D35" s="185"/>
      <c r="E35" s="185"/>
      <c r="F35" s="185"/>
      <c r="G35" s="185"/>
    </row>
    <row r="36" spans="2:7">
      <c r="B36" s="80"/>
      <c r="C36" s="88">
        <v>2015</v>
      </c>
      <c r="D36" s="88">
        <v>2020</v>
      </c>
      <c r="E36" s="88">
        <v>2025</v>
      </c>
      <c r="F36" s="88">
        <v>2030</v>
      </c>
      <c r="G36" s="93">
        <v>2035</v>
      </c>
    </row>
    <row r="37" spans="2:7">
      <c r="B37" s="82" t="s">
        <v>159</v>
      </c>
      <c r="C37" s="132">
        <f>'Net Reduction in Gas'!C5</f>
        <v>-1.1945299429315329E-3</v>
      </c>
      <c r="D37" s="132">
        <f>'Net Reduction in Gas'!H5</f>
        <v>-6.037862318727839E-3</v>
      </c>
      <c r="E37" s="132">
        <f>'Net Reduction in Gas'!M5</f>
        <v>-9.4364828047483005E-3</v>
      </c>
      <c r="F37" s="132">
        <f>'Net Reduction in Gas'!R5</f>
        <v>-1.1836780424622204E-2</v>
      </c>
      <c r="G37" s="133">
        <f>'Net Reduction in Gas'!W5</f>
        <v>-1.3546756740339191E-2</v>
      </c>
    </row>
    <row r="38" spans="2:7">
      <c r="B38" s="82" t="s">
        <v>158</v>
      </c>
      <c r="C38" s="132">
        <f>-'Net Reduction in Gas'!C6</f>
        <v>9.0761967118047971E-4</v>
      </c>
      <c r="D38" s="132">
        <f>-'Net Reduction in Gas'!H6</f>
        <v>4.5880955480038666E-3</v>
      </c>
      <c r="E38" s="132">
        <f>-'Net Reduction in Gas'!M6</f>
        <v>7.1714655926600037E-3</v>
      </c>
      <c r="F38" s="132">
        <f>-'Net Reduction in Gas'!R6</f>
        <v>8.99675831081863E-3</v>
      </c>
      <c r="G38" s="133">
        <f>-'Net Reduction in Gas'!W6</f>
        <v>1.0297897848810291E-2</v>
      </c>
    </row>
    <row r="39" spans="2:7">
      <c r="B39" s="85" t="s">
        <v>147</v>
      </c>
      <c r="C39" s="131">
        <f>'Net Reduction in Gas'!C7</f>
        <v>-2.8691027175105322E-4</v>
      </c>
      <c r="D39" s="131">
        <f>'Net Reduction in Gas'!H7</f>
        <v>-1.4497667707239724E-3</v>
      </c>
      <c r="E39" s="131">
        <f>'Net Reduction in Gas'!M7</f>
        <v>-2.2650172120882968E-3</v>
      </c>
      <c r="F39" s="131">
        <f>'Net Reduction in Gas'!R7</f>
        <v>-2.8400221138035735E-3</v>
      </c>
      <c r="G39" s="134">
        <f>'Net Reduction in Gas'!W7</f>
        <v>-3.2488588915288996E-3</v>
      </c>
    </row>
    <row r="40" spans="2:7">
      <c r="B40" s="96"/>
      <c r="C40" s="83"/>
      <c r="D40" s="83"/>
      <c r="E40" s="83"/>
      <c r="F40" s="83"/>
      <c r="G40" s="83"/>
    </row>
    <row r="41" spans="2:7" ht="36" customHeight="1">
      <c r="B41" s="186" t="str">
        <f>CONCATENATE("Change in Total Resource Cost due to Direct Use of Natural Gas in Least Cost vs BAU Case (2012 M$) - ",State,", Single Family, ", SpaceHeat, ", ", TankSize,", ", StartWH, " is starting water heater")</f>
        <v>Change in Total Resource Cost due to Direct Use of Natural Gas in Least Cost vs BAU Case (2012 M$) - Montana, Single Family, Gas FAF, &gt;55 Gallons, Electric Resistance is starting water heater</v>
      </c>
      <c r="C41" s="187"/>
      <c r="D41" s="187"/>
      <c r="E41" s="187"/>
      <c r="F41" s="187"/>
      <c r="G41" s="187"/>
    </row>
    <row r="42" spans="2:7">
      <c r="B42" s="65" t="s">
        <v>72</v>
      </c>
      <c r="C42" s="136" t="str">
        <f>'Total Resource Cost'!B4</f>
        <v>NPV (2012 M$)</v>
      </c>
      <c r="D42" s="17"/>
      <c r="E42" s="17"/>
      <c r="F42" s="17"/>
    </row>
    <row r="43" spans="2:7">
      <c r="B43" s="166" t="str">
        <f>'Total Resource Cost'!A5</f>
        <v>Consumer Cost Reduction</v>
      </c>
      <c r="C43" s="167">
        <f>'Consumer Cost'!B7</f>
        <v>0.81354446047715001</v>
      </c>
      <c r="D43" s="165"/>
      <c r="E43" s="165"/>
      <c r="F43" s="2"/>
    </row>
    <row r="44" spans="2:7">
      <c r="B44" s="166" t="str">
        <f>'Total Resource Cost'!A6</f>
        <v>Utility Cost Reduction</v>
      </c>
      <c r="C44" s="133">
        <f>'Utility Cost'!B4</f>
        <v>-0.44285137556329823</v>
      </c>
      <c r="D44" s="130"/>
    </row>
    <row r="45" spans="2:7">
      <c r="B45" s="168" t="str">
        <f>'Total Resource Cost'!A7</f>
        <v>Total Resource Cost Reduction</v>
      </c>
      <c r="C45" s="134">
        <f>'Total Resource Cost'!B7</f>
        <v>0.37069308491385228</v>
      </c>
    </row>
  </sheetData>
  <mergeCells count="6">
    <mergeCell ref="B3:F3"/>
    <mergeCell ref="B35:G35"/>
    <mergeCell ref="B27:G27"/>
    <mergeCell ref="B41:G41"/>
    <mergeCell ref="B19:G19"/>
    <mergeCell ref="B11:F1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W13"/>
  <sheetViews>
    <sheetView workbookViewId="0"/>
  </sheetViews>
  <sheetFormatPr defaultColWidth="9.140625" defaultRowHeight="15.75"/>
  <cols>
    <col min="1" max="1" width="20.7109375" style="9" customWidth="1"/>
    <col min="2" max="7" width="9.7109375" style="9" customWidth="1"/>
    <col min="8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Montana, Single Family, Gas FAF, &gt;55 Gallons, Electric Resistance is starting water heater</v>
      </c>
    </row>
    <row r="3" spans="1:23" ht="24" customHeight="1">
      <c r="A3" s="25" t="s">
        <v>30</v>
      </c>
    </row>
    <row r="4" spans="1:23" s="23" customFormat="1">
      <c r="A4" s="24" t="str">
        <f>+'Device Energy Use'!A4</f>
        <v>Water Heat Ending</v>
      </c>
      <c r="B4" s="21">
        <f>+'Fuel Cost'!B4</f>
        <v>2014</v>
      </c>
      <c r="C4" s="21">
        <f>+'Fuel Cost'!C4</f>
        <v>2015</v>
      </c>
      <c r="D4" s="21">
        <f>+'Fuel Cost'!D4</f>
        <v>2016</v>
      </c>
      <c r="E4" s="21">
        <f>+'Fuel Cost'!E4</f>
        <v>2017</v>
      </c>
      <c r="F4" s="21">
        <f>+'Fuel Cost'!F4</f>
        <v>2018</v>
      </c>
      <c r="G4" s="21">
        <f>+'Fuel Cost'!G4</f>
        <v>2019</v>
      </c>
      <c r="H4" s="21">
        <f>+'Fuel Cost'!H4</f>
        <v>2020</v>
      </c>
      <c r="I4" s="21">
        <f>+'Fuel Cost'!I4</f>
        <v>2021</v>
      </c>
      <c r="J4" s="21">
        <f>+'Fuel Cost'!J4</f>
        <v>2022</v>
      </c>
      <c r="K4" s="21">
        <f>+'Fuel Cost'!K4</f>
        <v>2023</v>
      </c>
      <c r="L4" s="21">
        <f>+'Fuel Cost'!L4</f>
        <v>2024</v>
      </c>
      <c r="M4" s="21">
        <f>+'Fuel Cost'!M4</f>
        <v>2025</v>
      </c>
      <c r="N4" s="21">
        <f>+'Fuel Cost'!N4</f>
        <v>2026</v>
      </c>
      <c r="O4" s="21">
        <f>+'Fuel Cost'!O4</f>
        <v>2027</v>
      </c>
      <c r="P4" s="21">
        <f>+'Fuel Cost'!P4</f>
        <v>2028</v>
      </c>
      <c r="Q4" s="21">
        <f>+'Fuel Cost'!Q4</f>
        <v>2029</v>
      </c>
      <c r="R4" s="21">
        <f>+'Fuel Cost'!R4</f>
        <v>2030</v>
      </c>
      <c r="S4" s="21">
        <f>+'Fuel Cost'!S4</f>
        <v>2031</v>
      </c>
      <c r="T4" s="21">
        <f>+'Fuel Cost'!T4</f>
        <v>2032</v>
      </c>
      <c r="U4" s="21">
        <f>+'Fuel Cost'!U4</f>
        <v>2033</v>
      </c>
      <c r="V4" s="21">
        <f>+'Fuel Cost'!V4</f>
        <v>2034</v>
      </c>
      <c r="W4" s="21">
        <f>+'Fuel Cost'!W4</f>
        <v>2035</v>
      </c>
    </row>
    <row r="5" spans="1:23">
      <c r="A5" s="9" t="str">
        <f>+'Device Energy Use'!A5</f>
        <v>Electric Resistance</v>
      </c>
      <c r="B5" s="27">
        <f>'Capital Cost'!$E5*CapitalChargeRate+'Fuel Cost'!B5 + 'O&amp;M Cost'!$D5</f>
        <v>414.35340076519924</v>
      </c>
      <c r="C5" s="27">
        <f>'Capital Cost'!$E5*CapitalChargeRate+'Fuel Cost'!C5 + 'O&amp;M Cost'!$D5</f>
        <v>418.86652717742629</v>
      </c>
      <c r="D5" s="27">
        <f>'Capital Cost'!$E5*CapitalChargeRate+'Fuel Cost'!D5 + 'O&amp;M Cost'!$D5</f>
        <v>423.43832423301239</v>
      </c>
      <c r="E5" s="27">
        <f>'Capital Cost'!$E5*CapitalChargeRate+'Fuel Cost'!E5 + 'O&amp;M Cost'!$D5</f>
        <v>428.06955465032104</v>
      </c>
      <c r="F5" s="27">
        <f>'Capital Cost'!$E5*CapitalChargeRate+'Fuel Cost'!F5 + 'O&amp;M Cost'!$D5</f>
        <v>432.7609910630548</v>
      </c>
      <c r="G5" s="27">
        <f>'Capital Cost'!$E5*CapitalChargeRate+'Fuel Cost'!G5 + 'O&amp;M Cost'!$D5</f>
        <v>437.51341614915407</v>
      </c>
      <c r="H5" s="27">
        <f>'Capital Cost'!$E5*CapitalChargeRate+'Fuel Cost'!H5 + 'O&amp;M Cost'!$D5</f>
        <v>442.3276227613726</v>
      </c>
      <c r="I5" s="27">
        <f>'Capital Cost'!$E5*CapitalChargeRate+'Fuel Cost'!I5 + 'O&amp;M Cost'!$D5</f>
        <v>447.20441405955</v>
      </c>
      <c r="J5" s="27">
        <f>'Capital Cost'!$E5*CapitalChargeRate+'Fuel Cost'!J5 + 'O&amp;M Cost'!$D5</f>
        <v>452.14460364460365</v>
      </c>
      <c r="K5" s="27">
        <f>'Capital Cost'!$E5*CapitalChargeRate+'Fuel Cost'!K5 + 'O&amp;M Cost'!$D5</f>
        <v>457.14901569426297</v>
      </c>
      <c r="L5" s="27">
        <f>'Capital Cost'!$E5*CapitalChargeRate+'Fuel Cost'!L5 + 'O&amp;M Cost'!$D5</f>
        <v>462.21848510056793</v>
      </c>
      <c r="M5" s="27">
        <f>'Capital Cost'!$E5*CapitalChargeRate+'Fuel Cost'!M5 + 'O&amp;M Cost'!$D5</f>
        <v>467.35385760915483</v>
      </c>
      <c r="N5" s="27">
        <f>'Capital Cost'!$E5*CapitalChargeRate+'Fuel Cost'!N5 + 'O&amp;M Cost'!$D5</f>
        <v>472.55598996035337</v>
      </c>
      <c r="O5" s="27">
        <f>'Capital Cost'!$E5*CapitalChargeRate+'Fuel Cost'!O5 + 'O&amp;M Cost'!$D5</f>
        <v>477.82575003211753</v>
      </c>
      <c r="P5" s="27">
        <f>'Capital Cost'!$E5*CapitalChargeRate+'Fuel Cost'!P5 + 'O&amp;M Cost'!$D5</f>
        <v>483.16401698481457</v>
      </c>
      <c r="Q5" s="27">
        <f>'Capital Cost'!$E5*CapitalChargeRate+'Fuel Cost'!Q5 + 'O&amp;M Cost'!$D5</f>
        <v>488.57168140789668</v>
      </c>
      <c r="R5" s="27">
        <f>'Capital Cost'!$E5*CapitalChargeRate+'Fuel Cost'!R5 + 'O&amp;M Cost'!$D5</f>
        <v>494.04964546847884</v>
      </c>
      <c r="S5" s="27">
        <f>'Capital Cost'!$E5*CapitalChargeRate+'Fuel Cost'!S5 + 'O&amp;M Cost'!$D5</f>
        <v>499.59882306184852</v>
      </c>
      <c r="T5" s="27">
        <f>'Capital Cost'!$E5*CapitalChargeRate+'Fuel Cost'!T5 + 'O&amp;M Cost'!$D5</f>
        <v>505.22013996393218</v>
      </c>
      <c r="U5" s="27">
        <f>'Capital Cost'!$E5*CapitalChargeRate+'Fuel Cost'!U5 + 'O&amp;M Cost'!$D5</f>
        <v>510.91453398574276</v>
      </c>
      <c r="V5" s="27">
        <f>'Capital Cost'!$E5*CapitalChargeRate+'Fuel Cost'!V5 + 'O&amp;M Cost'!$D5</f>
        <v>516.68295512983696</v>
      </c>
      <c r="W5" s="27">
        <f>'Capital Cost'!$E5*CapitalChargeRate+'Fuel Cost'!W5 + 'O&amp;M Cost'!$D5</f>
        <v>522.52636574880432</v>
      </c>
    </row>
    <row r="6" spans="1:23">
      <c r="A6" s="9" t="str">
        <f>+'Device Energy Use'!A6</f>
        <v>HPWH</v>
      </c>
      <c r="B6" s="27">
        <f>'Capital Cost'!$E6*CapitalChargeRate+'Fuel Cost'!B6 + 'O&amp;M Cost'!$D6</f>
        <v>364.2591103163212</v>
      </c>
      <c r="C6" s="27">
        <f>'Capital Cost'!$E6*CapitalChargeRate+'Fuel Cost'!C6 + 'O&amp;M Cost'!$D6</f>
        <v>366.72057752070418</v>
      </c>
      <c r="D6" s="27">
        <f>'Capital Cost'!$E6*CapitalChargeRate+'Fuel Cost'!D6 + 'O&amp;M Cost'!$D6</f>
        <v>369.21404379874411</v>
      </c>
      <c r="E6" s="27">
        <f>'Capital Cost'!$E6*CapitalChargeRate+'Fuel Cost'!E6 + 'O&amp;M Cost'!$D6</f>
        <v>371.73992513839858</v>
      </c>
      <c r="F6" s="27">
        <f>'Capital Cost'!$E6*CapitalChargeRate+'Fuel Cost'!F6 + 'O&amp;M Cost'!$D6</f>
        <v>374.29864293546859</v>
      </c>
      <c r="G6" s="27">
        <f>'Capital Cost'!$E6*CapitalChargeRate+'Fuel Cost'!G6 + 'O&amp;M Cost'!$D6</f>
        <v>376.89062406390053</v>
      </c>
      <c r="H6" s="27">
        <f>'Capital Cost'!$E6*CapitalChargeRate+'Fuel Cost'!H6 + 'O&amp;M Cost'!$D6</f>
        <v>379.51630094700204</v>
      </c>
      <c r="I6" s="27">
        <f>'Capital Cost'!$E6*CapitalChargeRate+'Fuel Cost'!I6 + 'O&amp;M Cost'!$D6</f>
        <v>382.17611162958383</v>
      </c>
      <c r="J6" s="27">
        <f>'Capital Cost'!$E6*CapitalChargeRate+'Fuel Cost'!J6 + 'O&amp;M Cost'!$D6</f>
        <v>384.87049985103926</v>
      </c>
      <c r="K6" s="27">
        <f>'Capital Cost'!$E6*CapitalChargeRate+'Fuel Cost'!K6 + 'O&amp;M Cost'!$D6</f>
        <v>387.59991511937358</v>
      </c>
      <c r="L6" s="27">
        <f>'Capital Cost'!$E6*CapitalChargeRate+'Fuel Cost'!L6 + 'O&amp;M Cost'!$D6</f>
        <v>390.36481278619624</v>
      </c>
      <c r="M6" s="27">
        <f>'Capital Cost'!$E6*CapitalChargeRate+'Fuel Cost'!M6 + 'O&amp;M Cost'!$D6</f>
        <v>393.16565412268756</v>
      </c>
      <c r="N6" s="27">
        <f>'Capital Cost'!$E6*CapitalChargeRate+'Fuel Cost'!N6 + 'O&amp;M Cost'!$D6</f>
        <v>396.00290639655327</v>
      </c>
      <c r="O6" s="27">
        <f>'Capital Cost'!$E6*CapitalChargeRate+'Fuel Cost'!O6 + 'O&amp;M Cost'!$D6</f>
        <v>398.87704294997928</v>
      </c>
      <c r="P6" s="27">
        <f>'Capital Cost'!$E6*CapitalChargeRate+'Fuel Cost'!P6 + 'O&amp;M Cost'!$D6</f>
        <v>401.78854327859983</v>
      </c>
      <c r="Q6" s="27">
        <f>'Capital Cost'!$E6*CapitalChargeRate+'Fuel Cost'!Q6 + 'O&amp;M Cost'!$D6</f>
        <v>404.73789311149238</v>
      </c>
      <c r="R6" s="27">
        <f>'Capital Cost'!$E6*CapitalChargeRate+'Fuel Cost'!R6 + 'O&amp;M Cost'!$D6</f>
        <v>407.72558449221259</v>
      </c>
      <c r="S6" s="27">
        <f>'Capital Cost'!$E6*CapitalChargeRate+'Fuel Cost'!S6 + 'O&amp;M Cost'!$D6</f>
        <v>410.75211586088216</v>
      </c>
      <c r="T6" s="27">
        <f>'Capital Cost'!$E6*CapitalChargeRate+'Fuel Cost'!T6 + 'O&amp;M Cost'!$D6</f>
        <v>413.81799213734445</v>
      </c>
      <c r="U6" s="27">
        <f>'Capital Cost'!$E6*CapitalChargeRate+'Fuel Cost'!U6 + 'O&amp;M Cost'!$D6</f>
        <v>416.92372480540075</v>
      </c>
      <c r="V6" s="27">
        <f>'Capital Cost'!$E6*CapitalChargeRate+'Fuel Cost'!V6 + 'O&amp;M Cost'!$D6</f>
        <v>420.06983199814169</v>
      </c>
      <c r="W6" s="27">
        <f>'Capital Cost'!$E6*CapitalChargeRate+'Fuel Cost'!W6 + 'O&amp;M Cost'!$D6</f>
        <v>423.25683858438833</v>
      </c>
    </row>
    <row r="7" spans="1:23">
      <c r="A7" s="9" t="str">
        <f>+'Device Energy Use'!A7</f>
        <v>Gas Tank</v>
      </c>
      <c r="B7" s="27">
        <f>'Capital Cost'!$E7*CapitalChargeRate+'Fuel Cost'!B7 + 'O&amp;M Cost'!$D7</f>
        <v>231.41070757826037</v>
      </c>
      <c r="C7" s="27">
        <f>'Capital Cost'!$E7*CapitalChargeRate+'Fuel Cost'!C7 + 'O&amp;M Cost'!$D7</f>
        <v>233.51768423485777</v>
      </c>
      <c r="D7" s="27">
        <f>'Capital Cost'!$E7*CapitalChargeRate+'Fuel Cost'!D7 + 'O&amp;M Cost'!$D7</f>
        <v>235.65626554130412</v>
      </c>
      <c r="E7" s="27">
        <f>'Capital Cost'!$E7*CapitalChargeRate+'Fuel Cost'!E7 + 'O&amp;M Cost'!$D7</f>
        <v>237.82692556734719</v>
      </c>
      <c r="F7" s="27">
        <f>'Capital Cost'!$E7*CapitalChargeRate+'Fuel Cost'!F7 + 'O&amp;M Cost'!$D7</f>
        <v>240.03014549378088</v>
      </c>
      <c r="G7" s="27">
        <f>'Capital Cost'!$E7*CapitalChargeRate+'Fuel Cost'!G7 + 'O&amp;M Cost'!$D7</f>
        <v>242.26641371911109</v>
      </c>
      <c r="H7" s="27">
        <f>'Capital Cost'!$E7*CapitalChargeRate+'Fuel Cost'!H7 + 'O&amp;M Cost'!$D7</f>
        <v>244.53622596782122</v>
      </c>
      <c r="I7" s="27">
        <f>'Capital Cost'!$E7*CapitalChargeRate+'Fuel Cost'!I7 + 'O&amp;M Cost'!$D7</f>
        <v>246.84008540026204</v>
      </c>
      <c r="J7" s="27">
        <f>'Capital Cost'!$E7*CapitalChargeRate+'Fuel Cost'!J7 + 'O&amp;M Cost'!$D7</f>
        <v>249.17850272418946</v>
      </c>
      <c r="K7" s="27">
        <f>'Capital Cost'!$E7*CapitalChargeRate+'Fuel Cost'!K7 + 'O&amp;M Cost'!$D7</f>
        <v>251.55199630797577</v>
      </c>
      <c r="L7" s="27">
        <f>'Capital Cost'!$E7*CapitalChargeRate+'Fuel Cost'!L7 + 'O&amp;M Cost'!$D7</f>
        <v>253.96109229551891</v>
      </c>
      <c r="M7" s="27">
        <f>'Capital Cost'!$E7*CapitalChargeRate+'Fuel Cost'!M7 + 'O&amp;M Cost'!$D7</f>
        <v>256.40632472287518</v>
      </c>
      <c r="N7" s="27">
        <f>'Capital Cost'!$E7*CapitalChargeRate+'Fuel Cost'!N7 + 'O&amp;M Cost'!$D7</f>
        <v>258.88823563664181</v>
      </c>
      <c r="O7" s="27">
        <f>'Capital Cost'!$E7*CapitalChargeRate+'Fuel Cost'!O7 + 'O&amp;M Cost'!$D7</f>
        <v>261.40737521411489</v>
      </c>
      <c r="P7" s="27">
        <f>'Capital Cost'!$E7*CapitalChargeRate+'Fuel Cost'!P7 + 'O&amp;M Cost'!$D7</f>
        <v>263.96430188525017</v>
      </c>
      <c r="Q7" s="27">
        <f>'Capital Cost'!$E7*CapitalChargeRate+'Fuel Cost'!Q7 + 'O&amp;M Cost'!$D7</f>
        <v>266.55958245645235</v>
      </c>
      <c r="R7" s="27">
        <f>'Capital Cost'!$E7*CapitalChargeRate+'Fuel Cost'!R7 + 'O&amp;M Cost'!$D7</f>
        <v>269.19379223622263</v>
      </c>
      <c r="S7" s="27">
        <f>'Capital Cost'!$E7*CapitalChargeRate+'Fuel Cost'!S7 + 'O&amp;M Cost'!$D7</f>
        <v>271.86751516268947</v>
      </c>
      <c r="T7" s="27">
        <f>'Capital Cost'!$E7*CapitalChargeRate+'Fuel Cost'!T7 + 'O&amp;M Cost'!$D7</f>
        <v>274.58134393305329</v>
      </c>
      <c r="U7" s="27">
        <f>'Capital Cost'!$E7*CapitalChargeRate+'Fuel Cost'!U7 + 'O&amp;M Cost'!$D7</f>
        <v>277.33588013497257</v>
      </c>
      <c r="V7" s="27">
        <f>'Capital Cost'!$E7*CapitalChargeRate+'Fuel Cost'!V7 + 'O&amp;M Cost'!$D7</f>
        <v>280.13173437992066</v>
      </c>
      <c r="W7" s="27">
        <f>'Capital Cost'!$E7*CapitalChargeRate+'Fuel Cost'!W7 + 'O&amp;M Cost'!$D7</f>
        <v>282.96952643854297</v>
      </c>
    </row>
    <row r="8" spans="1:23">
      <c r="A8" s="9" t="str">
        <f>+'Device Energy Use'!A8</f>
        <v>Instant Gas</v>
      </c>
      <c r="B8" s="27">
        <f>'Capital Cost'!$E8*CapitalChargeRate+'Fuel Cost'!B8 + 'O&amp;M Cost'!$D8</f>
        <v>566.65186276462509</v>
      </c>
      <c r="C8" s="27">
        <f>'Capital Cost'!$E8*CapitalChargeRate+'Fuel Cost'!C8 + 'O&amp;M Cost'!$D8</f>
        <v>568.48914645656828</v>
      </c>
      <c r="D8" s="27">
        <f>'Capital Cost'!$E8*CapitalChargeRate+'Fuel Cost'!D8 + 'O&amp;M Cost'!$D8</f>
        <v>570.35398940389064</v>
      </c>
      <c r="E8" s="27">
        <f>'Capital Cost'!$E8*CapitalChargeRate+'Fuel Cost'!E8 + 'O&amp;M Cost'!$D8</f>
        <v>572.24680499542274</v>
      </c>
      <c r="F8" s="27">
        <f>'Capital Cost'!$E8*CapitalChargeRate+'Fuel Cost'!F8 + 'O&amp;M Cost'!$D8</f>
        <v>574.16801282082793</v>
      </c>
      <c r="G8" s="27">
        <f>'Capital Cost'!$E8*CapitalChargeRate+'Fuel Cost'!G8 + 'O&amp;M Cost'!$D8</f>
        <v>576.11803876361409</v>
      </c>
      <c r="H8" s="27">
        <f>'Capital Cost'!$E8*CapitalChargeRate+'Fuel Cost'!H8 + 'O&amp;M Cost'!$D8</f>
        <v>578.09731509554217</v>
      </c>
      <c r="I8" s="27">
        <f>'Capital Cost'!$E8*CapitalChargeRate+'Fuel Cost'!I8 + 'O&amp;M Cost'!$D8</f>
        <v>580.10628057244912</v>
      </c>
      <c r="J8" s="27">
        <f>'Capital Cost'!$E8*CapitalChargeRate+'Fuel Cost'!J8 + 'O&amp;M Cost'!$D8</f>
        <v>582.14538053150977</v>
      </c>
      <c r="K8" s="27">
        <f>'Capital Cost'!$E8*CapitalChargeRate+'Fuel Cost'!K8 + 'O&amp;M Cost'!$D8</f>
        <v>584.2150669899562</v>
      </c>
      <c r="L8" s="27">
        <f>'Capital Cost'!$E8*CapitalChargeRate+'Fuel Cost'!L8 + 'O&amp;M Cost'!$D8</f>
        <v>586.31579874527938</v>
      </c>
      <c r="M8" s="27">
        <f>'Capital Cost'!$E8*CapitalChargeRate+'Fuel Cost'!M8 + 'O&amp;M Cost'!$D8</f>
        <v>588.4480414769323</v>
      </c>
      <c r="N8" s="27">
        <f>'Capital Cost'!$E8*CapitalChargeRate+'Fuel Cost'!N8 + 'O&amp;M Cost'!$D8</f>
        <v>590.61226784956011</v>
      </c>
      <c r="O8" s="27">
        <f>'Capital Cost'!$E8*CapitalChargeRate+'Fuel Cost'!O8 + 'O&amp;M Cost'!$D8</f>
        <v>592.80895761777742</v>
      </c>
      <c r="P8" s="27">
        <f>'Capital Cost'!$E8*CapitalChargeRate+'Fuel Cost'!P8 + 'O&amp;M Cost'!$D8</f>
        <v>595.03859773251793</v>
      </c>
      <c r="Q8" s="27">
        <f>'Capital Cost'!$E8*CapitalChargeRate+'Fuel Cost'!Q8 + 'O&amp;M Cost'!$D8</f>
        <v>597.30168244897959</v>
      </c>
      <c r="R8" s="27">
        <f>'Capital Cost'!$E8*CapitalChargeRate+'Fuel Cost'!R8 + 'O&amp;M Cost'!$D8</f>
        <v>599.59871343618806</v>
      </c>
      <c r="S8" s="27">
        <f>'Capital Cost'!$E8*CapitalChargeRate+'Fuel Cost'!S8 + 'O&amp;M Cost'!$D8</f>
        <v>601.9301998882047</v>
      </c>
      <c r="T8" s="27">
        <f>'Capital Cost'!$E8*CapitalChargeRate+'Fuel Cost'!T8 + 'O&amp;M Cost'!$D8</f>
        <v>604.29665863700166</v>
      </c>
      <c r="U8" s="27">
        <f>'Capital Cost'!$E8*CapitalChargeRate+'Fuel Cost'!U8 + 'O&amp;M Cost'!$D8</f>
        <v>606.69861426703051</v>
      </c>
      <c r="V8" s="27">
        <f>'Capital Cost'!$E8*CapitalChargeRate+'Fuel Cost'!V8 + 'O&amp;M Cost'!$D8</f>
        <v>609.13659923150976</v>
      </c>
      <c r="W8" s="27">
        <f>'Capital Cost'!$E8*CapitalChargeRate+'Fuel Cost'!W8 + 'O&amp;M Cost'!$D8</f>
        <v>611.61115397045614</v>
      </c>
    </row>
    <row r="9" spans="1:23">
      <c r="A9" s="9" t="str">
        <f>+'Device Energy Use'!A9</f>
        <v>Condensing Gas</v>
      </c>
      <c r="B9" s="27">
        <f>'Capital Cost'!$E9*CapitalChargeRate+'Fuel Cost'!B9 + 'O&amp;M Cost'!$D9</f>
        <v>377.133543944417</v>
      </c>
      <c r="C9" s="27">
        <f>'Capital Cost'!$E9*CapitalChargeRate+'Fuel Cost'!C9 + 'O&amp;M Cost'!$D9</f>
        <v>379.04813629500688</v>
      </c>
      <c r="D9" s="27">
        <f>'Capital Cost'!$E9*CapitalChargeRate+'Fuel Cost'!D9 + 'O&amp;M Cost'!$D9</f>
        <v>380.99144753085557</v>
      </c>
      <c r="E9" s="27">
        <f>'Capital Cost'!$E9*CapitalChargeRate+'Fuel Cost'!E9 + 'O&amp;M Cost'!$D9</f>
        <v>382.96390843524205</v>
      </c>
      <c r="F9" s="27">
        <f>'Capital Cost'!$E9*CapitalChargeRate+'Fuel Cost'!F9 + 'O&amp;M Cost'!$D9</f>
        <v>384.96595625319429</v>
      </c>
      <c r="G9" s="27">
        <f>'Capital Cost'!$E9*CapitalChargeRate+'Fuel Cost'!G9 + 'O&amp;M Cost'!$D9</f>
        <v>386.99803478841579</v>
      </c>
      <c r="H9" s="27">
        <f>'Capital Cost'!$E9*CapitalChargeRate+'Fuel Cost'!H9 + 'O&amp;M Cost'!$D9</f>
        <v>389.06059450166566</v>
      </c>
      <c r="I9" s="27">
        <f>'Capital Cost'!$E9*CapitalChargeRate+'Fuel Cost'!I9 + 'O&amp;M Cost'!$D9</f>
        <v>391.15409261061427</v>
      </c>
      <c r="J9" s="27">
        <f>'Capital Cost'!$E9*CapitalChargeRate+'Fuel Cost'!J9 + 'O&amp;M Cost'!$D9</f>
        <v>393.27899319119706</v>
      </c>
      <c r="K9" s="27">
        <f>'Capital Cost'!$E9*CapitalChargeRate+'Fuel Cost'!K9 + 'O&amp;M Cost'!$D9</f>
        <v>395.43576728048868</v>
      </c>
      <c r="L9" s="27">
        <f>'Capital Cost'!$E9*CapitalChargeRate+'Fuel Cost'!L9 + 'O&amp;M Cost'!$D9</f>
        <v>397.62489298111961</v>
      </c>
      <c r="M9" s="27">
        <f>'Capital Cost'!$E9*CapitalChargeRate+'Fuel Cost'!M9 + 'O&amp;M Cost'!$D9</f>
        <v>399.84685556726004</v>
      </c>
      <c r="N9" s="27">
        <f>'Capital Cost'!$E9*CapitalChargeRate+'Fuel Cost'!N9 + 'O&amp;M Cost'!$D9</f>
        <v>402.10214759219252</v>
      </c>
      <c r="O9" s="27">
        <f>'Capital Cost'!$E9*CapitalChargeRate+'Fuel Cost'!O9 + 'O&amp;M Cost'!$D9</f>
        <v>404.39126899749903</v>
      </c>
      <c r="P9" s="27">
        <f>'Capital Cost'!$E9*CapitalChargeRate+'Fuel Cost'!P9 + 'O&amp;M Cost'!$D9</f>
        <v>406.71472722388512</v>
      </c>
      <c r="Q9" s="27">
        <f>'Capital Cost'!$E9*CapitalChargeRate+'Fuel Cost'!Q9 + 'O&amp;M Cost'!$D9</f>
        <v>409.07303732366699</v>
      </c>
      <c r="R9" s="27">
        <f>'Capital Cost'!$E9*CapitalChargeRate+'Fuel Cost'!R9 + 'O&amp;M Cost'!$D9</f>
        <v>411.46672207494561</v>
      </c>
      <c r="S9" s="27">
        <f>'Capital Cost'!$E9*CapitalChargeRate+'Fuel Cost'!S9 + 'O&amp;M Cost'!$D9</f>
        <v>413.89631209749336</v>
      </c>
      <c r="T9" s="27">
        <f>'Capital Cost'!$E9*CapitalChargeRate+'Fuel Cost'!T9 + 'O&amp;M Cost'!$D9</f>
        <v>416.36234597037941</v>
      </c>
      <c r="U9" s="27">
        <f>'Capital Cost'!$E9*CapitalChargeRate+'Fuel Cost'!U9 + 'O&amp;M Cost'!$D9</f>
        <v>418.86537035135871</v>
      </c>
      <c r="V9" s="27">
        <f>'Capital Cost'!$E9*CapitalChargeRate+'Fuel Cost'!V9 + 'O&amp;M Cost'!$D9</f>
        <v>421.40594009805272</v>
      </c>
      <c r="W9" s="27">
        <f>'Capital Cost'!$E9*CapitalChargeRate+'Fuel Cost'!W9 + 'O&amp;M Cost'!$D9</f>
        <v>423.98461839094711</v>
      </c>
    </row>
    <row r="11" spans="1:23">
      <c r="A11" s="28" t="s">
        <v>87</v>
      </c>
    </row>
    <row r="13" spans="1:23">
      <c r="A13" s="9" t="s">
        <v>91</v>
      </c>
      <c r="B13" s="27">
        <f>MIN(B6,B8,B9)</f>
        <v>364.2591103163212</v>
      </c>
      <c r="C13" s="27">
        <f t="shared" ref="C13:W13" si="0">MIN(C6,C8,C9)</f>
        <v>366.72057752070418</v>
      </c>
      <c r="D13" s="27">
        <f t="shared" si="0"/>
        <v>369.21404379874411</v>
      </c>
      <c r="E13" s="27">
        <f t="shared" si="0"/>
        <v>371.73992513839858</v>
      </c>
      <c r="F13" s="27">
        <f t="shared" si="0"/>
        <v>374.29864293546859</v>
      </c>
      <c r="G13" s="27">
        <f t="shared" si="0"/>
        <v>376.89062406390053</v>
      </c>
      <c r="H13" s="27">
        <f t="shared" si="0"/>
        <v>379.51630094700204</v>
      </c>
      <c r="I13" s="27">
        <f t="shared" si="0"/>
        <v>382.17611162958383</v>
      </c>
      <c r="J13" s="27">
        <f t="shared" si="0"/>
        <v>384.87049985103926</v>
      </c>
      <c r="K13" s="27">
        <f t="shared" si="0"/>
        <v>387.59991511937358</v>
      </c>
      <c r="L13" s="27">
        <f t="shared" si="0"/>
        <v>390.36481278619624</v>
      </c>
      <c r="M13" s="27">
        <f t="shared" si="0"/>
        <v>393.16565412268756</v>
      </c>
      <c r="N13" s="27">
        <f t="shared" si="0"/>
        <v>396.00290639655327</v>
      </c>
      <c r="O13" s="27">
        <f t="shared" si="0"/>
        <v>398.87704294997928</v>
      </c>
      <c r="P13" s="27">
        <f t="shared" si="0"/>
        <v>401.78854327859983</v>
      </c>
      <c r="Q13" s="27">
        <f t="shared" si="0"/>
        <v>404.73789311149238</v>
      </c>
      <c r="R13" s="27">
        <f t="shared" si="0"/>
        <v>407.72558449221259</v>
      </c>
      <c r="S13" s="27">
        <f t="shared" si="0"/>
        <v>410.75211586088216</v>
      </c>
      <c r="T13" s="27">
        <f t="shared" si="0"/>
        <v>413.81799213734445</v>
      </c>
      <c r="U13" s="27">
        <f t="shared" si="0"/>
        <v>416.92372480540075</v>
      </c>
      <c r="V13" s="27">
        <f t="shared" si="0"/>
        <v>420.06983199814169</v>
      </c>
      <c r="W13" s="27">
        <f t="shared" si="0"/>
        <v>423.25683858438833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W10"/>
  <sheetViews>
    <sheetView workbookViewId="0"/>
  </sheetViews>
  <sheetFormatPr defaultColWidth="9.140625" defaultRowHeight="15.75"/>
  <cols>
    <col min="1" max="1" width="20.7109375" style="9" customWidth="1"/>
    <col min="2" max="7" width="9.7109375" style="9" customWidth="1"/>
    <col min="8" max="8" width="8.7109375" style="9" bestFit="1" customWidth="1"/>
    <col min="9" max="29" width="9.28515625" style="9" bestFit="1" customWidth="1"/>
    <col min="30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Montana, Single Family, Gas FAF, &gt;55 Gallons, Electric Resistance is starting water heater</v>
      </c>
    </row>
    <row r="3" spans="1:23" ht="24.75" customHeight="1">
      <c r="A3" s="25" t="s">
        <v>35</v>
      </c>
    </row>
    <row r="4" spans="1:23" s="22" customFormat="1">
      <c r="A4" s="20" t="str">
        <f>+'Device Energy Use'!A4</f>
        <v>Water Heat Ending</v>
      </c>
      <c r="B4" s="21">
        <f>+'Retail Rates'!B4</f>
        <v>2014</v>
      </c>
      <c r="C4" s="21">
        <f>+'Retail Rates'!C4</f>
        <v>2015</v>
      </c>
      <c r="D4" s="21">
        <f>+'Retail Rates'!D4</f>
        <v>2016</v>
      </c>
      <c r="E4" s="21">
        <f>+'Retail Rates'!E4</f>
        <v>2017</v>
      </c>
      <c r="F4" s="21">
        <f>+'Retail Rates'!F4</f>
        <v>2018</v>
      </c>
      <c r="G4" s="21">
        <f>+'Retail Rates'!G4</f>
        <v>2019</v>
      </c>
      <c r="H4" s="21">
        <f>+'Retail Rates'!H4</f>
        <v>2020</v>
      </c>
      <c r="I4" s="21">
        <f>+'Retail Rates'!I4</f>
        <v>2021</v>
      </c>
      <c r="J4" s="21">
        <f>+'Retail Rates'!J4</f>
        <v>2022</v>
      </c>
      <c r="K4" s="21">
        <f>+'Retail Rates'!K4</f>
        <v>2023</v>
      </c>
      <c r="L4" s="21">
        <f>+'Retail Rates'!L4</f>
        <v>2024</v>
      </c>
      <c r="M4" s="21">
        <f>+'Retail Rates'!M4</f>
        <v>2025</v>
      </c>
      <c r="N4" s="21">
        <f>+'Retail Rates'!N4</f>
        <v>2026</v>
      </c>
      <c r="O4" s="21">
        <f>+'Retail Rates'!O4</f>
        <v>2027</v>
      </c>
      <c r="P4" s="21">
        <f>+'Retail Rates'!P4</f>
        <v>2028</v>
      </c>
      <c r="Q4" s="21">
        <f>+'Retail Rates'!Q4</f>
        <v>2029</v>
      </c>
      <c r="R4" s="21">
        <f>+'Retail Rates'!R4</f>
        <v>2030</v>
      </c>
      <c r="S4" s="21">
        <f>+'Retail Rates'!S4</f>
        <v>2031</v>
      </c>
      <c r="T4" s="21">
        <f>+'Retail Rates'!T4</f>
        <v>2032</v>
      </c>
      <c r="U4" s="21">
        <f>+'Retail Rates'!U4</f>
        <v>2033</v>
      </c>
      <c r="V4" s="21">
        <f>+'Retail Rates'!V4</f>
        <v>2034</v>
      </c>
      <c r="W4" s="21">
        <f>+'Retail Rates'!W4</f>
        <v>2035</v>
      </c>
    </row>
    <row r="5" spans="1:23">
      <c r="A5" s="15" t="str">
        <f>+'Device Energy Use'!A5</f>
        <v>Electric Resistance</v>
      </c>
      <c r="B5" s="11">
        <f>+'Device Energy Use'!$D5*('Retail Rates'!B$5*'Device Energy Use'!$E5+'Retail Rates'!B$6*(1-'Device Energy Use'!$E5))</f>
        <v>347.16357017132054</v>
      </c>
      <c r="C5" s="11">
        <f>+'Device Energy Use'!$D5*('Retail Rates'!C$5*'Device Energy Use'!$E5+'Retail Rates'!C$6*(1-'Device Energy Use'!$E5))</f>
        <v>351.67669658354765</v>
      </c>
      <c r="D5" s="11">
        <f>+'Device Energy Use'!$D5*('Retail Rates'!D$5*'Device Energy Use'!$E5+'Retail Rates'!D$6*(1-'Device Energy Use'!$E5))</f>
        <v>356.2484936391337</v>
      </c>
      <c r="E5" s="11">
        <f>+'Device Energy Use'!$D5*('Retail Rates'!E$5*'Device Energy Use'!$E5+'Retail Rates'!E$6*(1-'Device Energy Use'!$E5))</f>
        <v>360.8797240564424</v>
      </c>
      <c r="F5" s="11">
        <f>+'Device Energy Use'!$D5*('Retail Rates'!F$5*'Device Energy Use'!$E5+'Retail Rates'!F$6*(1-'Device Energy Use'!$E5))</f>
        <v>365.57116046917611</v>
      </c>
      <c r="G5" s="11">
        <f>+'Device Energy Use'!$D5*('Retail Rates'!G$5*'Device Energy Use'!$E5+'Retail Rates'!G$6*(1-'Device Energy Use'!$E5))</f>
        <v>370.32358555527537</v>
      </c>
      <c r="H5" s="11">
        <f>+'Device Energy Use'!$D5*('Retail Rates'!H$5*'Device Energy Use'!$E5+'Retail Rates'!H$6*(1-'Device Energy Use'!$E5))</f>
        <v>375.1377921674939</v>
      </c>
      <c r="I5" s="11">
        <f>+'Device Energy Use'!$D5*('Retail Rates'!I$5*'Device Energy Use'!$E5+'Retail Rates'!I$6*(1-'Device Energy Use'!$E5))</f>
        <v>380.01458346567131</v>
      </c>
      <c r="J5" s="11">
        <f>+'Device Energy Use'!$D5*('Retail Rates'!J$5*'Device Energy Use'!$E5+'Retail Rates'!J$6*(1-'Device Energy Use'!$E5))</f>
        <v>384.95477305072501</v>
      </c>
      <c r="K5" s="11">
        <f>+'Device Energy Use'!$D5*('Retail Rates'!K$5*'Device Energy Use'!$E5+'Retail Rates'!K$6*(1-'Device Energy Use'!$E5))</f>
        <v>389.95918510038433</v>
      </c>
      <c r="L5" s="11">
        <f>+'Device Energy Use'!$D5*('Retail Rates'!L$5*'Device Energy Use'!$E5+'Retail Rates'!L$6*(1-'Device Energy Use'!$E5))</f>
        <v>395.02865450668929</v>
      </c>
      <c r="M5" s="11">
        <f>+'Device Energy Use'!$D5*('Retail Rates'!M$5*'Device Energy Use'!$E5+'Retail Rates'!M$6*(1-'Device Energy Use'!$E5))</f>
        <v>400.16402701527619</v>
      </c>
      <c r="N5" s="11">
        <f>+'Device Energy Use'!$D5*('Retail Rates'!N$5*'Device Energy Use'!$E5+'Retail Rates'!N$6*(1-'Device Energy Use'!$E5))</f>
        <v>405.36615936647468</v>
      </c>
      <c r="O5" s="11">
        <f>+'Device Energy Use'!$D5*('Retail Rates'!O$5*'Device Energy Use'!$E5+'Retail Rates'!O$6*(1-'Device Energy Use'!$E5))</f>
        <v>410.63591943823883</v>
      </c>
      <c r="P5" s="11">
        <f>+'Device Energy Use'!$D5*('Retail Rates'!P$5*'Device Energy Use'!$E5+'Retail Rates'!P$6*(1-'Device Energy Use'!$E5))</f>
        <v>415.97418639093587</v>
      </c>
      <c r="Q5" s="11">
        <f>+'Device Energy Use'!$D5*('Retail Rates'!Q$5*'Device Energy Use'!$E5+'Retail Rates'!Q$6*(1-'Device Energy Use'!$E5))</f>
        <v>421.38185081401798</v>
      </c>
      <c r="R5" s="11">
        <f>+'Device Energy Use'!$D5*('Retail Rates'!R$5*'Device Energy Use'!$E5+'Retail Rates'!R$6*(1-'Device Energy Use'!$E5))</f>
        <v>426.85981487460015</v>
      </c>
      <c r="S5" s="11">
        <f>+'Device Energy Use'!$D5*('Retail Rates'!S$5*'Device Energy Use'!$E5+'Retail Rates'!S$6*(1-'Device Energy Use'!$E5))</f>
        <v>432.40899246796988</v>
      </c>
      <c r="T5" s="11">
        <f>+'Device Energy Use'!$D5*('Retail Rates'!T$5*'Device Energy Use'!$E5+'Retail Rates'!T$6*(1-'Device Energy Use'!$E5))</f>
        <v>438.03030937005349</v>
      </c>
      <c r="U5" s="11">
        <f>+'Device Energy Use'!$D5*('Retail Rates'!U$5*'Device Energy Use'!$E5+'Retail Rates'!U$6*(1-'Device Energy Use'!$E5))</f>
        <v>443.72470339186413</v>
      </c>
      <c r="V5" s="11">
        <f>+'Device Energy Use'!$D5*('Retail Rates'!V$5*'Device Energy Use'!$E5+'Retail Rates'!V$6*(1-'Device Energy Use'!$E5))</f>
        <v>449.49312453595826</v>
      </c>
      <c r="W5" s="11">
        <f>+'Device Energy Use'!$D5*('Retail Rates'!W$5*'Device Energy Use'!$E5+'Retail Rates'!W$6*(1-'Device Energy Use'!$E5))</f>
        <v>455.33653515492563</v>
      </c>
    </row>
    <row r="6" spans="1:23">
      <c r="A6" s="15" t="str">
        <f>+'Device Energy Use'!A6</f>
        <v>HPWH</v>
      </c>
      <c r="B6" s="11">
        <f>+'Device Energy Use'!$D6*('Retail Rates'!B$5*'Device Energy Use'!$E6+'Retail Rates'!B$6*(1-'Device Energy Use'!$E6))</f>
        <v>189.343631106385</v>
      </c>
      <c r="C6" s="11">
        <f>+'Device Energy Use'!$D6*('Retail Rates'!C$5*'Device Energy Use'!$E6+'Retail Rates'!C$6*(1-'Device Energy Use'!$E6))</f>
        <v>191.80509831076799</v>
      </c>
      <c r="D6" s="11">
        <f>+'Device Energy Use'!$D6*('Retail Rates'!D$5*'Device Energy Use'!$E6+'Retail Rates'!D$6*(1-'Device Energy Use'!$E6))</f>
        <v>194.29856458880795</v>
      </c>
      <c r="E6" s="11">
        <f>+'Device Energy Use'!$D6*('Retail Rates'!E$5*'Device Energy Use'!$E6+'Retail Rates'!E$6*(1-'Device Energy Use'!$E6))</f>
        <v>196.82444592846241</v>
      </c>
      <c r="F6" s="11">
        <f>+'Device Energy Use'!$D6*('Retail Rates'!F$5*'Device Energy Use'!$E6+'Retail Rates'!F$6*(1-'Device Energy Use'!$E6))</f>
        <v>199.3831637255324</v>
      </c>
      <c r="G6" s="11">
        <f>+'Device Energy Use'!$D6*('Retail Rates'!G$5*'Device Energy Use'!$E6+'Retail Rates'!G$6*(1-'Device Energy Use'!$E6))</f>
        <v>201.97514485396431</v>
      </c>
      <c r="H6" s="11">
        <f>+'Device Energy Use'!$D6*('Retail Rates'!H$5*'Device Energy Use'!$E6+'Retail Rates'!H$6*(1-'Device Energy Use'!$E6))</f>
        <v>204.60082173706581</v>
      </c>
      <c r="I6" s="11">
        <f>+'Device Energy Use'!$D6*('Retail Rates'!I$5*'Device Energy Use'!$E6+'Retail Rates'!I$6*(1-'Device Energy Use'!$E6))</f>
        <v>207.26063241964766</v>
      </c>
      <c r="J6" s="11">
        <f>+'Device Energy Use'!$D6*('Retail Rates'!J$5*'Device Energy Use'!$E6+'Retail Rates'!J$6*(1-'Device Energy Use'!$E6))</f>
        <v>209.95502064110306</v>
      </c>
      <c r="K6" s="11">
        <f>+'Device Energy Use'!$D6*('Retail Rates'!K$5*'Device Energy Use'!$E6+'Retail Rates'!K$6*(1-'Device Energy Use'!$E6))</f>
        <v>212.68443590943735</v>
      </c>
      <c r="L6" s="11">
        <f>+'Device Energy Use'!$D6*('Retail Rates'!L$5*'Device Energy Use'!$E6+'Retail Rates'!L$6*(1-'Device Energy Use'!$E6))</f>
        <v>215.44933357626002</v>
      </c>
      <c r="M6" s="11">
        <f>+'Device Energy Use'!$D6*('Retail Rates'!M$5*'Device Energy Use'!$E6+'Retail Rates'!M$6*(1-'Device Energy Use'!$E6))</f>
        <v>218.25017491275136</v>
      </c>
      <c r="N6" s="11">
        <f>+'Device Energy Use'!$D6*('Retail Rates'!N$5*'Device Energy Use'!$E6+'Retail Rates'!N$6*(1-'Device Energy Use'!$E6))</f>
        <v>221.08742718661711</v>
      </c>
      <c r="O6" s="11">
        <f>+'Device Energy Use'!$D6*('Retail Rates'!O$5*'Device Energy Use'!$E6+'Retail Rates'!O$6*(1-'Device Energy Use'!$E6))</f>
        <v>223.96156374004309</v>
      </c>
      <c r="P6" s="11">
        <f>+'Device Energy Use'!$D6*('Retail Rates'!P$5*'Device Energy Use'!$E6+'Retail Rates'!P$6*(1-'Device Energy Use'!$E6))</f>
        <v>226.87306406866361</v>
      </c>
      <c r="Q6" s="11">
        <f>+'Device Energy Use'!$D6*('Retail Rates'!Q$5*'Device Energy Use'!$E6+'Retail Rates'!Q$6*(1-'Device Energy Use'!$E6))</f>
        <v>229.82241390155619</v>
      </c>
      <c r="R6" s="11">
        <f>+'Device Energy Use'!$D6*('Retail Rates'!R$5*'Device Energy Use'!$E6+'Retail Rates'!R$6*(1-'Device Energy Use'!$E6))</f>
        <v>232.8101052822764</v>
      </c>
      <c r="S6" s="11">
        <f>+'Device Energy Use'!$D6*('Retail Rates'!S$5*'Device Energy Use'!$E6+'Retail Rates'!S$6*(1-'Device Energy Use'!$E6))</f>
        <v>235.83663665094596</v>
      </c>
      <c r="T6" s="11">
        <f>+'Device Energy Use'!$D6*('Retail Rates'!T$5*'Device Energy Use'!$E6+'Retail Rates'!T$6*(1-'Device Energy Use'!$E6))</f>
        <v>238.90251292740825</v>
      </c>
      <c r="U6" s="11">
        <f>+'Device Energy Use'!$D6*('Retail Rates'!U$5*'Device Energy Use'!$E6+'Retail Rates'!U$6*(1-'Device Energy Use'!$E6))</f>
        <v>242.00824559546453</v>
      </c>
      <c r="V6" s="11">
        <f>+'Device Energy Use'!$D6*('Retail Rates'!V$5*'Device Energy Use'!$E6+'Retail Rates'!V$6*(1-'Device Energy Use'!$E6))</f>
        <v>245.15435278820553</v>
      </c>
      <c r="W6" s="11">
        <f>+'Device Energy Use'!$D6*('Retail Rates'!W$5*'Device Energy Use'!$E6+'Retail Rates'!W$6*(1-'Device Energy Use'!$E6))</f>
        <v>248.34135937445214</v>
      </c>
    </row>
    <row r="7" spans="1:23">
      <c r="A7" s="15" t="str">
        <f>+'Device Energy Use'!A7</f>
        <v>Gas Tank</v>
      </c>
      <c r="B7" s="11">
        <f>+'Device Energy Use'!$D7*('Retail Rates'!B$5*'Device Energy Use'!$E7+'Retail Rates'!B$6*(1-'Device Energy Use'!$E7))</f>
        <v>140.4651104398273</v>
      </c>
      <c r="C7" s="11">
        <f>+'Device Energy Use'!$D7*('Retail Rates'!C$5*'Device Energy Use'!$E7+'Retail Rates'!C$6*(1-'Device Energy Use'!$E7))</f>
        <v>142.5720870964247</v>
      </c>
      <c r="D7" s="11">
        <f>+'Device Energy Use'!$D7*('Retail Rates'!D$5*'Device Energy Use'!$E7+'Retail Rates'!D$6*(1-'Device Energy Use'!$E7))</f>
        <v>144.71066840287105</v>
      </c>
      <c r="E7" s="11">
        <f>+'Device Energy Use'!$D7*('Retail Rates'!E$5*'Device Energy Use'!$E7+'Retail Rates'!E$6*(1-'Device Energy Use'!$E7))</f>
        <v>146.88132842891412</v>
      </c>
      <c r="F7" s="11">
        <f>+'Device Energy Use'!$D7*('Retail Rates'!F$5*'Device Energy Use'!$E7+'Retail Rates'!F$6*(1-'Device Energy Use'!$E7))</f>
        <v>149.08454835534781</v>
      </c>
      <c r="G7" s="11">
        <f>+'Device Energy Use'!$D7*('Retail Rates'!G$5*'Device Energy Use'!$E7+'Retail Rates'!G$6*(1-'Device Energy Use'!$E7))</f>
        <v>151.32081658067801</v>
      </c>
      <c r="H7" s="11">
        <f>+'Device Energy Use'!$D7*('Retail Rates'!H$5*'Device Energy Use'!$E7+'Retail Rates'!H$6*(1-'Device Energy Use'!$E7))</f>
        <v>153.59062882938815</v>
      </c>
      <c r="I7" s="11">
        <f>+'Device Energy Use'!$D7*('Retail Rates'!I$5*'Device Energy Use'!$E7+'Retail Rates'!I$6*(1-'Device Energy Use'!$E7))</f>
        <v>155.89448826182897</v>
      </c>
      <c r="J7" s="11">
        <f>+'Device Energy Use'!$D7*('Retail Rates'!J$5*'Device Energy Use'!$E7+'Retail Rates'!J$6*(1-'Device Energy Use'!$E7))</f>
        <v>158.23290558575638</v>
      </c>
      <c r="K7" s="11">
        <f>+'Device Energy Use'!$D7*('Retail Rates'!K$5*'Device Energy Use'!$E7+'Retail Rates'!K$6*(1-'Device Energy Use'!$E7))</f>
        <v>160.6063991695427</v>
      </c>
      <c r="L7" s="11">
        <f>+'Device Energy Use'!$D7*('Retail Rates'!L$5*'Device Energy Use'!$E7+'Retail Rates'!L$6*(1-'Device Energy Use'!$E7))</f>
        <v>163.01549515708584</v>
      </c>
      <c r="M7" s="11">
        <f>+'Device Energy Use'!$D7*('Retail Rates'!M$5*'Device Energy Use'!$E7+'Retail Rates'!M$6*(1-'Device Energy Use'!$E7))</f>
        <v>165.46072758444211</v>
      </c>
      <c r="N7" s="11">
        <f>+'Device Energy Use'!$D7*('Retail Rates'!N$5*'Device Energy Use'!$E7+'Retail Rates'!N$6*(1-'Device Energy Use'!$E7))</f>
        <v>167.94263849820874</v>
      </c>
      <c r="O7" s="11">
        <f>+'Device Energy Use'!$D7*('Retail Rates'!O$5*'Device Energy Use'!$E7+'Retail Rates'!O$6*(1-'Device Energy Use'!$E7))</f>
        <v>170.46177807568185</v>
      </c>
      <c r="P7" s="11">
        <f>+'Device Energy Use'!$D7*('Retail Rates'!P$5*'Device Energy Use'!$E7+'Retail Rates'!P$6*(1-'Device Energy Use'!$E7))</f>
        <v>173.01870474681709</v>
      </c>
      <c r="Q7" s="11">
        <f>+'Device Energy Use'!$D7*('Retail Rates'!Q$5*'Device Energy Use'!$E7+'Retail Rates'!Q$6*(1-'Device Energy Use'!$E7))</f>
        <v>175.6139853180193</v>
      </c>
      <c r="R7" s="11">
        <f>+'Device Energy Use'!$D7*('Retail Rates'!R$5*'Device Energy Use'!$E7+'Retail Rates'!R$6*(1-'Device Energy Use'!$E7))</f>
        <v>178.24819509778956</v>
      </c>
      <c r="S7" s="11">
        <f>+'Device Energy Use'!$D7*('Retail Rates'!S$5*'Device Energy Use'!$E7+'Retail Rates'!S$6*(1-'Device Energy Use'!$E7))</f>
        <v>180.9219180242564</v>
      </c>
      <c r="T7" s="11">
        <f>+'Device Energy Use'!$D7*('Retail Rates'!T$5*'Device Energy Use'!$E7+'Retail Rates'!T$6*(1-'Device Energy Use'!$E7))</f>
        <v>183.63574679462022</v>
      </c>
      <c r="U7" s="11">
        <f>+'Device Energy Use'!$D7*('Retail Rates'!U$5*'Device Energy Use'!$E7+'Retail Rates'!U$6*(1-'Device Energy Use'!$E7))</f>
        <v>186.3902829965395</v>
      </c>
      <c r="V7" s="11">
        <f>+'Device Energy Use'!$D7*('Retail Rates'!V$5*'Device Energy Use'!$E7+'Retail Rates'!V$6*(1-'Device Energy Use'!$E7))</f>
        <v>189.18613724148756</v>
      </c>
      <c r="W7" s="11">
        <f>+'Device Energy Use'!$D7*('Retail Rates'!W$5*'Device Energy Use'!$E7+'Retail Rates'!W$6*(1-'Device Energy Use'!$E7))</f>
        <v>192.02392930010987</v>
      </c>
    </row>
    <row r="8" spans="1:23">
      <c r="A8" s="15" t="str">
        <f>+'Device Energy Use'!A8</f>
        <v>Instant Gas</v>
      </c>
      <c r="B8" s="11">
        <f>+'Device Energy Use'!$D8*('Retail Rates'!B$5*'Device Energy Use'!$E8+'Retail Rates'!B$6*(1-'Device Energy Use'!$E8))</f>
        <v>122.48557946288092</v>
      </c>
      <c r="C8" s="11">
        <f>+'Device Energy Use'!$D8*('Retail Rates'!C$5*'Device Energy Use'!$E8+'Retail Rates'!C$6*(1-'Device Energy Use'!$E8))</f>
        <v>124.32286315482413</v>
      </c>
      <c r="D8" s="11">
        <f>+'Device Energy Use'!$D8*('Retail Rates'!D$5*'Device Energy Use'!$E8+'Retail Rates'!D$6*(1-'Device Energy Use'!$E8))</f>
        <v>126.18770610214646</v>
      </c>
      <c r="E8" s="11">
        <f>+'Device Energy Use'!$D8*('Retail Rates'!E$5*'Device Energy Use'!$E8+'Retail Rates'!E$6*(1-'Device Energy Use'!$E8))</f>
        <v>128.08052169367866</v>
      </c>
      <c r="F8" s="11">
        <f>+'Device Energy Use'!$D8*('Retail Rates'!F$5*'Device Energy Use'!$E8+'Retail Rates'!F$6*(1-'Device Energy Use'!$E8))</f>
        <v>130.00172951908382</v>
      </c>
      <c r="G8" s="11">
        <f>+'Device Energy Use'!$D8*('Retail Rates'!G$5*'Device Energy Use'!$E8+'Retail Rates'!G$6*(1-'Device Energy Use'!$E8))</f>
        <v>131.95175546187008</v>
      </c>
      <c r="H8" s="11">
        <f>+'Device Energy Use'!$D8*('Retail Rates'!H$5*'Device Energy Use'!$E8+'Retail Rates'!H$6*(1-'Device Energy Use'!$E8))</f>
        <v>133.9310317937981</v>
      </c>
      <c r="I8" s="11">
        <f>+'Device Energy Use'!$D8*('Retail Rates'!I$5*'Device Energy Use'!$E8+'Retail Rates'!I$6*(1-'Device Energy Use'!$E8))</f>
        <v>135.93999727070505</v>
      </c>
      <c r="J8" s="11">
        <f>+'Device Energy Use'!$D8*('Retail Rates'!J$5*'Device Energy Use'!$E8+'Retail Rates'!J$6*(1-'Device Energy Use'!$E8))</f>
        <v>137.97909722976561</v>
      </c>
      <c r="K8" s="11">
        <f>+'Device Energy Use'!$D8*('Retail Rates'!K$5*'Device Energy Use'!$E8+'Retail Rates'!K$6*(1-'Device Energy Use'!$E8))</f>
        <v>140.0487836882121</v>
      </c>
      <c r="L8" s="11">
        <f>+'Device Energy Use'!$D8*('Retail Rates'!L$5*'Device Energy Use'!$E8+'Retail Rates'!L$6*(1-'Device Energy Use'!$E8))</f>
        <v>142.14951544353525</v>
      </c>
      <c r="M8" s="11">
        <f>+'Device Energy Use'!$D8*('Retail Rates'!M$5*'Device Energy Use'!$E8+'Retail Rates'!M$6*(1-'Device Energy Use'!$E8))</f>
        <v>144.28175817518829</v>
      </c>
      <c r="N8" s="11">
        <f>+'Device Energy Use'!$D8*('Retail Rates'!N$5*'Device Energy Use'!$E8+'Retail Rates'!N$6*(1-'Device Energy Use'!$E8))</f>
        <v>146.4459845478161</v>
      </c>
      <c r="O8" s="11">
        <f>+'Device Energy Use'!$D8*('Retail Rates'!O$5*'Device Energy Use'!$E8+'Retail Rates'!O$6*(1-'Device Energy Use'!$E8))</f>
        <v>148.64267431603332</v>
      </c>
      <c r="P8" s="11">
        <f>+'Device Energy Use'!$D8*('Retail Rates'!P$5*'Device Energy Use'!$E8+'Retail Rates'!P$6*(1-'Device Energy Use'!$E8))</f>
        <v>150.87231443077383</v>
      </c>
      <c r="Q8" s="11">
        <f>+'Device Energy Use'!$D8*('Retail Rates'!Q$5*'Device Energy Use'!$E8+'Retail Rates'!Q$6*(1-'Device Energy Use'!$E8))</f>
        <v>153.1353991472354</v>
      </c>
      <c r="R8" s="11">
        <f>+'Device Energy Use'!$D8*('Retail Rates'!R$5*'Device Energy Use'!$E8+'Retail Rates'!R$6*(1-'Device Energy Use'!$E8))</f>
        <v>155.43243013444393</v>
      </c>
      <c r="S8" s="11">
        <f>+'Device Energy Use'!$D8*('Retail Rates'!S$5*'Device Energy Use'!$E8+'Retail Rates'!S$6*(1-'Device Energy Use'!$E8))</f>
        <v>157.76391658646054</v>
      </c>
      <c r="T8" s="11">
        <f>+'Device Energy Use'!$D8*('Retail Rates'!T$5*'Device Energy Use'!$E8+'Retail Rates'!T$6*(1-'Device Energy Use'!$E8))</f>
        <v>160.13037533525744</v>
      </c>
      <c r="U8" s="11">
        <f>+'Device Energy Use'!$D8*('Retail Rates'!U$5*'Device Energy Use'!$E8+'Retail Rates'!U$6*(1-'Device Energy Use'!$E8))</f>
        <v>162.53233096528629</v>
      </c>
      <c r="V8" s="11">
        <f>+'Device Energy Use'!$D8*('Retail Rates'!V$5*'Device Energy Use'!$E8+'Retail Rates'!V$6*(1-'Device Energy Use'!$E8))</f>
        <v>164.97031592976558</v>
      </c>
      <c r="W8" s="11">
        <f>+'Device Energy Use'!$D8*('Retail Rates'!W$5*'Device Energy Use'!$E8+'Retail Rates'!W$6*(1-'Device Energy Use'!$E8))</f>
        <v>167.44487066871204</v>
      </c>
    </row>
    <row r="9" spans="1:23">
      <c r="A9" s="15" t="str">
        <f>+'Device Energy Use'!A9</f>
        <v>Condensing Gas</v>
      </c>
      <c r="B9" s="11">
        <f>+'Device Energy Use'!$D9*('Retail Rates'!B$5*'Device Energy Use'!$E9+'Retail Rates'!B$6*(1-'Device Energy Use'!$E9))</f>
        <v>127.63949003932539</v>
      </c>
      <c r="C9" s="11">
        <f>+'Device Energy Use'!$D9*('Retail Rates'!C$5*'Device Energy Use'!$E9+'Retail Rates'!C$6*(1-'Device Energy Use'!$E9))</f>
        <v>129.55408238991527</v>
      </c>
      <c r="D9" s="11">
        <f>+'Device Energy Use'!$D9*('Retail Rates'!D$5*'Device Energy Use'!$E9+'Retail Rates'!D$6*(1-'Device Energy Use'!$E9))</f>
        <v>131.49739362576398</v>
      </c>
      <c r="E9" s="11">
        <f>+'Device Energy Use'!$D9*('Retail Rates'!E$5*'Device Energy Use'!$E9+'Retail Rates'!E$6*(1-'Device Energy Use'!$E9))</f>
        <v>133.46985453015043</v>
      </c>
      <c r="F9" s="11">
        <f>+'Device Energy Use'!$D9*('Retail Rates'!F$5*'Device Energy Use'!$E9+'Retail Rates'!F$6*(1-'Device Energy Use'!$E9))</f>
        <v>135.47190234810267</v>
      </c>
      <c r="G9" s="11">
        <f>+'Device Energy Use'!$D9*('Retail Rates'!G$5*'Device Energy Use'!$E9+'Retail Rates'!G$6*(1-'Device Energy Use'!$E9))</f>
        <v>137.5039808833242</v>
      </c>
      <c r="H9" s="11">
        <f>+'Device Energy Use'!$D9*('Retail Rates'!H$5*'Device Energy Use'!$E9+'Retail Rates'!H$6*(1-'Device Energy Use'!$E9))</f>
        <v>139.56654059657404</v>
      </c>
      <c r="I9" s="11">
        <f>+'Device Energy Use'!$D9*('Retail Rates'!I$5*'Device Energy Use'!$E9+'Retail Rates'!I$6*(1-'Device Energy Use'!$E9))</f>
        <v>141.66003870552265</v>
      </c>
      <c r="J9" s="11">
        <f>+'Device Energy Use'!$D9*('Retail Rates'!J$5*'Device Energy Use'!$E9+'Retail Rates'!J$6*(1-'Device Energy Use'!$E9))</f>
        <v>143.78493928610547</v>
      </c>
      <c r="K9" s="11">
        <f>+'Device Energy Use'!$D9*('Retail Rates'!K$5*'Device Energy Use'!$E9+'Retail Rates'!K$6*(1-'Device Energy Use'!$E9))</f>
        <v>145.94171337539703</v>
      </c>
      <c r="L9" s="11">
        <f>+'Device Energy Use'!$D9*('Retail Rates'!L$5*'Device Energy Use'!$E9+'Retail Rates'!L$6*(1-'Device Energy Use'!$E9))</f>
        <v>148.13083907602797</v>
      </c>
      <c r="M9" s="11">
        <f>+'Device Energy Use'!$D9*('Retail Rates'!M$5*'Device Energy Use'!$E9+'Retail Rates'!M$6*(1-'Device Energy Use'!$E9))</f>
        <v>150.35280166216839</v>
      </c>
      <c r="N9" s="11">
        <f>+'Device Energy Use'!$D9*('Retail Rates'!N$5*'Device Energy Use'!$E9+'Retail Rates'!N$6*(1-'Device Energy Use'!$E9))</f>
        <v>152.6080936871009</v>
      </c>
      <c r="O9" s="11">
        <f>+'Device Energy Use'!$D9*('Retail Rates'!O$5*'Device Energy Use'!$E9+'Retail Rates'!O$6*(1-'Device Energy Use'!$E9))</f>
        <v>154.89721509240741</v>
      </c>
      <c r="P9" s="11">
        <f>+'Device Energy Use'!$D9*('Retail Rates'!P$5*'Device Energy Use'!$E9+'Retail Rates'!P$6*(1-'Device Energy Use'!$E9))</f>
        <v>157.22067331879353</v>
      </c>
      <c r="Q9" s="11">
        <f>+'Device Energy Use'!$D9*('Retail Rates'!Q$5*'Device Energy Use'!$E9+'Retail Rates'!Q$6*(1-'Device Energy Use'!$E9))</f>
        <v>159.5789834185754</v>
      </c>
      <c r="R9" s="11">
        <f>+'Device Energy Use'!$D9*('Retail Rates'!R$5*'Device Energy Use'!$E9+'Retail Rates'!R$6*(1-'Device Energy Use'!$E9))</f>
        <v>161.97266816985399</v>
      </c>
      <c r="S9" s="11">
        <f>+'Device Energy Use'!$D9*('Retail Rates'!S$5*'Device Energy Use'!$E9+'Retail Rates'!S$6*(1-'Device Energy Use'!$E9))</f>
        <v>164.40225819240177</v>
      </c>
      <c r="T9" s="11">
        <f>+'Device Energy Use'!$D9*('Retail Rates'!T$5*'Device Energy Use'!$E9+'Retail Rates'!T$6*(1-'Device Energy Use'!$E9))</f>
        <v>166.86829206528779</v>
      </c>
      <c r="U9" s="11">
        <f>+'Device Energy Use'!$D9*('Retail Rates'!U$5*'Device Energy Use'!$E9+'Retail Rates'!U$6*(1-'Device Energy Use'!$E9))</f>
        <v>169.37131644626709</v>
      </c>
      <c r="V9" s="11">
        <f>+'Device Energy Use'!$D9*('Retail Rates'!V$5*'Device Energy Use'!$E9+'Retail Rates'!V$6*(1-'Device Energy Use'!$E9))</f>
        <v>171.91188619296108</v>
      </c>
      <c r="W9" s="11">
        <f>+'Device Energy Use'!$D9*('Retail Rates'!W$5*'Device Energy Use'!$E9+'Retail Rates'!W$6*(1-'Device Energy Use'!$E9))</f>
        <v>174.49056448585549</v>
      </c>
    </row>
    <row r="10" spans="1:23">
      <c r="G10" s="15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K16"/>
  <sheetViews>
    <sheetView workbookViewId="0"/>
  </sheetViews>
  <sheetFormatPr defaultColWidth="8.85546875" defaultRowHeight="15.75"/>
  <cols>
    <col min="1" max="1" width="20.7109375" style="2" customWidth="1"/>
    <col min="2" max="2" width="17" style="5" customWidth="1"/>
    <col min="3" max="3" width="14.7109375" style="2" customWidth="1"/>
    <col min="4" max="7" width="12.7109375" style="2" customWidth="1"/>
    <col min="8" max="8" width="17" style="2" bestFit="1" customWidth="1"/>
    <col min="9" max="9" width="18.28515625" style="2" bestFit="1" customWidth="1"/>
    <col min="10" max="10" width="13" style="5" customWidth="1"/>
    <col min="11" max="11" width="12.28515625" style="2" bestFit="1" customWidth="1"/>
    <col min="12" max="12" width="9.140625" style="2" customWidth="1"/>
    <col min="13" max="16384" width="8.85546875" style="2"/>
  </cols>
  <sheetData>
    <row r="1" spans="1:11">
      <c r="A1" s="147" t="str">
        <f>CONCATENATE("Segment:  ",State,", Single Family, ", SpaceHeat, ", ", TankSize,", ", StartWH, " is starting water heater")</f>
        <v>Segment:  Montana, Single Family, Gas FAF, &gt;55 Gallons, Electric Resistance is starting water heater</v>
      </c>
    </row>
    <row r="3" spans="1:11" ht="23.25" customHeight="1">
      <c r="A3" s="26" t="s">
        <v>83</v>
      </c>
    </row>
    <row r="4" spans="1:11" s="19" customFormat="1" ht="47.25">
      <c r="A4" s="17" t="s">
        <v>0</v>
      </c>
      <c r="B4" s="17" t="str">
        <f>'Input Assumptions'!B26</f>
        <v>Electricity Required (KWh/ device/Yr)</v>
      </c>
      <c r="C4" s="17" t="str">
        <f>'Input Assumptions'!C26</f>
        <v>Gas Required (mmBtu/ device/Yr)</v>
      </c>
      <c r="D4" s="18" t="s">
        <v>16</v>
      </c>
      <c r="E4" s="17" t="str">
        <f>'Input Assumptions'!E26</f>
        <v>Electric Technology</v>
      </c>
    </row>
    <row r="5" spans="1:11">
      <c r="A5" s="2" t="str">
        <f>'Input Assumptions'!D45</f>
        <v>Electric Resistance</v>
      </c>
      <c r="B5" s="57">
        <f>'Input Assumptions'!B27</f>
        <v>3355.4343604471896</v>
      </c>
      <c r="C5" s="6">
        <f>'Input Assumptions'!C27</f>
        <v>0</v>
      </c>
      <c r="D5" s="6">
        <f>'Input Assumptions'!B27*3412/1000000+'Input Assumptions'!C27</f>
        <v>11.448742037845811</v>
      </c>
      <c r="E5" s="5">
        <f>'Input Assumptions'!E27</f>
        <v>1</v>
      </c>
      <c r="J5" s="2"/>
    </row>
    <row r="6" spans="1:11">
      <c r="A6" s="2" t="str">
        <f>'Input Assumptions'!D46</f>
        <v>HPWH</v>
      </c>
      <c r="B6" s="57">
        <f>'Input Assumptions'!B28</f>
        <v>1830.0598920349698</v>
      </c>
      <c r="C6" s="6">
        <f>'Input Assumptions'!C28</f>
        <v>0</v>
      </c>
      <c r="D6" s="6">
        <f>'Input Assumptions'!B28*3412/1000000+'Input Assumptions'!C28</f>
        <v>6.2441643516233176</v>
      </c>
      <c r="E6" s="5">
        <f>'Input Assumptions'!E28</f>
        <v>1</v>
      </c>
      <c r="J6" s="2"/>
    </row>
    <row r="7" spans="1:11">
      <c r="A7" s="2" t="str">
        <f>'Input Assumptions'!D47</f>
        <v>Gas Tank</v>
      </c>
      <c r="B7" s="57">
        <f>'Input Assumptions'!B29</f>
        <v>0</v>
      </c>
      <c r="C7" s="6">
        <f>'Input Assumptions'!C29</f>
        <v>17.346578845220922</v>
      </c>
      <c r="D7" s="6">
        <f>'Input Assumptions'!B29*3412/1000000+'Input Assumptions'!C29</f>
        <v>17.346578845220922</v>
      </c>
      <c r="E7" s="5">
        <f>'Input Assumptions'!E29</f>
        <v>0</v>
      </c>
      <c r="G7" s="171"/>
      <c r="J7" s="2"/>
    </row>
    <row r="8" spans="1:11">
      <c r="A8" s="2" t="str">
        <f>'Input Assumptions'!D48</f>
        <v>Instant Gas</v>
      </c>
      <c r="B8" s="57">
        <f>'Input Assumptions'!B30</f>
        <v>0</v>
      </c>
      <c r="C8" s="6">
        <f>'Input Assumptions'!C30</f>
        <v>15.126217143193161</v>
      </c>
      <c r="D8" s="6">
        <f>'Input Assumptions'!B30*3412/1000000+'Input Assumptions'!C30</f>
        <v>15.126217143193161</v>
      </c>
      <c r="E8" s="5">
        <f>'Input Assumptions'!E30</f>
        <v>0</v>
      </c>
      <c r="G8" s="171"/>
      <c r="J8" s="2"/>
    </row>
    <row r="9" spans="1:11">
      <c r="A9" s="2" t="str">
        <f>'Input Assumptions'!D49</f>
        <v>Condensing Gas</v>
      </c>
      <c r="B9" s="57">
        <f>'Input Assumptions'!B31</f>
        <v>0</v>
      </c>
      <c r="C9" s="6">
        <f>'Input Assumptions'!C31</f>
        <v>15.762693460305449</v>
      </c>
      <c r="D9" s="6">
        <f>'Input Assumptions'!B31*3412/1000000+'Input Assumptions'!C31</f>
        <v>15.762693460305449</v>
      </c>
      <c r="E9" s="5">
        <f>'Input Assumptions'!E31</f>
        <v>0</v>
      </c>
      <c r="J9" s="2"/>
    </row>
    <row r="10" spans="1:11">
      <c r="A10" s="1"/>
      <c r="B10" s="7"/>
      <c r="H10" s="3"/>
      <c r="I10" s="4"/>
      <c r="J10" s="6"/>
      <c r="K10" s="8"/>
    </row>
    <row r="13" spans="1:11">
      <c r="J13" s="2"/>
    </row>
    <row r="14" spans="1:11">
      <c r="J14" s="2"/>
    </row>
    <row r="15" spans="1:11">
      <c r="J15" s="2"/>
    </row>
    <row r="16" spans="1:11">
      <c r="J16" s="2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E10"/>
  <sheetViews>
    <sheetView workbookViewId="0"/>
  </sheetViews>
  <sheetFormatPr defaultColWidth="8.85546875" defaultRowHeight="15.75"/>
  <cols>
    <col min="1" max="1" width="21.7109375" style="2" customWidth="1"/>
    <col min="2" max="2" width="17.42578125" style="5" customWidth="1"/>
    <col min="3" max="3" width="12.85546875" style="2" customWidth="1"/>
    <col min="4" max="4" width="18.140625" style="2" customWidth="1"/>
    <col min="5" max="5" width="15.7109375" style="2" customWidth="1"/>
    <col min="6" max="11" width="12.7109375" style="2" customWidth="1"/>
    <col min="12" max="16384" width="8.85546875" style="2"/>
  </cols>
  <sheetData>
    <row r="1" spans="1:5">
      <c r="A1" s="147" t="str">
        <f>CONCATENATE("Segment:  ",State,", Single Family, ", SpaceHeat, ", ", TankSize,", ", StartWH, " is starting water heater")</f>
        <v>Segment:  Montana, Single Family, Gas FAF, &gt;55 Gallons, Electric Resistance is starting water heater</v>
      </c>
    </row>
    <row r="2" spans="1:5" ht="18.75">
      <c r="A2" s="146"/>
    </row>
    <row r="3" spans="1:5" ht="23.25" customHeight="1">
      <c r="A3" s="26" t="s">
        <v>82</v>
      </c>
    </row>
    <row r="4" spans="1:5" s="19" customFormat="1" ht="47.25">
      <c r="A4" s="17" t="s">
        <v>0</v>
      </c>
      <c r="B4" s="17" t="str">
        <f>'Input Assumptions'!B35</f>
        <v>Capital Cost (Various Real $)</v>
      </c>
      <c r="C4" s="17" t="str">
        <f>'Input Assumptions'!C35</f>
        <v>Units of Dollars</v>
      </c>
      <c r="D4" s="17" t="s">
        <v>134</v>
      </c>
      <c r="E4" s="17" t="s">
        <v>20</v>
      </c>
    </row>
    <row r="5" spans="1:5">
      <c r="A5" s="2" t="str">
        <f>'Input Assumptions'!D45</f>
        <v>Electric Resistance</v>
      </c>
      <c r="B5" s="61">
        <f>'Input Assumptions'!B36</f>
        <v>590</v>
      </c>
      <c r="C5" s="102" t="str">
        <f>'Input Assumptions'!C36</f>
        <v>2008$</v>
      </c>
      <c r="D5" s="62">
        <f>Inflation!AB5/Inflation!X5</f>
        <v>1.0627615062761504</v>
      </c>
      <c r="E5" s="60">
        <f>B5*D5</f>
        <v>627.02928870292874</v>
      </c>
    </row>
    <row r="6" spans="1:5">
      <c r="A6" s="2" t="str">
        <f>'Input Assumptions'!D46</f>
        <v>HPWH</v>
      </c>
      <c r="B6" s="61">
        <f>'Input Assumptions'!B37</f>
        <v>1621</v>
      </c>
      <c r="C6" s="102" t="str">
        <f>'Input Assumptions'!C37</f>
        <v>2011$</v>
      </c>
      <c r="D6" s="62">
        <f>Inflation!AB5/Inflation!AA5</f>
        <v>1.0177579455423003</v>
      </c>
      <c r="E6" s="60">
        <f>B6*D6</f>
        <v>1649.7856297240687</v>
      </c>
    </row>
    <row r="7" spans="1:5">
      <c r="A7" s="2" t="str">
        <f>'Input Assumptions'!D47</f>
        <v>Gas Tank</v>
      </c>
      <c r="B7" s="61">
        <f>'Input Assumptions'!B38</f>
        <v>785</v>
      </c>
      <c r="C7" s="102" t="str">
        <f>'Input Assumptions'!C38</f>
        <v>2013$</v>
      </c>
      <c r="D7" s="62">
        <f>Inflation!$AB$5/Inflation!$AC$5</f>
        <v>0.98250549450549451</v>
      </c>
      <c r="E7" s="60">
        <f>B7*D7</f>
        <v>771.26681318681324</v>
      </c>
    </row>
    <row r="8" spans="1:5">
      <c r="A8" s="2" t="str">
        <f>'Input Assumptions'!D48</f>
        <v>Instant Gas</v>
      </c>
      <c r="B8" s="61">
        <f>'Input Assumptions'!B39</f>
        <v>3760</v>
      </c>
      <c r="C8" s="102" t="str">
        <f>'Input Assumptions'!C39</f>
        <v>2013$</v>
      </c>
      <c r="D8" s="62">
        <f>Inflation!$AB$5/Inflation!$AC$5</f>
        <v>0.98250549450549451</v>
      </c>
      <c r="E8" s="60">
        <f>B8*D8</f>
        <v>3694.2206593406595</v>
      </c>
    </row>
    <row r="9" spans="1:5">
      <c r="A9" s="2" t="str">
        <f>'Input Assumptions'!D49</f>
        <v>Condensing Gas</v>
      </c>
      <c r="B9" s="61">
        <f>'Input Assumptions'!B40</f>
        <v>2084.4625924555244</v>
      </c>
      <c r="C9" s="102" t="str">
        <f>'Input Assumptions'!C40</f>
        <v>2006$</v>
      </c>
      <c r="D9" s="62">
        <f>Inflation!$AB$5/Inflation!$V$5</f>
        <v>1.1175999999999999</v>
      </c>
      <c r="E9" s="60">
        <f>B9*D9</f>
        <v>2329.595393328294</v>
      </c>
    </row>
    <row r="10" spans="1:5">
      <c r="A10" s="1"/>
      <c r="B10" s="7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J10"/>
  <sheetViews>
    <sheetView workbookViewId="0">
      <selection activeCell="A2" sqref="A2"/>
    </sheetView>
  </sheetViews>
  <sheetFormatPr defaultColWidth="8.85546875" defaultRowHeight="15.75"/>
  <cols>
    <col min="1" max="1" width="22.7109375" style="2" customWidth="1"/>
    <col min="2" max="2" width="15.7109375" style="5" customWidth="1"/>
    <col min="3" max="5" width="15.7109375" style="2" customWidth="1"/>
    <col min="6" max="10" width="12.7109375" style="2" customWidth="1"/>
    <col min="11" max="16384" width="8.85546875" style="2"/>
  </cols>
  <sheetData>
    <row r="1" spans="1:10">
      <c r="A1" s="147" t="str">
        <f>CONCATENATE("Segment:  ",State,", Single Family, ", SpaceHeat, ", ", TankSize,", ", StartWH, " is starting water heater")</f>
        <v>Segment:  Montana, Single Family, Gas FAF, &gt;55 Gallons, Electric Resistance is starting water heater</v>
      </c>
      <c r="B1" s="138"/>
      <c r="C1" s="137"/>
      <c r="D1" s="137"/>
      <c r="E1" s="137"/>
      <c r="F1" s="137"/>
      <c r="G1" s="137"/>
      <c r="H1" s="137"/>
      <c r="I1" s="137"/>
      <c r="J1" s="137"/>
    </row>
    <row r="2" spans="1:10" ht="18.75">
      <c r="A2" s="146"/>
      <c r="B2" s="138"/>
      <c r="C2" s="137"/>
      <c r="D2" s="137"/>
      <c r="E2" s="137"/>
      <c r="F2" s="137"/>
      <c r="G2" s="137"/>
      <c r="H2" s="137"/>
      <c r="I2" s="137"/>
      <c r="J2" s="137"/>
    </row>
    <row r="3" spans="1:10" ht="23.25" customHeight="1">
      <c r="A3" s="26" t="s">
        <v>84</v>
      </c>
    </row>
    <row r="4" spans="1:10" s="19" customFormat="1" ht="47.25">
      <c r="A4" s="139" t="s">
        <v>133</v>
      </c>
      <c r="B4" s="145" t="str">
        <f>'Input Assumptions'!D26</f>
        <v>O&amp;M Cost (2006$/ device/Yr)</v>
      </c>
      <c r="C4" s="145" t="s">
        <v>64</v>
      </c>
      <c r="D4" s="145" t="s">
        <v>21</v>
      </c>
    </row>
    <row r="5" spans="1:10">
      <c r="A5" s="2" t="str">
        <f>'Input Assumptions'!D45</f>
        <v>Electric Resistance</v>
      </c>
      <c r="B5" s="60">
        <f>'Input Assumptions'!D27</f>
        <v>4.0147653217481896</v>
      </c>
      <c r="C5" s="62">
        <f>Inflation!$AB$5/Inflation!$V$5</f>
        <v>1.1175999999999999</v>
      </c>
      <c r="D5" s="60">
        <f>B5*C5</f>
        <v>4.4869017235857767</v>
      </c>
    </row>
    <row r="6" spans="1:10">
      <c r="A6" s="2" t="str">
        <f>'Input Assumptions'!D46</f>
        <v>HPWH</v>
      </c>
      <c r="B6" s="60">
        <f>'Input Assumptions'!D28</f>
        <v>8.8912994251335906</v>
      </c>
      <c r="C6" s="62">
        <f>Inflation!$AB$5/Inflation!$V$5</f>
        <v>1.1175999999999999</v>
      </c>
      <c r="D6" s="60">
        <f>B6*C6</f>
        <v>9.9369162375292994</v>
      </c>
    </row>
    <row r="7" spans="1:10">
      <c r="A7" s="2" t="str">
        <f>'Input Assumptions'!D47</f>
        <v>Gas Tank</v>
      </c>
      <c r="B7" s="60">
        <f>'Input Assumptions'!D29</f>
        <v>12.364813725618941</v>
      </c>
      <c r="C7" s="62">
        <f>Inflation!$AB$5/Inflation!$V$5</f>
        <v>1.1175999999999999</v>
      </c>
      <c r="D7" s="60">
        <f>B7*C7</f>
        <v>13.818915819751727</v>
      </c>
    </row>
    <row r="8" spans="1:10">
      <c r="A8" s="2" t="str">
        <f>'Input Assumptions'!D48</f>
        <v>Instant Gas</v>
      </c>
      <c r="B8" s="60">
        <f>'Input Assumptions'!D30</f>
        <v>66.879220980384858</v>
      </c>
      <c r="C8" s="62">
        <f>Inflation!$AB$5/Inflation!$V$5</f>
        <v>1.1175999999999999</v>
      </c>
      <c r="D8" s="60">
        <f>B8*C8</f>
        <v>74.744217367678118</v>
      </c>
    </row>
    <row r="9" spans="1:10">
      <c r="A9" s="2" t="str">
        <f>'Input Assumptions'!D49</f>
        <v>Condensing Gas</v>
      </c>
      <c r="B9" s="60">
        <f>'Input Assumptions'!D31</f>
        <v>14.794662287278264</v>
      </c>
      <c r="C9" s="62">
        <f>Inflation!$AB$5/Inflation!$V$5</f>
        <v>1.1175999999999999</v>
      </c>
      <c r="D9" s="60">
        <f>B9*C9</f>
        <v>16.534514572262186</v>
      </c>
    </row>
    <row r="10" spans="1:10">
      <c r="A10" s="1"/>
      <c r="B10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L51"/>
  <sheetViews>
    <sheetView workbookViewId="0"/>
  </sheetViews>
  <sheetFormatPr defaultColWidth="9.140625" defaultRowHeight="15.75"/>
  <cols>
    <col min="1" max="1" width="45.28515625" style="9" customWidth="1"/>
    <col min="2" max="2" width="19.7109375" style="9" customWidth="1"/>
    <col min="3" max="3" width="19" style="9" customWidth="1"/>
    <col min="4" max="4" width="16.140625" style="9" customWidth="1"/>
    <col min="5" max="5" width="15.7109375" style="9" customWidth="1"/>
    <col min="6" max="9" width="12.7109375" style="9" customWidth="1"/>
    <col min="10" max="10" width="14.140625" style="9" customWidth="1"/>
    <col min="11" max="11" width="9.140625" style="9"/>
    <col min="12" max="12" width="10.5703125" style="9" customWidth="1"/>
    <col min="13" max="13" width="12.28515625" style="9" customWidth="1"/>
    <col min="14" max="16384" width="9.140625" style="9"/>
  </cols>
  <sheetData>
    <row r="1" spans="1:10">
      <c r="A1" s="147" t="str">
        <f>CONCATENATE("Segment:  ",State,", Single Family, ", SpaceHeat, ", ", TankSize,", ", StartWH, " is starting water heater")</f>
        <v>Segment:  Montana, Single Family, Gas FAF, &gt;55 Gallons, Electric Resistance is starting water heater</v>
      </c>
    </row>
    <row r="3" spans="1:10">
      <c r="A3" s="25" t="s">
        <v>65</v>
      </c>
      <c r="J3" s="44"/>
    </row>
    <row r="4" spans="1:10">
      <c r="A4" s="173" t="s">
        <v>86</v>
      </c>
      <c r="C4" s="12"/>
    </row>
    <row r="5" spans="1:10">
      <c r="A5" s="174" t="s">
        <v>85</v>
      </c>
    </row>
    <row r="6" spans="1:10">
      <c r="A6" s="76"/>
    </row>
    <row r="7" spans="1:10">
      <c r="A7" s="12" t="s">
        <v>132</v>
      </c>
    </row>
    <row r="8" spans="1:10">
      <c r="A8" s="65" t="s">
        <v>37</v>
      </c>
      <c r="B8" s="70" t="s">
        <v>36</v>
      </c>
      <c r="C8" s="106" t="s">
        <v>49</v>
      </c>
      <c r="D8" s="81"/>
      <c r="E8" s="81"/>
      <c r="F8" s="81"/>
      <c r="G8" s="92"/>
    </row>
    <row r="9" spans="1:10">
      <c r="A9" s="66" t="s">
        <v>15</v>
      </c>
      <c r="B9" s="71" t="s">
        <v>171</v>
      </c>
      <c r="C9" s="44"/>
      <c r="D9" s="44"/>
      <c r="E9" s="44"/>
      <c r="F9" s="44"/>
      <c r="G9" s="67"/>
    </row>
    <row r="10" spans="1:10">
      <c r="A10" s="66" t="s">
        <v>89</v>
      </c>
      <c r="B10" s="71" t="s">
        <v>7</v>
      </c>
      <c r="C10" s="44"/>
      <c r="D10" s="44"/>
      <c r="E10" s="44"/>
      <c r="F10" s="44"/>
      <c r="G10" s="67"/>
    </row>
    <row r="11" spans="1:10">
      <c r="A11" s="66" t="s">
        <v>69</v>
      </c>
      <c r="B11" s="71" t="s">
        <v>8</v>
      </c>
      <c r="C11" s="44"/>
      <c r="D11" s="44"/>
      <c r="E11" s="44"/>
      <c r="F11" s="44"/>
      <c r="G11" s="67"/>
    </row>
    <row r="12" spans="1:10">
      <c r="A12" s="66" t="s">
        <v>70</v>
      </c>
      <c r="B12" s="71" t="s">
        <v>164</v>
      </c>
      <c r="C12" s="44"/>
      <c r="E12" s="44"/>
      <c r="F12" s="44"/>
      <c r="G12" s="67"/>
    </row>
    <row r="13" spans="1:10">
      <c r="A13" s="66" t="s">
        <v>170</v>
      </c>
      <c r="B13" s="97">
        <v>1904</v>
      </c>
      <c r="C13" s="59" t="s">
        <v>118</v>
      </c>
      <c r="D13" s="44"/>
      <c r="E13" s="44"/>
      <c r="F13" s="44"/>
      <c r="G13" s="67"/>
    </row>
    <row r="14" spans="1:10">
      <c r="A14" s="66" t="s">
        <v>42</v>
      </c>
      <c r="B14" s="72">
        <v>14</v>
      </c>
      <c r="C14" s="44" t="s">
        <v>90</v>
      </c>
      <c r="D14" s="44"/>
      <c r="E14" s="44"/>
      <c r="F14" s="44"/>
      <c r="G14" s="67"/>
    </row>
    <row r="15" spans="1:10">
      <c r="A15" s="68" t="s">
        <v>48</v>
      </c>
      <c r="B15" s="98">
        <v>0.04</v>
      </c>
      <c r="C15" s="44" t="s">
        <v>66</v>
      </c>
      <c r="D15" s="44"/>
      <c r="E15" s="44"/>
      <c r="F15" s="44"/>
      <c r="G15" s="67"/>
    </row>
    <row r="16" spans="1:10">
      <c r="A16" s="68" t="s">
        <v>59</v>
      </c>
      <c r="B16" s="119">
        <v>0.1</v>
      </c>
      <c r="C16" s="44" t="s">
        <v>60</v>
      </c>
      <c r="D16" s="44"/>
      <c r="E16" s="44"/>
      <c r="F16" s="44"/>
      <c r="G16" s="67"/>
    </row>
    <row r="17" spans="1:12">
      <c r="A17" s="68" t="s">
        <v>119</v>
      </c>
      <c r="B17" s="72">
        <v>6470</v>
      </c>
      <c r="C17" s="44" t="s">
        <v>120</v>
      </c>
      <c r="D17" s="44"/>
      <c r="E17" s="44"/>
      <c r="F17" s="44"/>
      <c r="G17" s="67"/>
    </row>
    <row r="18" spans="1:12">
      <c r="A18" s="68" t="s">
        <v>143</v>
      </c>
      <c r="B18" s="72">
        <v>3.4119999999999999</v>
      </c>
      <c r="C18" s="44"/>
      <c r="D18" s="44"/>
      <c r="E18" s="44"/>
      <c r="F18" s="44"/>
      <c r="G18" s="67"/>
    </row>
    <row r="19" spans="1:12">
      <c r="A19" s="66" t="s">
        <v>38</v>
      </c>
      <c r="B19" s="72">
        <v>-2.2999999999999998</v>
      </c>
      <c r="C19" s="44"/>
      <c r="D19" s="44"/>
      <c r="E19" s="44"/>
      <c r="F19" s="44"/>
      <c r="G19" s="67"/>
    </row>
    <row r="20" spans="1:12">
      <c r="A20" s="156" t="s">
        <v>92</v>
      </c>
      <c r="B20" s="120" t="s">
        <v>93</v>
      </c>
      <c r="C20" s="41"/>
      <c r="D20" s="41"/>
      <c r="E20" s="41"/>
      <c r="F20" s="41"/>
      <c r="G20" s="69"/>
    </row>
    <row r="21" spans="1:12">
      <c r="A21" s="75" t="s">
        <v>71</v>
      </c>
    </row>
    <row r="22" spans="1:12">
      <c r="A22" s="28" t="s">
        <v>28</v>
      </c>
    </row>
    <row r="23" spans="1:12">
      <c r="A23" s="30" t="s">
        <v>27</v>
      </c>
    </row>
    <row r="25" spans="1:12">
      <c r="A25" s="12" t="str">
        <f>CONCATENATE("Energy Usage and O&amp;M Costs by Water Heater Type - ",State,", ", SpaceHeat,", Starting with ",StartWH," ",TankSize)</f>
        <v>Energy Usage and O&amp;M Costs by Water Heater Type - Montana, Gas FAF, Starting with Electric Resistance &gt;55 Gallons</v>
      </c>
    </row>
    <row r="26" spans="1:12" ht="47.25">
      <c r="A26" s="88" t="s">
        <v>0</v>
      </c>
      <c r="B26" s="88" t="s">
        <v>131</v>
      </c>
      <c r="C26" s="88" t="s">
        <v>130</v>
      </c>
      <c r="D26" s="88" t="s">
        <v>129</v>
      </c>
      <c r="E26" s="88" t="s">
        <v>17</v>
      </c>
      <c r="F26" s="88" t="s">
        <v>49</v>
      </c>
      <c r="G26" s="81"/>
      <c r="H26" s="81"/>
      <c r="I26" s="81"/>
      <c r="J26" s="81"/>
      <c r="K26" s="81"/>
      <c r="L26" s="92"/>
    </row>
    <row r="27" spans="1:12">
      <c r="A27" s="2" t="s">
        <v>8</v>
      </c>
      <c r="B27" s="176">
        <v>3355.4343604471896</v>
      </c>
      <c r="C27" s="177">
        <v>0</v>
      </c>
      <c r="D27" s="178">
        <v>4.0147653217481896</v>
      </c>
      <c r="E27" s="179">
        <v>1</v>
      </c>
      <c r="F27" s="59" t="s">
        <v>58</v>
      </c>
      <c r="G27" s="44"/>
      <c r="H27" s="44"/>
      <c r="I27" s="44"/>
      <c r="J27" s="44"/>
      <c r="K27" s="44"/>
      <c r="L27" s="67"/>
    </row>
    <row r="28" spans="1:12">
      <c r="A28" s="2" t="s">
        <v>11</v>
      </c>
      <c r="B28" s="175">
        <v>1830.0598920349698</v>
      </c>
      <c r="C28" s="112">
        <v>0</v>
      </c>
      <c r="D28" s="113">
        <v>8.8912994251335906</v>
      </c>
      <c r="E28" s="114">
        <v>1</v>
      </c>
      <c r="F28" s="59" t="s">
        <v>58</v>
      </c>
      <c r="G28" s="44"/>
      <c r="H28" s="44"/>
      <c r="I28" s="44"/>
      <c r="J28" s="44"/>
      <c r="K28" s="44"/>
      <c r="L28" s="67"/>
    </row>
    <row r="29" spans="1:12">
      <c r="A29" s="2" t="s">
        <v>12</v>
      </c>
      <c r="B29" s="176">
        <v>0</v>
      </c>
      <c r="C29" s="177">
        <v>17.346578845220922</v>
      </c>
      <c r="D29" s="178">
        <v>12.364813725618941</v>
      </c>
      <c r="E29" s="179">
        <v>0</v>
      </c>
      <c r="F29" s="59" t="s">
        <v>58</v>
      </c>
      <c r="G29" s="44"/>
      <c r="H29" s="44"/>
      <c r="I29" s="44"/>
      <c r="J29" s="44"/>
      <c r="K29" s="44"/>
      <c r="L29" s="67"/>
    </row>
    <row r="30" spans="1:12">
      <c r="A30" s="2" t="s">
        <v>13</v>
      </c>
      <c r="B30" s="111">
        <v>0</v>
      </c>
      <c r="C30" s="112">
        <v>15.126217143193161</v>
      </c>
      <c r="D30" s="113">
        <v>66.879220980384858</v>
      </c>
      <c r="E30" s="114">
        <v>0</v>
      </c>
      <c r="F30" s="59" t="s">
        <v>58</v>
      </c>
      <c r="G30" s="44"/>
      <c r="H30" s="44"/>
      <c r="I30" s="44"/>
      <c r="J30" s="44"/>
      <c r="K30" s="44"/>
      <c r="L30" s="67"/>
    </row>
    <row r="31" spans="1:12">
      <c r="A31" s="78" t="s">
        <v>14</v>
      </c>
      <c r="B31" s="115">
        <v>0</v>
      </c>
      <c r="C31" s="116">
        <v>15.762693460305449</v>
      </c>
      <c r="D31" s="117">
        <v>14.794662287278264</v>
      </c>
      <c r="E31" s="118">
        <v>0</v>
      </c>
      <c r="F31" s="105" t="s">
        <v>58</v>
      </c>
      <c r="G31" s="41"/>
      <c r="H31" s="41"/>
      <c r="I31" s="41"/>
      <c r="J31" s="41"/>
      <c r="K31" s="41"/>
      <c r="L31" s="69"/>
    </row>
    <row r="32" spans="1:12">
      <c r="A32" s="180" t="s">
        <v>165</v>
      </c>
      <c r="B32" s="176"/>
      <c r="C32" s="177"/>
      <c r="D32" s="178"/>
      <c r="E32" s="179"/>
      <c r="F32" s="59"/>
      <c r="G32" s="44"/>
      <c r="H32" s="44"/>
      <c r="I32" s="44"/>
      <c r="J32" s="44"/>
      <c r="K32" s="44"/>
      <c r="L32" s="44"/>
    </row>
    <row r="33" spans="1:12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58"/>
      <c r="L33" s="77"/>
    </row>
    <row r="34" spans="1:12">
      <c r="A34" s="12" t="str">
        <f>CONCATENATE("Capital Cost by Water Heater Type - ",State,", ", SpaceHeat,", Starting with ",StartWH," ",TankSize)</f>
        <v>Capital Cost by Water Heater Type - Montana, Gas FAF, Starting with Electric Resistance &gt;55 Gallons</v>
      </c>
      <c r="B34" s="77"/>
      <c r="C34" s="77"/>
      <c r="D34" s="5"/>
      <c r="E34" s="2"/>
      <c r="F34" s="2"/>
      <c r="G34" s="77"/>
      <c r="H34" s="77"/>
      <c r="I34" s="77"/>
      <c r="J34" s="77"/>
      <c r="K34" s="77"/>
      <c r="L34" s="77"/>
    </row>
    <row r="35" spans="1:12" ht="31.5">
      <c r="A35" s="103" t="s">
        <v>0</v>
      </c>
      <c r="B35" s="103" t="s">
        <v>128</v>
      </c>
      <c r="C35" s="103" t="s">
        <v>63</v>
      </c>
      <c r="D35" s="104" t="s">
        <v>49</v>
      </c>
      <c r="E35" s="104"/>
      <c r="F35" s="104"/>
      <c r="G35" s="104"/>
      <c r="H35" s="104"/>
      <c r="I35" s="104"/>
      <c r="J35" s="104"/>
      <c r="K35" s="104"/>
      <c r="L35" s="104"/>
    </row>
    <row r="36" spans="1:12">
      <c r="A36" s="2" t="s">
        <v>8</v>
      </c>
      <c r="B36" s="107">
        <v>590</v>
      </c>
      <c r="C36" s="108" t="s">
        <v>53</v>
      </c>
      <c r="D36" s="54" t="s">
        <v>54</v>
      </c>
    </row>
    <row r="37" spans="1:12">
      <c r="A37" s="2" t="s">
        <v>11</v>
      </c>
      <c r="B37" s="107">
        <v>1621</v>
      </c>
      <c r="C37" s="108" t="s">
        <v>52</v>
      </c>
      <c r="D37" s="54" t="s">
        <v>55</v>
      </c>
    </row>
    <row r="38" spans="1:12">
      <c r="A38" s="2" t="s">
        <v>12</v>
      </c>
      <c r="B38" s="107">
        <v>785</v>
      </c>
      <c r="C38" s="108" t="s">
        <v>51</v>
      </c>
      <c r="D38" s="54" t="s">
        <v>56</v>
      </c>
    </row>
    <row r="39" spans="1:12">
      <c r="A39" s="2" t="s">
        <v>13</v>
      </c>
      <c r="B39" s="107">
        <v>3760</v>
      </c>
      <c r="C39" s="108" t="s">
        <v>51</v>
      </c>
      <c r="D39" s="54" t="s">
        <v>56</v>
      </c>
    </row>
    <row r="40" spans="1:12">
      <c r="A40" s="41" t="s">
        <v>14</v>
      </c>
      <c r="B40" s="109">
        <v>2084.4625924555244</v>
      </c>
      <c r="C40" s="110" t="s">
        <v>57</v>
      </c>
      <c r="D40" s="105" t="s">
        <v>50</v>
      </c>
      <c r="E40" s="41"/>
      <c r="F40" s="41"/>
      <c r="G40" s="41"/>
      <c r="H40" s="41"/>
      <c r="I40" s="41"/>
      <c r="J40" s="41"/>
      <c r="K40" s="41"/>
      <c r="L40" s="41"/>
    </row>
    <row r="41" spans="1:12">
      <c r="A41" s="44"/>
      <c r="B41" s="107"/>
      <c r="C41" s="142"/>
      <c r="D41" s="59"/>
      <c r="E41" s="44"/>
      <c r="F41" s="44"/>
      <c r="G41" s="44"/>
      <c r="H41" s="44"/>
      <c r="I41" s="44"/>
      <c r="J41" s="44"/>
      <c r="K41" s="44"/>
      <c r="L41" s="44"/>
    </row>
    <row r="43" spans="1:12" s="16" customFormat="1">
      <c r="A43" s="64" t="s">
        <v>26</v>
      </c>
    </row>
    <row r="44" spans="1:12" s="16" customFormat="1" ht="31.5">
      <c r="A44" s="140" t="s">
        <v>1</v>
      </c>
      <c r="B44" s="141" t="s">
        <v>2</v>
      </c>
      <c r="C44" s="141" t="s">
        <v>3</v>
      </c>
      <c r="D44" s="141" t="s">
        <v>4</v>
      </c>
      <c r="E44" s="141" t="s">
        <v>5</v>
      </c>
      <c r="F44" s="141" t="s">
        <v>6</v>
      </c>
      <c r="G44" s="141" t="s">
        <v>22</v>
      </c>
      <c r="H44" s="141" t="s">
        <v>23</v>
      </c>
    </row>
    <row r="45" spans="1:12" s="16" customFormat="1">
      <c r="A45" s="129">
        <v>5112121</v>
      </c>
      <c r="B45" s="100" t="s">
        <v>7</v>
      </c>
      <c r="C45" s="100" t="s">
        <v>8</v>
      </c>
      <c r="D45" s="100" t="s">
        <v>8</v>
      </c>
      <c r="E45" s="100" t="s">
        <v>9</v>
      </c>
      <c r="F45" s="100" t="s">
        <v>10</v>
      </c>
      <c r="G45" s="100" t="s">
        <v>24</v>
      </c>
      <c r="H45" s="100" t="s">
        <v>25</v>
      </c>
    </row>
    <row r="46" spans="1:12" s="16" customFormat="1">
      <c r="A46" s="129">
        <v>5112121</v>
      </c>
      <c r="B46" s="100" t="s">
        <v>7</v>
      </c>
      <c r="C46" s="100" t="s">
        <v>8</v>
      </c>
      <c r="D46" s="100" t="s">
        <v>11</v>
      </c>
      <c r="E46" s="100" t="s">
        <v>9</v>
      </c>
      <c r="F46" s="100" t="s">
        <v>10</v>
      </c>
      <c r="G46" s="100" t="s">
        <v>24</v>
      </c>
      <c r="H46" s="100" t="s">
        <v>25</v>
      </c>
    </row>
    <row r="47" spans="1:12" s="16" customFormat="1">
      <c r="A47" s="129">
        <v>5112121</v>
      </c>
      <c r="B47" s="100" t="s">
        <v>7</v>
      </c>
      <c r="C47" s="100" t="s">
        <v>8</v>
      </c>
      <c r="D47" s="100" t="s">
        <v>12</v>
      </c>
      <c r="E47" s="100" t="s">
        <v>9</v>
      </c>
      <c r="F47" s="100" t="s">
        <v>10</v>
      </c>
      <c r="G47" s="100" t="s">
        <v>24</v>
      </c>
      <c r="H47" s="100" t="s">
        <v>25</v>
      </c>
    </row>
    <row r="48" spans="1:12" s="16" customFormat="1">
      <c r="A48" s="129">
        <v>5112121</v>
      </c>
      <c r="B48" s="100" t="s">
        <v>7</v>
      </c>
      <c r="C48" s="100" t="s">
        <v>8</v>
      </c>
      <c r="D48" s="100" t="s">
        <v>13</v>
      </c>
      <c r="E48" s="100" t="s">
        <v>9</v>
      </c>
      <c r="F48" s="100" t="s">
        <v>10</v>
      </c>
      <c r="G48" s="100" t="s">
        <v>24</v>
      </c>
      <c r="H48" s="100" t="s">
        <v>25</v>
      </c>
    </row>
    <row r="49" spans="1:8" s="16" customFormat="1">
      <c r="A49" s="129">
        <v>5112121</v>
      </c>
      <c r="B49" s="100" t="s">
        <v>7</v>
      </c>
      <c r="C49" s="100" t="s">
        <v>8</v>
      </c>
      <c r="D49" s="100" t="s">
        <v>14</v>
      </c>
      <c r="E49" s="100" t="s">
        <v>9</v>
      </c>
      <c r="F49" s="100" t="s">
        <v>10</v>
      </c>
      <c r="G49" s="100" t="s">
        <v>24</v>
      </c>
      <c r="H49" s="100" t="s">
        <v>25</v>
      </c>
    </row>
    <row r="50" spans="1:8" s="16" customFormat="1">
      <c r="A50" s="73" t="s">
        <v>29</v>
      </c>
    </row>
    <row r="51" spans="1:8" s="16" customFormat="1"/>
  </sheetData>
  <conditionalFormatting sqref="C28">
    <cfRule type="expression" dxfId="23" priority="31">
      <formula>AND($D27="Electric Resistance",$H27="MF")</formula>
    </cfRule>
    <cfRule type="expression" dxfId="22" priority="32">
      <formula>$D28="HPWH"</formula>
    </cfRule>
    <cfRule type="expression" dxfId="21" priority="33">
      <formula>AND($D28="Electric Resistance",$H28="SF")</formula>
    </cfRule>
  </conditionalFormatting>
  <conditionalFormatting sqref="D31">
    <cfRule type="expression" dxfId="20" priority="19">
      <formula>AND($D30="Electric Resistance",$H30="MF")</formula>
    </cfRule>
    <cfRule type="expression" dxfId="19" priority="20">
      <formula>$D31="HPWH"</formula>
    </cfRule>
    <cfRule type="expression" dxfId="18" priority="21">
      <formula>AND($D31="Electric Resistance",$H31="SF")</formula>
    </cfRule>
  </conditionalFormatting>
  <conditionalFormatting sqref="D30">
    <cfRule type="expression" dxfId="17" priority="16">
      <formula>AND($D29="Electric Resistance",$H29="MF")</formula>
    </cfRule>
    <cfRule type="expression" dxfId="16" priority="17">
      <formula>$D30="HPWH"</formula>
    </cfRule>
    <cfRule type="expression" dxfId="15" priority="18">
      <formula>AND($D30="Electric Resistance",$H30="SF")</formula>
    </cfRule>
  </conditionalFormatting>
  <conditionalFormatting sqref="B40">
    <cfRule type="expression" dxfId="14" priority="13">
      <formula>AND($D39="Electric Resistance",$H39="MF")</formula>
    </cfRule>
    <cfRule type="expression" dxfId="13" priority="14">
      <formula>$D40="HPWH"</formula>
    </cfRule>
    <cfRule type="expression" dxfId="12" priority="15">
      <formula>AND($D40="Electric Resistance",$H40="SF")</formula>
    </cfRule>
  </conditionalFormatting>
  <conditionalFormatting sqref="B28">
    <cfRule type="expression" dxfId="11" priority="10">
      <formula>AND($D27="Electric Resistance",$H27="MF")</formula>
    </cfRule>
    <cfRule type="expression" dxfId="10" priority="11">
      <formula>$D28="HPWH"</formula>
    </cfRule>
    <cfRule type="expression" dxfId="9" priority="12">
      <formula>AND($D28="Electric Resistance",$H28="SF")</formula>
    </cfRule>
  </conditionalFormatting>
  <conditionalFormatting sqref="C31">
    <cfRule type="expression" dxfId="8" priority="7">
      <formula>AND($D30="Electric Resistance",$H30="MF")</formula>
    </cfRule>
    <cfRule type="expression" dxfId="7" priority="8">
      <formula>$D31="HPWH"</formula>
    </cfRule>
    <cfRule type="expression" dxfId="6" priority="9">
      <formula>AND($D31="Electric Resistance",$H31="SF")</formula>
    </cfRule>
  </conditionalFormatting>
  <conditionalFormatting sqref="C30">
    <cfRule type="expression" dxfId="5" priority="4">
      <formula>AND($D29="Electric Resistance",$H29="MF")</formula>
    </cfRule>
    <cfRule type="expression" dxfId="4" priority="5">
      <formula>$D30="HPWH"</formula>
    </cfRule>
    <cfRule type="expression" dxfId="3" priority="6">
      <formula>AND($D30="Electric Resistance",$H30="SF")</formula>
    </cfRule>
  </conditionalFormatting>
  <conditionalFormatting sqref="D28">
    <cfRule type="expression" dxfId="2" priority="1">
      <formula>AND($D27="Electric Resistance",$H27="MF")</formula>
    </cfRule>
    <cfRule type="expression" dxfId="1" priority="2">
      <formula>$D28="HPWH"</formula>
    </cfRule>
    <cfRule type="expression" dxfId="0" priority="3">
      <formula>AND($D28="Electric Resistance",$H28="SF")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W31"/>
  <sheetViews>
    <sheetView workbookViewId="0">
      <selection activeCell="A7" sqref="A7"/>
    </sheetView>
  </sheetViews>
  <sheetFormatPr defaultRowHeight="15"/>
  <cols>
    <col min="1" max="1" width="22.85546875" customWidth="1"/>
    <col min="2" max="2" width="12.28515625" customWidth="1"/>
    <col min="3" max="9" width="9.7109375" customWidth="1"/>
  </cols>
  <sheetData>
    <row r="1" spans="1:23" ht="15.75">
      <c r="A1" s="147" t="str">
        <f>CONCATENATE("Segment:  ",State,", Single Family, ", SpaceHeat, ", ", TankSize,", ", StartWH, " is starting water heater")</f>
        <v>Segment:  Montana, Single Family, Gas FAF, &gt;55 Gallons, Electric Resistance is starting water heater</v>
      </c>
    </row>
    <row r="3" spans="1:23" s="9" customFormat="1" ht="22.5" customHeight="1">
      <c r="A3" s="25" t="s">
        <v>67</v>
      </c>
    </row>
    <row r="4" spans="1:23" s="9" customFormat="1" ht="15.75">
      <c r="A4" s="28" t="s">
        <v>34</v>
      </c>
    </row>
    <row r="5" spans="1:23" s="9" customFormat="1" ht="15.75">
      <c r="A5" s="29" t="s">
        <v>31</v>
      </c>
    </row>
    <row r="6" spans="1:23" s="9" customFormat="1" ht="15.75">
      <c r="A6" s="29" t="s">
        <v>32</v>
      </c>
    </row>
    <row r="7" spans="1:23" s="9" customFormat="1" ht="15.75">
      <c r="A7" s="125"/>
    </row>
    <row r="8" spans="1:23" s="9" customFormat="1" ht="15.75">
      <c r="A8" s="126" t="str">
        <f>CONCATENATE($A$3," - ",'Input Assumptions'!$B$9," ", 'Input Assumptions'!$B$10," Space Heat, ", 'Input Assumptions'!$B$11," ", 'Input Assumptions'!$B$12)</f>
        <v>Non-Price Factor Assumptions ($/$) - Montana Gas FAF Space Heat, Electric Resistance &gt;55 Gallons</v>
      </c>
    </row>
    <row r="9" spans="1:23" s="23" customFormat="1" ht="15.75">
      <c r="A9" s="143" t="str">
        <f>+'Device Energy Use'!A4</f>
        <v>Water Heat Ending</v>
      </c>
      <c r="B9" s="144">
        <v>2014</v>
      </c>
      <c r="C9" s="144">
        <v>2015</v>
      </c>
      <c r="D9" s="144">
        <v>2016</v>
      </c>
      <c r="E9" s="144">
        <v>2017</v>
      </c>
      <c r="F9" s="144">
        <v>2018</v>
      </c>
      <c r="G9" s="144">
        <v>2019</v>
      </c>
      <c r="H9" s="144">
        <v>2020</v>
      </c>
      <c r="I9" s="144">
        <v>2021</v>
      </c>
      <c r="J9" s="144">
        <v>2022</v>
      </c>
      <c r="K9" s="144">
        <v>2023</v>
      </c>
      <c r="L9" s="144">
        <v>2024</v>
      </c>
      <c r="M9" s="144">
        <v>2025</v>
      </c>
      <c r="N9" s="144">
        <v>2026</v>
      </c>
      <c r="O9" s="144">
        <v>2027</v>
      </c>
      <c r="P9" s="144">
        <v>2028</v>
      </c>
      <c r="Q9" s="144">
        <v>2029</v>
      </c>
      <c r="R9" s="144">
        <v>2030</v>
      </c>
      <c r="S9" s="144">
        <v>2031</v>
      </c>
      <c r="T9" s="144">
        <v>2032</v>
      </c>
      <c r="U9" s="144">
        <v>2033</v>
      </c>
      <c r="V9" s="144">
        <v>2034</v>
      </c>
      <c r="W9" s="144">
        <v>2035</v>
      </c>
    </row>
    <row r="10" spans="1:23" s="9" customFormat="1" ht="15.75">
      <c r="A10" s="9" t="str">
        <f>+'Device Energy Use'!A5</f>
        <v>Electric Resistance</v>
      </c>
      <c r="B10" s="181">
        <v>10</v>
      </c>
      <c r="C10" s="181">
        <v>-10</v>
      </c>
      <c r="D10" s="181">
        <f>C10</f>
        <v>-10</v>
      </c>
      <c r="E10" s="181">
        <f t="shared" ref="E10:W10" si="0">D10</f>
        <v>-10</v>
      </c>
      <c r="F10" s="181">
        <f t="shared" si="0"/>
        <v>-10</v>
      </c>
      <c r="G10" s="181">
        <f t="shared" si="0"/>
        <v>-10</v>
      </c>
      <c r="H10" s="181">
        <f t="shared" si="0"/>
        <v>-10</v>
      </c>
      <c r="I10" s="181">
        <f t="shared" si="0"/>
        <v>-10</v>
      </c>
      <c r="J10" s="181">
        <f t="shared" si="0"/>
        <v>-10</v>
      </c>
      <c r="K10" s="181">
        <f t="shared" si="0"/>
        <v>-10</v>
      </c>
      <c r="L10" s="181">
        <f t="shared" si="0"/>
        <v>-10</v>
      </c>
      <c r="M10" s="181">
        <f t="shared" si="0"/>
        <v>-10</v>
      </c>
      <c r="N10" s="181">
        <f t="shared" si="0"/>
        <v>-10</v>
      </c>
      <c r="O10" s="181">
        <f t="shared" si="0"/>
        <v>-10</v>
      </c>
      <c r="P10" s="181">
        <f t="shared" si="0"/>
        <v>-10</v>
      </c>
      <c r="Q10" s="181">
        <f t="shared" si="0"/>
        <v>-10</v>
      </c>
      <c r="R10" s="181">
        <f t="shared" si="0"/>
        <v>-10</v>
      </c>
      <c r="S10" s="181">
        <f t="shared" si="0"/>
        <v>-10</v>
      </c>
      <c r="T10" s="181">
        <f t="shared" si="0"/>
        <v>-10</v>
      </c>
      <c r="U10" s="181">
        <f t="shared" si="0"/>
        <v>-10</v>
      </c>
      <c r="V10" s="181">
        <f t="shared" si="0"/>
        <v>-10</v>
      </c>
      <c r="W10" s="181">
        <f t="shared" si="0"/>
        <v>-10</v>
      </c>
    </row>
    <row r="11" spans="1:23" s="9" customFormat="1" ht="15.75">
      <c r="A11" s="9" t="str">
        <f>+'Device Energy Use'!A6</f>
        <v>HPWH</v>
      </c>
      <c r="B11" s="181">
        <v>0</v>
      </c>
      <c r="C11" s="181">
        <f t="shared" ref="C11:W11" si="1">B11*$I$16</f>
        <v>0</v>
      </c>
      <c r="D11" s="181">
        <f t="shared" si="1"/>
        <v>0</v>
      </c>
      <c r="E11" s="181">
        <f t="shared" si="1"/>
        <v>0</v>
      </c>
      <c r="F11" s="181">
        <f t="shared" si="1"/>
        <v>0</v>
      </c>
      <c r="G11" s="181">
        <f t="shared" si="1"/>
        <v>0</v>
      </c>
      <c r="H11" s="181">
        <f t="shared" si="1"/>
        <v>0</v>
      </c>
      <c r="I11" s="181">
        <f t="shared" si="1"/>
        <v>0</v>
      </c>
      <c r="J11" s="181">
        <f t="shared" si="1"/>
        <v>0</v>
      </c>
      <c r="K11" s="181">
        <f t="shared" si="1"/>
        <v>0</v>
      </c>
      <c r="L11" s="181">
        <f t="shared" si="1"/>
        <v>0</v>
      </c>
      <c r="M11" s="181">
        <f t="shared" si="1"/>
        <v>0</v>
      </c>
      <c r="N11" s="181">
        <f t="shared" si="1"/>
        <v>0</v>
      </c>
      <c r="O11" s="181">
        <f t="shared" si="1"/>
        <v>0</v>
      </c>
      <c r="P11" s="181">
        <f t="shared" si="1"/>
        <v>0</v>
      </c>
      <c r="Q11" s="181">
        <f t="shared" si="1"/>
        <v>0</v>
      </c>
      <c r="R11" s="181">
        <f t="shared" si="1"/>
        <v>0</v>
      </c>
      <c r="S11" s="181">
        <f t="shared" si="1"/>
        <v>0</v>
      </c>
      <c r="T11" s="181">
        <f t="shared" si="1"/>
        <v>0</v>
      </c>
      <c r="U11" s="181">
        <f t="shared" si="1"/>
        <v>0</v>
      </c>
      <c r="V11" s="181">
        <f t="shared" si="1"/>
        <v>0</v>
      </c>
      <c r="W11" s="181">
        <f t="shared" si="1"/>
        <v>0</v>
      </c>
    </row>
    <row r="12" spans="1:23" s="9" customFormat="1" ht="15.75">
      <c r="A12" s="9" t="str">
        <f>+'Device Energy Use'!A7</f>
        <v>Gas Tank</v>
      </c>
      <c r="B12" s="181">
        <v>-10</v>
      </c>
      <c r="C12" s="181">
        <f t="shared" ref="C12:W12" si="2">B12</f>
        <v>-10</v>
      </c>
      <c r="D12" s="181">
        <f t="shared" si="2"/>
        <v>-10</v>
      </c>
      <c r="E12" s="181">
        <f t="shared" si="2"/>
        <v>-10</v>
      </c>
      <c r="F12" s="181">
        <f t="shared" si="2"/>
        <v>-10</v>
      </c>
      <c r="G12" s="181">
        <f t="shared" si="2"/>
        <v>-10</v>
      </c>
      <c r="H12" s="181">
        <f t="shared" si="2"/>
        <v>-10</v>
      </c>
      <c r="I12" s="181">
        <f t="shared" si="2"/>
        <v>-10</v>
      </c>
      <c r="J12" s="181">
        <f t="shared" si="2"/>
        <v>-10</v>
      </c>
      <c r="K12" s="181">
        <f t="shared" si="2"/>
        <v>-10</v>
      </c>
      <c r="L12" s="181">
        <f t="shared" si="2"/>
        <v>-10</v>
      </c>
      <c r="M12" s="181">
        <f t="shared" si="2"/>
        <v>-10</v>
      </c>
      <c r="N12" s="181">
        <f t="shared" si="2"/>
        <v>-10</v>
      </c>
      <c r="O12" s="181">
        <f t="shared" si="2"/>
        <v>-10</v>
      </c>
      <c r="P12" s="181">
        <f t="shared" si="2"/>
        <v>-10</v>
      </c>
      <c r="Q12" s="181">
        <f t="shared" si="2"/>
        <v>-10</v>
      </c>
      <c r="R12" s="181">
        <f t="shared" si="2"/>
        <v>-10</v>
      </c>
      <c r="S12" s="181">
        <f t="shared" si="2"/>
        <v>-10</v>
      </c>
      <c r="T12" s="181">
        <f t="shared" si="2"/>
        <v>-10</v>
      </c>
      <c r="U12" s="181">
        <f t="shared" si="2"/>
        <v>-10</v>
      </c>
      <c r="V12" s="181">
        <f t="shared" si="2"/>
        <v>-10</v>
      </c>
      <c r="W12" s="181">
        <f t="shared" si="2"/>
        <v>-10</v>
      </c>
    </row>
    <row r="13" spans="1:23" s="9" customFormat="1" ht="15.75">
      <c r="A13" s="9" t="str">
        <f>+'Device Energy Use'!A8</f>
        <v>Instant Gas</v>
      </c>
      <c r="B13" s="181">
        <v>0</v>
      </c>
      <c r="C13" s="181">
        <f t="shared" ref="C13:W13" si="3">B13*$I$16</f>
        <v>0</v>
      </c>
      <c r="D13" s="181">
        <f t="shared" si="3"/>
        <v>0</v>
      </c>
      <c r="E13" s="181">
        <f t="shared" si="3"/>
        <v>0</v>
      </c>
      <c r="F13" s="181">
        <f t="shared" si="3"/>
        <v>0</v>
      </c>
      <c r="G13" s="181">
        <f t="shared" si="3"/>
        <v>0</v>
      </c>
      <c r="H13" s="181">
        <f t="shared" si="3"/>
        <v>0</v>
      </c>
      <c r="I13" s="181">
        <f t="shared" si="3"/>
        <v>0</v>
      </c>
      <c r="J13" s="181">
        <f t="shared" si="3"/>
        <v>0</v>
      </c>
      <c r="K13" s="181">
        <f t="shared" si="3"/>
        <v>0</v>
      </c>
      <c r="L13" s="181">
        <f t="shared" si="3"/>
        <v>0</v>
      </c>
      <c r="M13" s="181">
        <f t="shared" si="3"/>
        <v>0</v>
      </c>
      <c r="N13" s="181">
        <f t="shared" si="3"/>
        <v>0</v>
      </c>
      <c r="O13" s="181">
        <f t="shared" si="3"/>
        <v>0</v>
      </c>
      <c r="P13" s="181">
        <f t="shared" si="3"/>
        <v>0</v>
      </c>
      <c r="Q13" s="181">
        <f t="shared" si="3"/>
        <v>0</v>
      </c>
      <c r="R13" s="181">
        <f t="shared" si="3"/>
        <v>0</v>
      </c>
      <c r="S13" s="181">
        <f t="shared" si="3"/>
        <v>0</v>
      </c>
      <c r="T13" s="181">
        <f t="shared" si="3"/>
        <v>0</v>
      </c>
      <c r="U13" s="181">
        <f t="shared" si="3"/>
        <v>0</v>
      </c>
      <c r="V13" s="181">
        <f t="shared" si="3"/>
        <v>0</v>
      </c>
      <c r="W13" s="181">
        <f t="shared" si="3"/>
        <v>0</v>
      </c>
    </row>
    <row r="14" spans="1:23" s="9" customFormat="1" ht="15.75">
      <c r="A14" s="9" t="str">
        <f>+'Device Energy Use'!A9</f>
        <v>Condensing Gas</v>
      </c>
      <c r="B14" s="181">
        <v>0</v>
      </c>
      <c r="C14" s="181">
        <f t="shared" ref="C14:W14" si="4">B14*$I$16</f>
        <v>0</v>
      </c>
      <c r="D14" s="181">
        <f t="shared" si="4"/>
        <v>0</v>
      </c>
      <c r="E14" s="181">
        <f t="shared" si="4"/>
        <v>0</v>
      </c>
      <c r="F14" s="181">
        <f t="shared" si="4"/>
        <v>0</v>
      </c>
      <c r="G14" s="181">
        <f t="shared" si="4"/>
        <v>0</v>
      </c>
      <c r="H14" s="181">
        <f t="shared" si="4"/>
        <v>0</v>
      </c>
      <c r="I14" s="181">
        <f t="shared" si="4"/>
        <v>0</v>
      </c>
      <c r="J14" s="181">
        <f t="shared" si="4"/>
        <v>0</v>
      </c>
      <c r="K14" s="181">
        <f t="shared" si="4"/>
        <v>0</v>
      </c>
      <c r="L14" s="181">
        <f t="shared" si="4"/>
        <v>0</v>
      </c>
      <c r="M14" s="181">
        <f t="shared" si="4"/>
        <v>0</v>
      </c>
      <c r="N14" s="181">
        <f t="shared" si="4"/>
        <v>0</v>
      </c>
      <c r="O14" s="181">
        <f t="shared" si="4"/>
        <v>0</v>
      </c>
      <c r="P14" s="181">
        <f t="shared" si="4"/>
        <v>0</v>
      </c>
      <c r="Q14" s="181">
        <f t="shared" si="4"/>
        <v>0</v>
      </c>
      <c r="R14" s="181">
        <f t="shared" si="4"/>
        <v>0</v>
      </c>
      <c r="S14" s="181">
        <f t="shared" si="4"/>
        <v>0</v>
      </c>
      <c r="T14" s="181">
        <f t="shared" si="4"/>
        <v>0</v>
      </c>
      <c r="U14" s="181">
        <f t="shared" si="4"/>
        <v>0</v>
      </c>
      <c r="V14" s="181">
        <f t="shared" si="4"/>
        <v>0</v>
      </c>
      <c r="W14" s="181">
        <f t="shared" si="4"/>
        <v>0</v>
      </c>
    </row>
    <row r="15" spans="1:23" s="9" customFormat="1" ht="15.75"/>
    <row r="16" spans="1:23" s="9" customFormat="1" ht="15.75">
      <c r="A16" s="36" t="s">
        <v>169</v>
      </c>
      <c r="I16" s="35">
        <v>1</v>
      </c>
    </row>
    <row r="17" spans="1:23" s="9" customFormat="1" ht="15.75">
      <c r="A17" s="31"/>
    </row>
    <row r="18" spans="1:23" s="9" customFormat="1" ht="15.75">
      <c r="A18" s="126" t="str">
        <f>CONCATENATE("Impact of Non-Price Factors on Market Share (%)"," - ",'Input Assumptions'!$B$9," ", 'Input Assumptions'!$B$10," Space Heat, ", 'Input Assumptions'!$B$11," ", 'Input Assumptions'!$B$12)</f>
        <v>Impact of Non-Price Factors on Market Share (%) - Montana Gas FAF Space Heat, Electric Resistance &gt;55 Gallons</v>
      </c>
    </row>
    <row r="19" spans="1:23" s="9" customFormat="1" ht="15.75">
      <c r="A19" s="143" t="str">
        <f t="shared" ref="A19:W19" si="5">A9</f>
        <v>Water Heat Ending</v>
      </c>
      <c r="B19" s="144">
        <f t="shared" si="5"/>
        <v>2014</v>
      </c>
      <c r="C19" s="144">
        <f t="shared" si="5"/>
        <v>2015</v>
      </c>
      <c r="D19" s="144">
        <f t="shared" si="5"/>
        <v>2016</v>
      </c>
      <c r="E19" s="144">
        <f t="shared" si="5"/>
        <v>2017</v>
      </c>
      <c r="F19" s="144">
        <f t="shared" si="5"/>
        <v>2018</v>
      </c>
      <c r="G19" s="144">
        <f t="shared" si="5"/>
        <v>2019</v>
      </c>
      <c r="H19" s="144">
        <f t="shared" si="5"/>
        <v>2020</v>
      </c>
      <c r="I19" s="144">
        <f t="shared" si="5"/>
        <v>2021</v>
      </c>
      <c r="J19" s="144">
        <f t="shared" si="5"/>
        <v>2022</v>
      </c>
      <c r="K19" s="144">
        <f t="shared" si="5"/>
        <v>2023</v>
      </c>
      <c r="L19" s="144">
        <f t="shared" si="5"/>
        <v>2024</v>
      </c>
      <c r="M19" s="144">
        <f t="shared" si="5"/>
        <v>2025</v>
      </c>
      <c r="N19" s="144">
        <f t="shared" si="5"/>
        <v>2026</v>
      </c>
      <c r="O19" s="144">
        <f t="shared" si="5"/>
        <v>2027</v>
      </c>
      <c r="P19" s="144">
        <f t="shared" si="5"/>
        <v>2028</v>
      </c>
      <c r="Q19" s="144">
        <f t="shared" si="5"/>
        <v>2029</v>
      </c>
      <c r="R19" s="144">
        <f t="shared" si="5"/>
        <v>2030</v>
      </c>
      <c r="S19" s="144">
        <f t="shared" si="5"/>
        <v>2031</v>
      </c>
      <c r="T19" s="144">
        <f t="shared" si="5"/>
        <v>2032</v>
      </c>
      <c r="U19" s="144">
        <f t="shared" si="5"/>
        <v>2033</v>
      </c>
      <c r="V19" s="144">
        <f t="shared" si="5"/>
        <v>2034</v>
      </c>
      <c r="W19" s="144">
        <f t="shared" si="5"/>
        <v>2035</v>
      </c>
    </row>
    <row r="20" spans="1:23" s="9" customFormat="1" ht="15.75">
      <c r="A20" s="10" t="str">
        <f>A10</f>
        <v>Electric Resistance</v>
      </c>
      <c r="B20" s="127">
        <f>EXP(B10)</f>
        <v>22026.465794806718</v>
      </c>
      <c r="C20" s="127">
        <f>EXP(C10)</f>
        <v>4.5399929762484854E-5</v>
      </c>
      <c r="D20" s="127">
        <f t="shared" ref="D20:W24" si="6">EXP(D10)</f>
        <v>4.5399929762484854E-5</v>
      </c>
      <c r="E20" s="127">
        <f t="shared" si="6"/>
        <v>4.5399929762484854E-5</v>
      </c>
      <c r="F20" s="127">
        <f t="shared" si="6"/>
        <v>4.5399929762484854E-5</v>
      </c>
      <c r="G20" s="127">
        <f t="shared" si="6"/>
        <v>4.5399929762484854E-5</v>
      </c>
      <c r="H20" s="127">
        <f t="shared" si="6"/>
        <v>4.5399929762484854E-5</v>
      </c>
      <c r="I20" s="127">
        <f t="shared" si="6"/>
        <v>4.5399929762484854E-5</v>
      </c>
      <c r="J20" s="127">
        <f t="shared" si="6"/>
        <v>4.5399929762484854E-5</v>
      </c>
      <c r="K20" s="127">
        <f t="shared" si="6"/>
        <v>4.5399929762484854E-5</v>
      </c>
      <c r="L20" s="127">
        <f t="shared" si="6"/>
        <v>4.5399929762484854E-5</v>
      </c>
      <c r="M20" s="127">
        <f t="shared" si="6"/>
        <v>4.5399929762484854E-5</v>
      </c>
      <c r="N20" s="127">
        <f t="shared" si="6"/>
        <v>4.5399929762484854E-5</v>
      </c>
      <c r="O20" s="127">
        <f t="shared" si="6"/>
        <v>4.5399929762484854E-5</v>
      </c>
      <c r="P20" s="127">
        <f t="shared" si="6"/>
        <v>4.5399929762484854E-5</v>
      </c>
      <c r="Q20" s="127">
        <f t="shared" si="6"/>
        <v>4.5399929762484854E-5</v>
      </c>
      <c r="R20" s="127">
        <f t="shared" si="6"/>
        <v>4.5399929762484854E-5</v>
      </c>
      <c r="S20" s="127">
        <f t="shared" si="6"/>
        <v>4.5399929762484854E-5</v>
      </c>
      <c r="T20" s="127">
        <f t="shared" si="6"/>
        <v>4.5399929762484854E-5</v>
      </c>
      <c r="U20" s="127">
        <f t="shared" si="6"/>
        <v>4.5399929762484854E-5</v>
      </c>
      <c r="V20" s="127">
        <f t="shared" si="6"/>
        <v>4.5399929762484854E-5</v>
      </c>
      <c r="W20" s="127">
        <f t="shared" si="6"/>
        <v>4.5399929762484854E-5</v>
      </c>
    </row>
    <row r="21" spans="1:23" s="9" customFormat="1" ht="15.75">
      <c r="A21" s="10" t="str">
        <f>A11</f>
        <v>HPWH</v>
      </c>
      <c r="B21" s="127">
        <f>EXP(B11)</f>
        <v>1</v>
      </c>
      <c r="C21" s="127">
        <f t="shared" ref="C21:R24" si="7">EXP(C11)</f>
        <v>1</v>
      </c>
      <c r="D21" s="127">
        <f t="shared" si="7"/>
        <v>1</v>
      </c>
      <c r="E21" s="127">
        <f t="shared" si="7"/>
        <v>1</v>
      </c>
      <c r="F21" s="127">
        <f t="shared" si="7"/>
        <v>1</v>
      </c>
      <c r="G21" s="127">
        <f t="shared" si="7"/>
        <v>1</v>
      </c>
      <c r="H21" s="127">
        <f t="shared" si="7"/>
        <v>1</v>
      </c>
      <c r="I21" s="127">
        <f t="shared" si="7"/>
        <v>1</v>
      </c>
      <c r="J21" s="127">
        <f t="shared" si="7"/>
        <v>1</v>
      </c>
      <c r="K21" s="127">
        <f t="shared" si="7"/>
        <v>1</v>
      </c>
      <c r="L21" s="127">
        <f t="shared" si="7"/>
        <v>1</v>
      </c>
      <c r="M21" s="127">
        <f t="shared" si="7"/>
        <v>1</v>
      </c>
      <c r="N21" s="127">
        <f t="shared" si="7"/>
        <v>1</v>
      </c>
      <c r="O21" s="127">
        <f t="shared" si="7"/>
        <v>1</v>
      </c>
      <c r="P21" s="127">
        <f t="shared" si="7"/>
        <v>1</v>
      </c>
      <c r="Q21" s="127">
        <f t="shared" si="7"/>
        <v>1</v>
      </c>
      <c r="R21" s="127">
        <f t="shared" si="7"/>
        <v>1</v>
      </c>
      <c r="S21" s="127">
        <f t="shared" si="6"/>
        <v>1</v>
      </c>
      <c r="T21" s="127">
        <f t="shared" si="6"/>
        <v>1</v>
      </c>
      <c r="U21" s="127">
        <f t="shared" si="6"/>
        <v>1</v>
      </c>
      <c r="V21" s="127">
        <f t="shared" si="6"/>
        <v>1</v>
      </c>
      <c r="W21" s="127">
        <f t="shared" si="6"/>
        <v>1</v>
      </c>
    </row>
    <row r="22" spans="1:23" ht="15.75">
      <c r="A22" s="10" t="str">
        <f>A12</f>
        <v>Gas Tank</v>
      </c>
      <c r="B22" s="127">
        <f t="shared" ref="B22:B24" si="8">EXP(B12)</f>
        <v>4.5399929762484854E-5</v>
      </c>
      <c r="C22" s="127">
        <f t="shared" si="7"/>
        <v>4.5399929762484854E-5</v>
      </c>
      <c r="D22" s="127">
        <f t="shared" si="6"/>
        <v>4.5399929762484854E-5</v>
      </c>
      <c r="E22" s="127">
        <f t="shared" si="6"/>
        <v>4.5399929762484854E-5</v>
      </c>
      <c r="F22" s="127">
        <f t="shared" si="6"/>
        <v>4.5399929762484854E-5</v>
      </c>
      <c r="G22" s="127">
        <f t="shared" si="6"/>
        <v>4.5399929762484854E-5</v>
      </c>
      <c r="H22" s="127">
        <f t="shared" si="6"/>
        <v>4.5399929762484854E-5</v>
      </c>
      <c r="I22" s="127">
        <f t="shared" si="6"/>
        <v>4.5399929762484854E-5</v>
      </c>
      <c r="J22" s="127">
        <f t="shared" si="6"/>
        <v>4.5399929762484854E-5</v>
      </c>
      <c r="K22" s="127">
        <f t="shared" si="6"/>
        <v>4.5399929762484854E-5</v>
      </c>
      <c r="L22" s="127">
        <f t="shared" si="6"/>
        <v>4.5399929762484854E-5</v>
      </c>
      <c r="M22" s="127">
        <f t="shared" si="6"/>
        <v>4.5399929762484854E-5</v>
      </c>
      <c r="N22" s="127">
        <f t="shared" si="6"/>
        <v>4.5399929762484854E-5</v>
      </c>
      <c r="O22" s="127">
        <f t="shared" si="6"/>
        <v>4.5399929762484854E-5</v>
      </c>
      <c r="P22" s="127">
        <f t="shared" si="6"/>
        <v>4.5399929762484854E-5</v>
      </c>
      <c r="Q22" s="127">
        <f t="shared" si="6"/>
        <v>4.5399929762484854E-5</v>
      </c>
      <c r="R22" s="127">
        <f t="shared" si="6"/>
        <v>4.5399929762484854E-5</v>
      </c>
      <c r="S22" s="127">
        <f t="shared" si="6"/>
        <v>4.5399929762484854E-5</v>
      </c>
      <c r="T22" s="127">
        <f t="shared" si="6"/>
        <v>4.5399929762484854E-5</v>
      </c>
      <c r="U22" s="127">
        <f t="shared" si="6"/>
        <v>4.5399929762484854E-5</v>
      </c>
      <c r="V22" s="127">
        <f t="shared" si="6"/>
        <v>4.5399929762484854E-5</v>
      </c>
      <c r="W22" s="127">
        <f t="shared" si="6"/>
        <v>4.5399929762484854E-5</v>
      </c>
    </row>
    <row r="23" spans="1:23" ht="15.75">
      <c r="A23" s="10" t="str">
        <f>A13</f>
        <v>Instant Gas</v>
      </c>
      <c r="B23" s="127">
        <f t="shared" si="8"/>
        <v>1</v>
      </c>
      <c r="C23" s="127">
        <f t="shared" si="7"/>
        <v>1</v>
      </c>
      <c r="D23" s="127">
        <f t="shared" si="6"/>
        <v>1</v>
      </c>
      <c r="E23" s="127">
        <f t="shared" si="6"/>
        <v>1</v>
      </c>
      <c r="F23" s="127">
        <f t="shared" si="6"/>
        <v>1</v>
      </c>
      <c r="G23" s="127">
        <f t="shared" si="6"/>
        <v>1</v>
      </c>
      <c r="H23" s="127">
        <f t="shared" si="6"/>
        <v>1</v>
      </c>
      <c r="I23" s="127">
        <f t="shared" si="6"/>
        <v>1</v>
      </c>
      <c r="J23" s="127">
        <f t="shared" si="6"/>
        <v>1</v>
      </c>
      <c r="K23" s="127">
        <f t="shared" si="6"/>
        <v>1</v>
      </c>
      <c r="L23" s="127">
        <f t="shared" si="6"/>
        <v>1</v>
      </c>
      <c r="M23" s="127">
        <f t="shared" si="6"/>
        <v>1</v>
      </c>
      <c r="N23" s="127">
        <f t="shared" si="6"/>
        <v>1</v>
      </c>
      <c r="O23" s="127">
        <f t="shared" si="6"/>
        <v>1</v>
      </c>
      <c r="P23" s="127">
        <f t="shared" si="6"/>
        <v>1</v>
      </c>
      <c r="Q23" s="127">
        <f t="shared" si="6"/>
        <v>1</v>
      </c>
      <c r="R23" s="127">
        <f t="shared" si="6"/>
        <v>1</v>
      </c>
      <c r="S23" s="127">
        <f t="shared" si="6"/>
        <v>1</v>
      </c>
      <c r="T23" s="127">
        <f t="shared" si="6"/>
        <v>1</v>
      </c>
      <c r="U23" s="127">
        <f t="shared" si="6"/>
        <v>1</v>
      </c>
      <c r="V23" s="127">
        <f t="shared" si="6"/>
        <v>1</v>
      </c>
      <c r="W23" s="127">
        <f t="shared" si="6"/>
        <v>1</v>
      </c>
    </row>
    <row r="24" spans="1:23" ht="15.75">
      <c r="A24" s="10" t="str">
        <f>A14</f>
        <v>Condensing Gas</v>
      </c>
      <c r="B24" s="127">
        <f t="shared" si="8"/>
        <v>1</v>
      </c>
      <c r="C24" s="127">
        <f t="shared" si="7"/>
        <v>1</v>
      </c>
      <c r="D24" s="127">
        <f t="shared" si="6"/>
        <v>1</v>
      </c>
      <c r="E24" s="127">
        <f t="shared" si="6"/>
        <v>1</v>
      </c>
      <c r="F24" s="127">
        <f t="shared" si="6"/>
        <v>1</v>
      </c>
      <c r="G24" s="127">
        <f t="shared" si="6"/>
        <v>1</v>
      </c>
      <c r="H24" s="127">
        <f t="shared" si="6"/>
        <v>1</v>
      </c>
      <c r="I24" s="127">
        <f t="shared" si="6"/>
        <v>1</v>
      </c>
      <c r="J24" s="127">
        <f t="shared" si="6"/>
        <v>1</v>
      </c>
      <c r="K24" s="127">
        <f t="shared" si="6"/>
        <v>1</v>
      </c>
      <c r="L24" s="127">
        <f t="shared" si="6"/>
        <v>1</v>
      </c>
      <c r="M24" s="127">
        <f t="shared" si="6"/>
        <v>1</v>
      </c>
      <c r="N24" s="127">
        <f t="shared" si="6"/>
        <v>1</v>
      </c>
      <c r="O24" s="127">
        <f t="shared" si="6"/>
        <v>1</v>
      </c>
      <c r="P24" s="127">
        <f t="shared" si="6"/>
        <v>1</v>
      </c>
      <c r="Q24" s="127">
        <f t="shared" si="6"/>
        <v>1</v>
      </c>
      <c r="R24" s="127">
        <f t="shared" si="6"/>
        <v>1</v>
      </c>
      <c r="S24" s="127">
        <f t="shared" si="6"/>
        <v>1</v>
      </c>
      <c r="T24" s="127">
        <f t="shared" si="6"/>
        <v>1</v>
      </c>
      <c r="U24" s="127">
        <f t="shared" si="6"/>
        <v>1</v>
      </c>
      <c r="V24" s="127">
        <f t="shared" si="6"/>
        <v>1</v>
      </c>
      <c r="W24" s="127">
        <f t="shared" si="6"/>
        <v>1</v>
      </c>
    </row>
    <row r="25" spans="1:23" ht="15.75">
      <c r="A25" s="10"/>
    </row>
    <row r="26" spans="1:23" s="9" customFormat="1" ht="15.75">
      <c r="A26" s="36" t="s">
        <v>33</v>
      </c>
    </row>
    <row r="27" spans="1:23" s="9" customFormat="1" ht="15.75">
      <c r="A27" s="34" t="s">
        <v>166</v>
      </c>
    </row>
    <row r="28" spans="1:23" s="9" customFormat="1" ht="15.75">
      <c r="A28" s="34" t="s">
        <v>167</v>
      </c>
    </row>
    <row r="29" spans="1:23" s="9" customFormat="1" ht="15.75">
      <c r="A29" s="34" t="s">
        <v>168</v>
      </c>
    </row>
    <row r="30" spans="1:23" s="9" customFormat="1" ht="15.75">
      <c r="A30" s="34"/>
    </row>
    <row r="31" spans="1:23" ht="15.75">
      <c r="A31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A9"/>
  <sheetViews>
    <sheetView tabSelected="1" workbookViewId="0">
      <selection activeCell="E18" sqref="E18"/>
    </sheetView>
  </sheetViews>
  <sheetFormatPr defaultColWidth="9.140625" defaultRowHeight="15.75"/>
  <cols>
    <col min="1" max="1" width="12.7109375" style="9" customWidth="1"/>
    <col min="2" max="16384" width="9.140625" style="9"/>
  </cols>
  <sheetData>
    <row r="1" spans="1:27">
      <c r="A1" s="147" t="str">
        <f>CONCATENATE("Segment:  ",State,", Single Family, ", SpaceHeat, ", ", TankSize,", ", StartWH, " is starting water heater")</f>
        <v>Segment:  Montana, Single Family, Gas FAF, &gt;55 Gallons, Electric Resistance is starting water heater</v>
      </c>
    </row>
    <row r="3" spans="1:27" ht="26.25" customHeight="1">
      <c r="A3" s="25" t="str">
        <f>CONCATENATE('Input Assumptions'!B9," Retail Rates (2012$/mmBtu)")</f>
        <v>Montana Retail Rates (2012$/mmBtu)</v>
      </c>
    </row>
    <row r="4" spans="1:27">
      <c r="B4" s="12">
        <v>2014</v>
      </c>
      <c r="C4" s="12">
        <v>2015</v>
      </c>
      <c r="D4" s="12">
        <v>2016</v>
      </c>
      <c r="E4" s="12">
        <v>2017</v>
      </c>
      <c r="F4" s="12">
        <v>2018</v>
      </c>
      <c r="G4" s="12">
        <v>2019</v>
      </c>
      <c r="H4" s="12">
        <v>2020</v>
      </c>
      <c r="I4" s="12">
        <v>2021</v>
      </c>
      <c r="J4" s="12">
        <v>2022</v>
      </c>
      <c r="K4" s="12">
        <v>2023</v>
      </c>
      <c r="L4" s="12">
        <v>2024</v>
      </c>
      <c r="M4" s="12">
        <v>2025</v>
      </c>
      <c r="N4" s="12">
        <v>2026</v>
      </c>
      <c r="O4" s="12">
        <v>2027</v>
      </c>
      <c r="P4" s="12">
        <v>2028</v>
      </c>
      <c r="Q4" s="12">
        <v>2029</v>
      </c>
      <c r="R4" s="12">
        <v>2030</v>
      </c>
      <c r="S4" s="12">
        <v>2031</v>
      </c>
      <c r="T4" s="12">
        <v>2032</v>
      </c>
      <c r="U4" s="12">
        <v>2033</v>
      </c>
      <c r="V4" s="12">
        <v>2034</v>
      </c>
      <c r="W4" s="12">
        <v>2035</v>
      </c>
    </row>
    <row r="5" spans="1:27">
      <c r="A5" s="9" t="s">
        <v>18</v>
      </c>
      <c r="B5" s="63">
        <v>30.323293949999996</v>
      </c>
      <c r="C5" s="63">
        <v>30.717496771349992</v>
      </c>
      <c r="D5" s="63">
        <v>31.116824229377539</v>
      </c>
      <c r="E5" s="63">
        <v>31.521342944359443</v>
      </c>
      <c r="F5" s="63">
        <v>31.931120402636111</v>
      </c>
      <c r="G5" s="63">
        <v>32.346224967870377</v>
      </c>
      <c r="H5" s="63">
        <v>32.766725892452691</v>
      </c>
      <c r="I5" s="63">
        <v>33.19269332905457</v>
      </c>
      <c r="J5" s="63">
        <v>33.624198342332278</v>
      </c>
      <c r="K5" s="63">
        <v>34.061312920782591</v>
      </c>
      <c r="L5" s="63">
        <v>34.504109988752759</v>
      </c>
      <c r="M5" s="63">
        <v>34.952663418606541</v>
      </c>
      <c r="N5" s="63">
        <v>35.40704804304842</v>
      </c>
      <c r="O5" s="63">
        <v>35.867339667608043</v>
      </c>
      <c r="P5" s="63">
        <v>36.333615083286944</v>
      </c>
      <c r="Q5" s="63">
        <v>36.805952079369668</v>
      </c>
      <c r="R5" s="63">
        <v>37.284429456401469</v>
      </c>
      <c r="S5" s="63">
        <v>37.769127039334684</v>
      </c>
      <c r="T5" s="63">
        <v>38.260125690846031</v>
      </c>
      <c r="U5" s="63">
        <v>38.757507324827024</v>
      </c>
      <c r="V5" s="63">
        <v>39.261354920049769</v>
      </c>
      <c r="W5" s="63">
        <v>39.77175253401041</v>
      </c>
      <c r="X5" s="10"/>
      <c r="Y5" s="10"/>
      <c r="Z5" s="10"/>
      <c r="AA5" s="10"/>
    </row>
    <row r="6" spans="1:27">
      <c r="A6" s="9" t="s">
        <v>19</v>
      </c>
      <c r="B6" s="63">
        <v>8.0975684999999995</v>
      </c>
      <c r="C6" s="63">
        <v>8.2190320274999991</v>
      </c>
      <c r="D6" s="63">
        <v>8.3423175079124974</v>
      </c>
      <c r="E6" s="63">
        <v>8.4674522705311848</v>
      </c>
      <c r="F6" s="63">
        <v>8.5944640545891513</v>
      </c>
      <c r="G6" s="63">
        <v>8.7233810154079876</v>
      </c>
      <c r="H6" s="63">
        <v>8.854231730639107</v>
      </c>
      <c r="I6" s="63">
        <v>8.9870452065986921</v>
      </c>
      <c r="J6" s="63">
        <v>9.1218508846976718</v>
      </c>
      <c r="K6" s="63">
        <v>9.2586786479681358</v>
      </c>
      <c r="L6" s="63">
        <v>9.3975588276876572</v>
      </c>
      <c r="M6" s="63">
        <v>9.5385222101029719</v>
      </c>
      <c r="N6" s="63">
        <v>9.681600043254516</v>
      </c>
      <c r="O6" s="63">
        <v>9.8268240439033328</v>
      </c>
      <c r="P6" s="63">
        <v>9.9742264045618825</v>
      </c>
      <c r="Q6" s="63">
        <v>10.123839800630309</v>
      </c>
      <c r="R6" s="63">
        <v>10.275697397639762</v>
      </c>
      <c r="S6" s="63">
        <v>10.429832858604357</v>
      </c>
      <c r="T6" s="63">
        <v>10.586280351483421</v>
      </c>
      <c r="U6" s="63">
        <v>10.745074556755672</v>
      </c>
      <c r="V6" s="63">
        <v>10.906250675107005</v>
      </c>
      <c r="W6" s="63">
        <v>11.069844435233609</v>
      </c>
      <c r="X6" s="11"/>
      <c r="Y6" s="11"/>
      <c r="Z6" s="11"/>
      <c r="AA6" s="11"/>
    </row>
    <row r="8" spans="1:27">
      <c r="A8" s="28" t="s">
        <v>68</v>
      </c>
    </row>
    <row r="9" spans="1:27">
      <c r="A9" s="76" t="s">
        <v>85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W8"/>
  <sheetViews>
    <sheetView workbookViewId="0">
      <selection activeCell="A5" sqref="A5"/>
    </sheetView>
  </sheetViews>
  <sheetFormatPr defaultColWidth="9.140625" defaultRowHeight="15.75"/>
  <cols>
    <col min="1" max="1" width="25.7109375" style="9" customWidth="1"/>
    <col min="2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Montana, Single Family, Gas FAF, &gt;55 Gallons, Electric Resistance is starting water heater</v>
      </c>
    </row>
    <row r="3" spans="1:23">
      <c r="A3" s="12" t="s">
        <v>121</v>
      </c>
    </row>
    <row r="4" spans="1:23">
      <c r="B4" s="9">
        <v>2014</v>
      </c>
      <c r="C4" s="9">
        <v>2015</v>
      </c>
      <c r="D4" s="9">
        <v>2016</v>
      </c>
      <c r="E4" s="9">
        <v>2017</v>
      </c>
      <c r="F4" s="9">
        <v>2018</v>
      </c>
      <c r="G4" s="9">
        <v>2019</v>
      </c>
      <c r="H4" s="9">
        <v>2020</v>
      </c>
      <c r="I4" s="9">
        <v>2021</v>
      </c>
      <c r="J4" s="9">
        <v>2022</v>
      </c>
      <c r="K4" s="9">
        <v>2023</v>
      </c>
      <c r="L4" s="9">
        <v>2024</v>
      </c>
      <c r="M4" s="9">
        <v>2025</v>
      </c>
      <c r="N4" s="9">
        <v>2026</v>
      </c>
      <c r="O4" s="9">
        <v>2027</v>
      </c>
      <c r="P4" s="9">
        <v>2028</v>
      </c>
      <c r="Q4" s="9">
        <v>2029</v>
      </c>
      <c r="R4" s="9">
        <v>2030</v>
      </c>
      <c r="S4" s="9">
        <v>2031</v>
      </c>
      <c r="T4" s="9">
        <v>2032</v>
      </c>
      <c r="U4" s="9">
        <v>2033</v>
      </c>
      <c r="V4" s="9">
        <v>2034</v>
      </c>
      <c r="W4" s="9">
        <v>2035</v>
      </c>
    </row>
    <row r="5" spans="1:23">
      <c r="A5" s="9" t="s">
        <v>123</v>
      </c>
      <c r="B5" s="63">
        <v>4.3899999999999997</v>
      </c>
      <c r="C5" s="63">
        <v>4.2699999999999996</v>
      </c>
      <c r="D5" s="63">
        <v>4.2699999999999996</v>
      </c>
      <c r="E5" s="63">
        <v>4.32</v>
      </c>
      <c r="F5" s="63">
        <v>4.3899999999999997</v>
      </c>
      <c r="G5" s="63">
        <v>4.47</v>
      </c>
      <c r="H5" s="63">
        <v>4.66</v>
      </c>
      <c r="I5" s="63">
        <v>4.75</v>
      </c>
      <c r="J5" s="63">
        <v>4.8499999999999996</v>
      </c>
      <c r="K5" s="63">
        <v>4.95</v>
      </c>
      <c r="L5" s="63">
        <v>5.04</v>
      </c>
      <c r="M5" s="63">
        <v>5.27</v>
      </c>
      <c r="N5" s="63">
        <v>5.4</v>
      </c>
      <c r="O5" s="63">
        <v>5.53</v>
      </c>
      <c r="P5" s="63">
        <v>5.67</v>
      </c>
      <c r="Q5" s="63">
        <v>5.81</v>
      </c>
      <c r="R5" s="63">
        <v>6.06</v>
      </c>
      <c r="S5" s="63">
        <v>6.21</v>
      </c>
      <c r="T5" s="63">
        <v>6.36</v>
      </c>
      <c r="U5" s="63">
        <v>6.52</v>
      </c>
      <c r="V5" s="63">
        <v>6.69</v>
      </c>
      <c r="W5" s="63">
        <v>6.85</v>
      </c>
    </row>
    <row r="7" spans="1:23">
      <c r="A7" s="28" t="s">
        <v>122</v>
      </c>
    </row>
    <row r="8" spans="1:23">
      <c r="A8" s="28" t="s">
        <v>163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AY7"/>
  <sheetViews>
    <sheetView workbookViewId="0"/>
  </sheetViews>
  <sheetFormatPr defaultColWidth="9.140625" defaultRowHeight="15.75"/>
  <cols>
    <col min="1" max="1" width="12.7109375" style="9" customWidth="1"/>
    <col min="2" max="3" width="9.140625" style="9"/>
    <col min="4" max="4" width="9.28515625" style="9" customWidth="1"/>
    <col min="5" max="16384" width="9.140625" style="9"/>
  </cols>
  <sheetData>
    <row r="1" spans="1:51">
      <c r="A1" s="147" t="str">
        <f>CONCATENATE("Segment:  ",State,", Single Family, ", SpaceHeat, ", ", TankSize,", ", StartWH, " is starting water heater")</f>
        <v>Segment:  Montana, Single Family, Gas FAF, &gt;55 Gallons, Electric Resistance is starting water heater</v>
      </c>
    </row>
    <row r="3" spans="1:51">
      <c r="A3" s="25" t="s">
        <v>153</v>
      </c>
    </row>
    <row r="4" spans="1:51" ht="16.5" customHeight="1">
      <c r="B4" s="12">
        <v>1986</v>
      </c>
      <c r="C4" s="12">
        <v>1987</v>
      </c>
      <c r="D4" s="12">
        <v>1988</v>
      </c>
      <c r="E4" s="12">
        <v>1989</v>
      </c>
      <c r="F4" s="12">
        <v>1990</v>
      </c>
      <c r="G4" s="12">
        <v>1991</v>
      </c>
      <c r="H4" s="12">
        <v>1992</v>
      </c>
      <c r="I4" s="12">
        <v>1993</v>
      </c>
      <c r="J4" s="12">
        <v>1994</v>
      </c>
      <c r="K4" s="12">
        <v>1995</v>
      </c>
      <c r="L4" s="12">
        <v>1996</v>
      </c>
      <c r="M4" s="12">
        <v>1997</v>
      </c>
      <c r="N4" s="12">
        <v>1998</v>
      </c>
      <c r="O4" s="12">
        <v>1999</v>
      </c>
      <c r="P4" s="12">
        <v>2000</v>
      </c>
      <c r="Q4" s="12">
        <v>2001</v>
      </c>
      <c r="R4" s="12">
        <v>2002</v>
      </c>
      <c r="S4" s="12">
        <v>2003</v>
      </c>
      <c r="T4" s="12">
        <v>2004</v>
      </c>
      <c r="U4" s="12">
        <v>2005</v>
      </c>
      <c r="V4" s="12">
        <v>2006</v>
      </c>
      <c r="W4" s="12">
        <v>2007</v>
      </c>
      <c r="X4" s="12">
        <v>2008</v>
      </c>
      <c r="Y4" s="12">
        <v>2009</v>
      </c>
      <c r="Z4" s="12">
        <v>2010</v>
      </c>
      <c r="AA4" s="12">
        <v>2011</v>
      </c>
      <c r="AB4" s="12">
        <v>2012</v>
      </c>
      <c r="AC4" s="12">
        <v>2013</v>
      </c>
      <c r="AD4" s="12">
        <v>2014</v>
      </c>
      <c r="AE4" s="12">
        <v>2015</v>
      </c>
      <c r="AF4" s="12">
        <v>2016</v>
      </c>
      <c r="AG4" s="12">
        <v>2017</v>
      </c>
      <c r="AH4" s="12">
        <v>2018</v>
      </c>
      <c r="AI4" s="12">
        <v>2019</v>
      </c>
      <c r="AJ4" s="12">
        <v>2020</v>
      </c>
      <c r="AK4" s="12">
        <v>2021</v>
      </c>
      <c r="AL4" s="12">
        <v>2022</v>
      </c>
      <c r="AM4" s="12">
        <v>2023</v>
      </c>
      <c r="AN4" s="12">
        <v>2024</v>
      </c>
      <c r="AO4" s="12">
        <v>2025</v>
      </c>
      <c r="AP4" s="12">
        <v>2026</v>
      </c>
      <c r="AQ4" s="12">
        <v>2027</v>
      </c>
      <c r="AR4" s="12">
        <v>2028</v>
      </c>
      <c r="AS4" s="12">
        <v>2029</v>
      </c>
      <c r="AT4" s="12">
        <v>2030</v>
      </c>
      <c r="AU4" s="12">
        <v>2031</v>
      </c>
      <c r="AV4" s="12">
        <v>2032</v>
      </c>
      <c r="AW4" s="12">
        <v>2033</v>
      </c>
      <c r="AX4" s="12">
        <v>2034</v>
      </c>
      <c r="AY4" s="12">
        <v>2035</v>
      </c>
    </row>
    <row r="5" spans="1:51" ht="18" customHeight="1">
      <c r="A5" s="9" t="s">
        <v>61</v>
      </c>
      <c r="B5" s="99">
        <v>0.64119999999999999</v>
      </c>
      <c r="C5" s="99">
        <v>0.65359999999999996</v>
      </c>
      <c r="D5" s="99">
        <v>0.67</v>
      </c>
      <c r="E5" s="99">
        <v>0.68910000000000005</v>
      </c>
      <c r="F5" s="99">
        <v>0.71</v>
      </c>
      <c r="G5" s="99">
        <v>0.73029999999999995</v>
      </c>
      <c r="H5" s="99">
        <v>0.74450000000000005</v>
      </c>
      <c r="I5" s="99">
        <v>0.75929999999999997</v>
      </c>
      <c r="J5" s="99">
        <v>0.77359999999999995</v>
      </c>
      <c r="K5" s="99">
        <v>0.78790000000000004</v>
      </c>
      <c r="L5" s="99">
        <v>0.80169999999999997</v>
      </c>
      <c r="M5" s="99">
        <v>0.81420000000000003</v>
      </c>
      <c r="N5" s="99">
        <v>0.82279999999999998</v>
      </c>
      <c r="O5" s="99">
        <v>0.83430000000000004</v>
      </c>
      <c r="P5" s="99">
        <v>0.85209999999999997</v>
      </c>
      <c r="Q5" s="99">
        <v>0.87250000000000005</v>
      </c>
      <c r="R5" s="99">
        <v>0.8881</v>
      </c>
      <c r="S5" s="99">
        <v>0.90780000000000005</v>
      </c>
      <c r="T5" s="99">
        <v>0.93559999999999999</v>
      </c>
      <c r="U5" s="99">
        <v>0.96870000000000001</v>
      </c>
      <c r="V5" s="99">
        <v>1</v>
      </c>
      <c r="W5" s="99">
        <v>1.0289999999999999</v>
      </c>
      <c r="X5" s="99">
        <v>1.0516000000000001</v>
      </c>
      <c r="Y5" s="99">
        <v>1.0609999999999999</v>
      </c>
      <c r="Z5" s="99">
        <v>1.0751999999999999</v>
      </c>
      <c r="AA5" s="99">
        <v>1.0981000000000001</v>
      </c>
      <c r="AB5" s="99">
        <v>1.1175999999999999</v>
      </c>
      <c r="AC5" s="99">
        <v>1.1375</v>
      </c>
      <c r="AD5" s="99">
        <v>1.1549</v>
      </c>
      <c r="AE5" s="99">
        <v>1.1735</v>
      </c>
      <c r="AF5" s="99">
        <v>1.1930000000000001</v>
      </c>
      <c r="AG5" s="99">
        <v>1.2121</v>
      </c>
      <c r="AH5" s="99">
        <v>1.2324999999999999</v>
      </c>
      <c r="AI5" s="99">
        <v>1.2525999999999999</v>
      </c>
      <c r="AJ5" s="99">
        <v>1.2734000000000001</v>
      </c>
      <c r="AK5" s="99">
        <v>1.2952999999999999</v>
      </c>
      <c r="AL5" s="99">
        <v>1.3178000000000001</v>
      </c>
      <c r="AM5" s="99">
        <v>1.3408</v>
      </c>
      <c r="AN5" s="99">
        <v>1.3636999999999999</v>
      </c>
      <c r="AO5" s="99">
        <v>1.387</v>
      </c>
      <c r="AP5" s="99">
        <v>1.4109</v>
      </c>
      <c r="AQ5" s="99">
        <v>1.4353</v>
      </c>
      <c r="AR5" s="99">
        <v>1.4602999999999999</v>
      </c>
      <c r="AS5" s="99">
        <v>1.4864999999999999</v>
      </c>
      <c r="AT5" s="99">
        <v>1.5133000000000001</v>
      </c>
      <c r="AU5" s="99">
        <v>1.5411999999999999</v>
      </c>
      <c r="AV5" s="99">
        <v>1.5692999999999999</v>
      </c>
      <c r="AW5" s="99">
        <v>1.5978000000000001</v>
      </c>
      <c r="AX5" s="99">
        <v>1.627</v>
      </c>
      <c r="AY5" s="99">
        <v>1.6566000000000001</v>
      </c>
    </row>
    <row r="7" spans="1:51">
      <c r="A7" s="28" t="s">
        <v>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W14"/>
  <sheetViews>
    <sheetView workbookViewId="0">
      <selection activeCell="A2" sqref="A2"/>
    </sheetView>
  </sheetViews>
  <sheetFormatPr defaultColWidth="9.140625" defaultRowHeight="15.75"/>
  <cols>
    <col min="1" max="1" width="50" style="9" customWidth="1"/>
    <col min="2" max="2" width="13.5703125" style="9" customWidth="1"/>
    <col min="3" max="3" width="15" style="9" customWidth="1"/>
    <col min="4" max="4" width="12.7109375" style="9" customWidth="1"/>
    <col min="5" max="5" width="9.7109375" style="9" customWidth="1"/>
    <col min="6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Montana, Single Family, Gas FAF, &gt;55 Gallons, Electric Resistance is starting water heater</v>
      </c>
    </row>
    <row r="2" spans="1:23">
      <c r="G2" s="130"/>
    </row>
    <row r="3" spans="1:23">
      <c r="A3" s="12" t="s">
        <v>127</v>
      </c>
      <c r="G3" s="130"/>
    </row>
    <row r="4" spans="1:23" ht="31.5">
      <c r="A4" s="65" t="s">
        <v>157</v>
      </c>
      <c r="B4" s="136" t="s">
        <v>126</v>
      </c>
    </row>
    <row r="5" spans="1:23">
      <c r="A5" s="170" t="s">
        <v>154</v>
      </c>
      <c r="B5" s="133">
        <f>'Consumer Cost'!B7</f>
        <v>0.81354446047715001</v>
      </c>
    </row>
    <row r="6" spans="1:23">
      <c r="A6" s="169" t="s">
        <v>155</v>
      </c>
      <c r="B6" s="134">
        <f>'Utility Cost'!B4</f>
        <v>-0.44285137556329823</v>
      </c>
    </row>
    <row r="7" spans="1:23">
      <c r="A7" s="56" t="s">
        <v>156</v>
      </c>
      <c r="B7" s="134">
        <f>NPV(DiscountRate,B14:W14)</f>
        <v>0.37069308491385228</v>
      </c>
    </row>
    <row r="8" spans="1:23">
      <c r="B8" s="130"/>
    </row>
    <row r="9" spans="1:23">
      <c r="B9" s="130"/>
    </row>
    <row r="10" spans="1:23">
      <c r="A10" s="12" t="s">
        <v>152</v>
      </c>
      <c r="B10" s="130"/>
    </row>
    <row r="11" spans="1:23">
      <c r="A11" s="104"/>
      <c r="B11" s="164">
        <f>'Utility Cost'!B7</f>
        <v>2014</v>
      </c>
      <c r="C11" s="164">
        <f>'Utility Cost'!C7</f>
        <v>2015</v>
      </c>
      <c r="D11" s="164">
        <f>'Utility Cost'!D7</f>
        <v>2016</v>
      </c>
      <c r="E11" s="164">
        <f>'Utility Cost'!E7</f>
        <v>2017</v>
      </c>
      <c r="F11" s="164">
        <f>'Utility Cost'!F7</f>
        <v>2018</v>
      </c>
      <c r="G11" s="164">
        <f>'Utility Cost'!G7</f>
        <v>2019</v>
      </c>
      <c r="H11" s="164">
        <f>'Utility Cost'!H7</f>
        <v>2020</v>
      </c>
      <c r="I11" s="164">
        <f>'Utility Cost'!I7</f>
        <v>2021</v>
      </c>
      <c r="J11" s="164">
        <f>'Utility Cost'!J7</f>
        <v>2022</v>
      </c>
      <c r="K11" s="164">
        <f>'Utility Cost'!K7</f>
        <v>2023</v>
      </c>
      <c r="L11" s="164">
        <f>'Utility Cost'!L7</f>
        <v>2024</v>
      </c>
      <c r="M11" s="164">
        <f>'Utility Cost'!M7</f>
        <v>2025</v>
      </c>
      <c r="N11" s="164">
        <f>'Utility Cost'!N7</f>
        <v>2026</v>
      </c>
      <c r="O11" s="164">
        <f>'Utility Cost'!O7</f>
        <v>2027</v>
      </c>
      <c r="P11" s="164">
        <f>'Utility Cost'!P7</f>
        <v>2028</v>
      </c>
      <c r="Q11" s="164">
        <f>'Utility Cost'!Q7</f>
        <v>2029</v>
      </c>
      <c r="R11" s="164">
        <f>'Utility Cost'!R7</f>
        <v>2030</v>
      </c>
      <c r="S11" s="164">
        <f>'Utility Cost'!S7</f>
        <v>2031</v>
      </c>
      <c r="T11" s="164">
        <f>'Utility Cost'!T7</f>
        <v>2032</v>
      </c>
      <c r="U11" s="164">
        <f>'Utility Cost'!U7</f>
        <v>2033</v>
      </c>
      <c r="V11" s="164">
        <f>'Utility Cost'!V7</f>
        <v>2034</v>
      </c>
      <c r="W11" s="164">
        <f>'Utility Cost'!W7</f>
        <v>2035</v>
      </c>
    </row>
    <row r="12" spans="1:23">
      <c r="A12" s="9" t="s">
        <v>150</v>
      </c>
      <c r="B12" s="158">
        <f>'Utility Cost'!B10</f>
        <v>0</v>
      </c>
      <c r="C12" s="158">
        <f>'Utility Cost'!C10</f>
        <v>-3.8755359959406479E-3</v>
      </c>
      <c r="D12" s="158">
        <f>'Utility Cost'!D10</f>
        <v>-7.4827354302221E-3</v>
      </c>
      <c r="E12" s="158">
        <f>'Utility Cost'!E10</f>
        <v>-1.0967686708704665E-2</v>
      </c>
      <c r="F12" s="158">
        <f>'Utility Cost'!F10</f>
        <v>-1.4359871187216062E-2</v>
      </c>
      <c r="G12" s="158">
        <f>'Utility Cost'!G10</f>
        <v>-1.7669631918152181E-2</v>
      </c>
      <c r="H12" s="158">
        <f>'Utility Cost'!H10</f>
        <v>-2.1380525253698018E-2</v>
      </c>
      <c r="I12" s="158">
        <f>'Utility Cost'!I10</f>
        <v>-2.4604275788104941E-2</v>
      </c>
      <c r="J12" s="158">
        <f>'Utility Cost'!J10</f>
        <v>-2.7796748843528153E-2</v>
      </c>
      <c r="K12" s="158">
        <f>'Utility Cost'!K10</f>
        <v>-3.0914193384356834E-2</v>
      </c>
      <c r="L12" s="158">
        <f>'Utility Cost'!L10</f>
        <v>-3.3891605750585842E-2</v>
      </c>
      <c r="M12" s="158">
        <f>'Utility Cost'!M10</f>
        <v>-3.7793623673318219E-2</v>
      </c>
      <c r="N12" s="158">
        <f>'Utility Cost'!N10</f>
        <v>-4.0977432596085536E-2</v>
      </c>
      <c r="O12" s="158">
        <f>'Utility Cost'!O10</f>
        <v>-4.4115596627517031E-2</v>
      </c>
      <c r="P12" s="158">
        <f>'Utility Cost'!P10</f>
        <v>-4.7291880341063693E-2</v>
      </c>
      <c r="Q12" s="158">
        <f>'Utility Cost'!Q10</f>
        <v>-5.0430227206434919E-2</v>
      </c>
      <c r="R12" s="158">
        <f>'Utility Cost'!R10</f>
        <v>-5.4520355363560896E-2</v>
      </c>
      <c r="S12" s="158">
        <f>'Utility Cost'!S10</f>
        <v>-5.7708766772931734E-2</v>
      </c>
      <c r="T12" s="158">
        <f>'Utility Cost'!T10</f>
        <v>-6.0863488946370531E-2</v>
      </c>
      <c r="U12" s="158">
        <f>'Utility Cost'!U10</f>
        <v>-6.4083043528199171E-2</v>
      </c>
      <c r="V12" s="158">
        <f>'Utility Cost'!V10</f>
        <v>-6.7375103649827253E-2</v>
      </c>
      <c r="W12" s="158">
        <f>'Utility Cost'!W10</f>
        <v>-7.0540600264350495E-2</v>
      </c>
    </row>
    <row r="13" spans="1:23">
      <c r="A13" s="41" t="s">
        <v>149</v>
      </c>
      <c r="B13" s="163">
        <f>-('Consumer Cost'!B49-'Consumer Cost'!B12)</f>
        <v>0</v>
      </c>
      <c r="C13" s="163">
        <f>-('Consumer Cost'!C49-'Consumer Cost'!C12)</f>
        <v>7.852393012259995E-2</v>
      </c>
      <c r="D13" s="163">
        <f>-('Consumer Cost'!D49-'Consumer Cost'!D12)</f>
        <v>7.5808816265825807E-2</v>
      </c>
      <c r="E13" s="163">
        <f>-('Consumer Cost'!E49-'Consumer Cost'!E12)</f>
        <v>7.3221441431404966E-2</v>
      </c>
      <c r="F13" s="163">
        <f>-('Consumer Cost'!F49-'Consumer Cost'!F12)</f>
        <v>7.0754467369985141E-2</v>
      </c>
      <c r="G13" s="163">
        <f>-('Consumer Cost'!G49-'Consumer Cost'!G12)</f>
        <v>6.8400939780980274E-2</v>
      </c>
      <c r="H13" s="163">
        <f>-('Consumer Cost'!H49-'Consumer Cost'!H12)</f>
        <v>6.6154269936553822E-2</v>
      </c>
      <c r="I13" s="163">
        <f>-('Consumer Cost'!I49-'Consumer Cost'!I12)</f>
        <v>6.400821705755988E-2</v>
      </c>
      <c r="J13" s="163">
        <f>-('Consumer Cost'!J49-'Consumer Cost'!J12)</f>
        <v>6.1956871423284543E-2</v>
      </c>
      <c r="K13" s="163">
        <f>-('Consumer Cost'!K49-'Consumer Cost'!K12)</f>
        <v>5.9994638195903671E-2</v>
      </c>
      <c r="L13" s="163">
        <f>-('Consumer Cost'!L49-'Consumer Cost'!L12)</f>
        <v>5.8116221939854329E-2</v>
      </c>
      <c r="M13" s="163">
        <f>-('Consumer Cost'!M49-'Consumer Cost'!M12)</f>
        <v>5.6316611815773632E-2</v>
      </c>
      <c r="N13" s="163">
        <f>-('Consumer Cost'!N49-'Consumer Cost'!N12)</f>
        <v>5.4591067428290785E-2</v>
      </c>
      <c r="O13" s="163">
        <f>-('Consumer Cost'!O49-'Consumer Cost'!O12)</f>
        <v>5.2935105306709973E-2</v>
      </c>
      <c r="P13" s="163">
        <f>-('Consumer Cost'!P49-'Consumer Cost'!P12)</f>
        <v>5.1344485997520395E-2</v>
      </c>
      <c r="Q13" s="163">
        <f>-('Consumer Cost'!Q49-'Consumer Cost'!Q12)</f>
        <v>4.9815201747657079E-2</v>
      </c>
      <c r="R13" s="163">
        <f>-('Consumer Cost'!R49-'Consumer Cost'!R12)</f>
        <v>4.8343464757533372E-2</v>
      </c>
      <c r="S13" s="163">
        <f>-('Consumer Cost'!S49-'Consumer Cost'!S12)</f>
        <v>4.6925695983034421E-2</v>
      </c>
      <c r="T13" s="163">
        <f>-('Consumer Cost'!T49-'Consumer Cost'!T12)</f>
        <v>4.5558514465908528E-2</v>
      </c>
      <c r="U13" s="163">
        <f>-('Consumer Cost'!U49-'Consumer Cost'!U12)</f>
        <v>4.4238727172291603E-2</v>
      </c>
      <c r="V13" s="163">
        <f>-('Consumer Cost'!V49-'Consumer Cost'!V12)</f>
        <v>4.2963319319463622E-2</v>
      </c>
      <c r="W13" s="163">
        <f>-('Consumer Cost'!W49-'Consumer Cost'!W12)</f>
        <v>4.1729445171322044E-2</v>
      </c>
    </row>
    <row r="14" spans="1:23">
      <c r="A14" s="9" t="s">
        <v>151</v>
      </c>
      <c r="B14" s="158">
        <f>B12+B13</f>
        <v>0</v>
      </c>
      <c r="C14" s="158">
        <f t="shared" ref="C14:W14" si="0">C12+C13</f>
        <v>7.4648394126659301E-2</v>
      </c>
      <c r="D14" s="158">
        <f t="shared" si="0"/>
        <v>6.8326080835603709E-2</v>
      </c>
      <c r="E14" s="158">
        <f t="shared" si="0"/>
        <v>6.2253754722700297E-2</v>
      </c>
      <c r="F14" s="158">
        <f t="shared" si="0"/>
        <v>5.6394596182769083E-2</v>
      </c>
      <c r="G14" s="158">
        <f t="shared" si="0"/>
        <v>5.073130786282809E-2</v>
      </c>
      <c r="H14" s="158">
        <f t="shared" si="0"/>
        <v>4.4773744682855804E-2</v>
      </c>
      <c r="I14" s="158">
        <f t="shared" si="0"/>
        <v>3.9403941269454942E-2</v>
      </c>
      <c r="J14" s="158">
        <f t="shared" si="0"/>
        <v>3.416012257975639E-2</v>
      </c>
      <c r="K14" s="158">
        <f t="shared" si="0"/>
        <v>2.9080444811546837E-2</v>
      </c>
      <c r="L14" s="158">
        <f t="shared" si="0"/>
        <v>2.4224616189268487E-2</v>
      </c>
      <c r="M14" s="158">
        <f t="shared" si="0"/>
        <v>1.8522988142455413E-2</v>
      </c>
      <c r="N14" s="158">
        <f t="shared" si="0"/>
        <v>1.3613634832205249E-2</v>
      </c>
      <c r="O14" s="158">
        <f t="shared" si="0"/>
        <v>8.8195086791929417E-3</v>
      </c>
      <c r="P14" s="158">
        <f t="shared" si="0"/>
        <v>4.0526056564567023E-3</v>
      </c>
      <c r="Q14" s="158">
        <f t="shared" si="0"/>
        <v>-6.1502545877784032E-4</v>
      </c>
      <c r="R14" s="158">
        <f t="shared" si="0"/>
        <v>-6.1768906060275242E-3</v>
      </c>
      <c r="S14" s="158">
        <f t="shared" si="0"/>
        <v>-1.0783070789897313E-2</v>
      </c>
      <c r="T14" s="158">
        <f t="shared" si="0"/>
        <v>-1.5304974480462002E-2</v>
      </c>
      <c r="U14" s="158">
        <f t="shared" si="0"/>
        <v>-1.9844316355907568E-2</v>
      </c>
      <c r="V14" s="158">
        <f t="shared" si="0"/>
        <v>-2.4411784330363631E-2</v>
      </c>
      <c r="W14" s="158">
        <f t="shared" si="0"/>
        <v>-2.8811155093028451E-2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Y10"/>
  <sheetViews>
    <sheetView workbookViewId="0">
      <selection activeCell="A2" sqref="A2"/>
    </sheetView>
  </sheetViews>
  <sheetFormatPr defaultColWidth="9.140625" defaultRowHeight="15.75"/>
  <cols>
    <col min="1" max="1" width="54.7109375" style="9" customWidth="1"/>
    <col min="2" max="2" width="13.85546875" style="9" customWidth="1"/>
    <col min="3" max="5" width="12.42578125" style="9" bestFit="1" customWidth="1"/>
    <col min="6" max="23" width="14.28515625" style="9" bestFit="1" customWidth="1"/>
    <col min="24" max="16384" width="9.140625" style="9"/>
  </cols>
  <sheetData>
    <row r="1" spans="1:25">
      <c r="A1" s="147" t="str">
        <f>CONCATENATE("Segment:  ",State,", Single Family, ", SpaceHeat, ", ", TankSize,", ", StartWH, " is starting water heater")</f>
        <v>Segment:  Montana, Single Family, Gas FAF, &gt;55 Gallons, Electric Resistance is starting water heater</v>
      </c>
    </row>
    <row r="3" spans="1:25" ht="31.5">
      <c r="A3" s="154"/>
      <c r="B3" s="136" t="s">
        <v>140</v>
      </c>
    </row>
    <row r="4" spans="1:25">
      <c r="A4" s="153" t="s">
        <v>139</v>
      </c>
      <c r="B4" s="155">
        <f>NPV(DiscountRate,B10:W10)</f>
        <v>-0.44285137556329823</v>
      </c>
      <c r="D4" s="44"/>
      <c r="E4" s="44"/>
      <c r="F4" s="44"/>
      <c r="G4" s="44"/>
      <c r="H4" s="123"/>
      <c r="I4" s="44"/>
      <c r="J4" s="44"/>
      <c r="K4" s="44"/>
    </row>
    <row r="6" spans="1:25">
      <c r="A6" s="12" t="s">
        <v>136</v>
      </c>
    </row>
    <row r="7" spans="1:25">
      <c r="A7" s="154"/>
      <c r="B7" s="81">
        <f>'Net Reduction in Gas'!B10</f>
        <v>2014</v>
      </c>
      <c r="C7" s="81">
        <f>'Net Reduction in Gas'!C10</f>
        <v>2015</v>
      </c>
      <c r="D7" s="81">
        <f>'Net Reduction in Gas'!D10</f>
        <v>2016</v>
      </c>
      <c r="E7" s="81">
        <f>'Net Reduction in Gas'!E10</f>
        <v>2017</v>
      </c>
      <c r="F7" s="81">
        <f>'Net Reduction in Gas'!F10</f>
        <v>2018</v>
      </c>
      <c r="G7" s="81">
        <f>'Net Reduction in Gas'!G10</f>
        <v>2019</v>
      </c>
      <c r="H7" s="81">
        <f>'Net Reduction in Gas'!H10</f>
        <v>2020</v>
      </c>
      <c r="I7" s="81">
        <f>'Net Reduction in Gas'!I10</f>
        <v>2021</v>
      </c>
      <c r="J7" s="81">
        <f>'Net Reduction in Gas'!J10</f>
        <v>2022</v>
      </c>
      <c r="K7" s="81">
        <f>'Net Reduction in Gas'!K10</f>
        <v>2023</v>
      </c>
      <c r="L7" s="81">
        <f>'Net Reduction in Gas'!L10</f>
        <v>2024</v>
      </c>
      <c r="M7" s="81">
        <f>'Net Reduction in Gas'!M10</f>
        <v>2025</v>
      </c>
      <c r="N7" s="81">
        <f>'Net Reduction in Gas'!N10</f>
        <v>2026</v>
      </c>
      <c r="O7" s="81">
        <f>'Net Reduction in Gas'!O10</f>
        <v>2027</v>
      </c>
      <c r="P7" s="81">
        <f>'Net Reduction in Gas'!P10</f>
        <v>2028</v>
      </c>
      <c r="Q7" s="81">
        <f>'Net Reduction in Gas'!Q10</f>
        <v>2029</v>
      </c>
      <c r="R7" s="81">
        <f>'Net Reduction in Gas'!R10</f>
        <v>2030</v>
      </c>
      <c r="S7" s="81">
        <f>'Net Reduction in Gas'!S10</f>
        <v>2031</v>
      </c>
      <c r="T7" s="81">
        <f>'Net Reduction in Gas'!T10</f>
        <v>2032</v>
      </c>
      <c r="U7" s="81">
        <f>'Net Reduction in Gas'!U10</f>
        <v>2033</v>
      </c>
      <c r="V7" s="81">
        <f>'Net Reduction in Gas'!V10</f>
        <v>2034</v>
      </c>
      <c r="W7" s="92">
        <f>'Net Reduction in Gas'!W10</f>
        <v>2035</v>
      </c>
    </row>
    <row r="8" spans="1:25">
      <c r="A8" s="66" t="s">
        <v>162</v>
      </c>
      <c r="B8" s="132">
        <f>'Net Reduction in Gas'!B13</f>
        <v>0</v>
      </c>
      <c r="C8" s="132">
        <f>'Net Reduction in Gas'!C13</f>
        <v>-9.0761967118047971E-4</v>
      </c>
      <c r="D8" s="132">
        <f>'Net Reduction in Gas'!D13</f>
        <v>-1.7523970562581031E-3</v>
      </c>
      <c r="E8" s="132">
        <f>'Net Reduction in Gas'!E13</f>
        <v>-2.5388163677557093E-3</v>
      </c>
      <c r="F8" s="132">
        <f>'Net Reduction in Gas'!F13</f>
        <v>-3.2710412727143651E-3</v>
      </c>
      <c r="G8" s="132">
        <f>'Net Reduction in Gas'!G13</f>
        <v>-3.9529377892957903E-3</v>
      </c>
      <c r="H8" s="132">
        <f>'Net Reduction in Gas'!H13</f>
        <v>-4.5880955480038666E-3</v>
      </c>
      <c r="I8" s="132">
        <f>'Net Reduction in Gas'!I13</f>
        <v>-5.1798475343378825E-3</v>
      </c>
      <c r="J8" s="132">
        <f>'Net Reduction in Gas'!J13</f>
        <v>-5.7312884213460112E-3</v>
      </c>
      <c r="K8" s="132">
        <f>'Net Reduction in Gas'!K13</f>
        <v>-6.24529159279936E-3</v>
      </c>
      <c r="L8" s="132">
        <f>'Net Reduction in Gas'!L13</f>
        <v>-6.7245249505130632E-3</v>
      </c>
      <c r="M8" s="132">
        <f>'Net Reduction in Gas'!M13</f>
        <v>-7.1714655926600037E-3</v>
      </c>
      <c r="N8" s="132">
        <f>'Net Reduction in Gas'!N13</f>
        <v>-7.5884134437195433E-3</v>
      </c>
      <c r="O8" s="132">
        <f>'Net Reduction in Gas'!O13</f>
        <v>-7.9775039109434044E-3</v>
      </c>
      <c r="P8" s="132">
        <f>'Net Reduction in Gas'!P13</f>
        <v>-8.3407196368719041E-3</v>
      </c>
      <c r="Q8" s="132">
        <f>'Net Reduction in Gas'!Q13</f>
        <v>-8.6799014124672846E-3</v>
      </c>
      <c r="R8" s="132">
        <f>'Net Reduction in Gas'!R13</f>
        <v>-8.99675831081863E-3</v>
      </c>
      <c r="S8" s="132">
        <f>'Net Reduction in Gas'!S13</f>
        <v>-9.2928770970904569E-3</v>
      </c>
      <c r="T8" s="132">
        <f>'Net Reduction in Gas'!T13</f>
        <v>-9.5697309664104606E-3</v>
      </c>
      <c r="U8" s="132">
        <f>'Net Reduction in Gas'!U13</f>
        <v>-9.8286876576992605E-3</v>
      </c>
      <c r="V8" s="132">
        <f>'Net Reduction in Gas'!V13</f>
        <v>-1.0071016988016032E-2</v>
      </c>
      <c r="W8" s="132">
        <f>'Net Reduction in Gas'!W13</f>
        <v>-1.0297897848810291E-2</v>
      </c>
      <c r="X8" s="130"/>
    </row>
    <row r="9" spans="1:25">
      <c r="A9" s="66" t="s">
        <v>137</v>
      </c>
      <c r="B9" s="44">
        <f>'Wholesale Price'!B5</f>
        <v>4.3899999999999997</v>
      </c>
      <c r="C9" s="44">
        <f>'Wholesale Price'!C5</f>
        <v>4.2699999999999996</v>
      </c>
      <c r="D9" s="44">
        <f>'Wholesale Price'!D5</f>
        <v>4.2699999999999996</v>
      </c>
      <c r="E9" s="44">
        <f>'Wholesale Price'!E5</f>
        <v>4.32</v>
      </c>
      <c r="F9" s="44">
        <f>'Wholesale Price'!F5</f>
        <v>4.3899999999999997</v>
      </c>
      <c r="G9" s="44">
        <f>'Wholesale Price'!G5</f>
        <v>4.47</v>
      </c>
      <c r="H9" s="44">
        <f>'Wholesale Price'!H5</f>
        <v>4.66</v>
      </c>
      <c r="I9" s="44">
        <f>'Wholesale Price'!I5</f>
        <v>4.75</v>
      </c>
      <c r="J9" s="44">
        <f>'Wholesale Price'!J5</f>
        <v>4.8499999999999996</v>
      </c>
      <c r="K9" s="44">
        <f>'Wholesale Price'!K5</f>
        <v>4.95</v>
      </c>
      <c r="L9" s="44">
        <f>'Wholesale Price'!L5</f>
        <v>5.04</v>
      </c>
      <c r="M9" s="44">
        <f>'Wholesale Price'!M5</f>
        <v>5.27</v>
      </c>
      <c r="N9" s="44">
        <f>'Wholesale Price'!N5</f>
        <v>5.4</v>
      </c>
      <c r="O9" s="44">
        <f>'Wholesale Price'!O5</f>
        <v>5.53</v>
      </c>
      <c r="P9" s="44">
        <f>'Wholesale Price'!P5</f>
        <v>5.67</v>
      </c>
      <c r="Q9" s="44">
        <f>'Wholesale Price'!Q5</f>
        <v>5.81</v>
      </c>
      <c r="R9" s="44">
        <f>'Wholesale Price'!R5</f>
        <v>6.06</v>
      </c>
      <c r="S9" s="44">
        <f>'Wholesale Price'!S5</f>
        <v>6.21</v>
      </c>
      <c r="T9" s="44">
        <f>'Wholesale Price'!T5</f>
        <v>6.36</v>
      </c>
      <c r="U9" s="44">
        <f>'Wholesale Price'!U5</f>
        <v>6.52</v>
      </c>
      <c r="V9" s="44">
        <f>'Wholesale Price'!V5</f>
        <v>6.69</v>
      </c>
      <c r="W9" s="44">
        <f>'Wholesale Price'!W5</f>
        <v>6.85</v>
      </c>
      <c r="X9" s="44"/>
      <c r="Y9" s="44"/>
    </row>
    <row r="10" spans="1:25">
      <c r="A10" s="56" t="s">
        <v>138</v>
      </c>
      <c r="B10" s="157">
        <f>B8*B9</f>
        <v>0</v>
      </c>
      <c r="C10" s="157">
        <f>C8*C9</f>
        <v>-3.8755359959406479E-3</v>
      </c>
      <c r="D10" s="157">
        <f t="shared" ref="D10:W10" si="0">D8*D9</f>
        <v>-7.4827354302221E-3</v>
      </c>
      <c r="E10" s="157">
        <f t="shared" si="0"/>
        <v>-1.0967686708704665E-2</v>
      </c>
      <c r="F10" s="157">
        <f t="shared" si="0"/>
        <v>-1.4359871187216062E-2</v>
      </c>
      <c r="G10" s="157">
        <f t="shared" si="0"/>
        <v>-1.7669631918152181E-2</v>
      </c>
      <c r="H10" s="157">
        <f t="shared" si="0"/>
        <v>-2.1380525253698018E-2</v>
      </c>
      <c r="I10" s="157">
        <f t="shared" si="0"/>
        <v>-2.4604275788104941E-2</v>
      </c>
      <c r="J10" s="157">
        <f t="shared" si="0"/>
        <v>-2.7796748843528153E-2</v>
      </c>
      <c r="K10" s="157">
        <f t="shared" si="0"/>
        <v>-3.0914193384356834E-2</v>
      </c>
      <c r="L10" s="157">
        <f t="shared" si="0"/>
        <v>-3.3891605750585842E-2</v>
      </c>
      <c r="M10" s="157">
        <f t="shared" si="0"/>
        <v>-3.7793623673318219E-2</v>
      </c>
      <c r="N10" s="157">
        <f t="shared" si="0"/>
        <v>-4.0977432596085536E-2</v>
      </c>
      <c r="O10" s="157">
        <f t="shared" si="0"/>
        <v>-4.4115596627517031E-2</v>
      </c>
      <c r="P10" s="157">
        <f t="shared" si="0"/>
        <v>-4.7291880341063693E-2</v>
      </c>
      <c r="Q10" s="157">
        <f t="shared" si="0"/>
        <v>-5.0430227206434919E-2</v>
      </c>
      <c r="R10" s="157">
        <f t="shared" si="0"/>
        <v>-5.4520355363560896E-2</v>
      </c>
      <c r="S10" s="157">
        <f t="shared" si="0"/>
        <v>-5.7708766772931734E-2</v>
      </c>
      <c r="T10" s="157">
        <f t="shared" si="0"/>
        <v>-6.0863488946370531E-2</v>
      </c>
      <c r="U10" s="157">
        <f t="shared" si="0"/>
        <v>-6.4083043528199171E-2</v>
      </c>
      <c r="V10" s="157">
        <f t="shared" si="0"/>
        <v>-6.7375103649827253E-2</v>
      </c>
      <c r="W10" s="157">
        <f t="shared" si="0"/>
        <v>-7.0540600264350495E-2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11</vt:i4>
      </vt:variant>
    </vt:vector>
  </HeadingPairs>
  <TitlesOfParts>
    <vt:vector size="35" baseType="lpstr">
      <vt:lpstr>Summary-Charts</vt:lpstr>
      <vt:lpstr>Summary-Results</vt:lpstr>
      <vt:lpstr>Input Assumptions</vt:lpstr>
      <vt:lpstr>Non-Price Factors</vt:lpstr>
      <vt:lpstr>Retail Rates</vt:lpstr>
      <vt:lpstr>Wholesale Price</vt:lpstr>
      <vt:lpstr>Inflation</vt:lpstr>
      <vt:lpstr>Total Resource Cost</vt:lpstr>
      <vt:lpstr>Utility Cost</vt:lpstr>
      <vt:lpstr>Consumer Cost</vt:lpstr>
      <vt:lpstr>Net Reduction in Gas</vt:lpstr>
      <vt:lpstr>Energy Usage</vt:lpstr>
      <vt:lpstr>Water Heater Stock</vt:lpstr>
      <vt:lpstr>Water Heaters Retired</vt:lpstr>
      <vt:lpstr>Water Heaters Purchased</vt:lpstr>
      <vt:lpstr>Average Market Share</vt:lpstr>
      <vt:lpstr>Marginal Market Share</vt:lpstr>
      <vt:lpstr>Total Allocation Weight</vt:lpstr>
      <vt:lpstr>Marginal Allocation Weight</vt:lpstr>
      <vt:lpstr>Levelized Costs</vt:lpstr>
      <vt:lpstr>Fuel Cost</vt:lpstr>
      <vt:lpstr>Device Energy Use</vt:lpstr>
      <vt:lpstr>Capital Cost</vt:lpstr>
      <vt:lpstr>O&amp;M Cost</vt:lpstr>
      <vt:lpstr>CapitalChargeRate</vt:lpstr>
      <vt:lpstr>ConvertMMBTU</vt:lpstr>
      <vt:lpstr>DiscountRate</vt:lpstr>
      <vt:lpstr>HeatRate</vt:lpstr>
      <vt:lpstr>Households</vt:lpstr>
      <vt:lpstr>Lifetime</vt:lpstr>
      <vt:lpstr>SpaceHeat</vt:lpstr>
      <vt:lpstr>StartWH</vt:lpstr>
      <vt:lpstr>State</vt:lpstr>
      <vt:lpstr>TankSize</vt:lpstr>
      <vt:lpstr>VarianceFactor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Massoud Jourabchi</cp:lastModifiedBy>
  <dcterms:created xsi:type="dcterms:W3CDTF">2014-08-12T20:22:43Z</dcterms:created>
  <dcterms:modified xsi:type="dcterms:W3CDTF">2015-01-14T18:53:00Z</dcterms:modified>
</cp:coreProperties>
</file>