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120" windowWidth="13890" windowHeight="6225" activeTab="5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A1" i="30"/>
  <c r="A1" i="43" l="1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D9" i="49" l="1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75" i="39" l="1"/>
  <c r="B45" i="40"/>
  <c r="B44"/>
  <c r="B43"/>
  <c r="W11" i="5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W4" i="48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9" i="49"/>
  <c r="C9"/>
  <c r="M7"/>
  <c r="N7"/>
  <c r="U7"/>
  <c r="V7"/>
  <c r="W7"/>
  <c r="B7"/>
  <c r="C12" i="48"/>
  <c r="B12"/>
  <c r="J10"/>
  <c r="J7" i="49" s="1"/>
  <c r="K10" i="48"/>
  <c r="K7" i="49" s="1"/>
  <c r="L10" i="48"/>
  <c r="L7" i="49" s="1"/>
  <c r="M10" i="48"/>
  <c r="N10"/>
  <c r="O10"/>
  <c r="O7" i="49" s="1"/>
  <c r="P10" i="48"/>
  <c r="P7" i="49" s="1"/>
  <c r="Q10" i="48"/>
  <c r="Q7" i="49" s="1"/>
  <c r="R10" i="48"/>
  <c r="R7" i="49" s="1"/>
  <c r="S10" i="48"/>
  <c r="S7" i="49" s="1"/>
  <c r="T10" i="48"/>
  <c r="T7" i="49" s="1"/>
  <c r="U10" i="48"/>
  <c r="V10"/>
  <c r="W10"/>
  <c r="B10"/>
  <c r="C10"/>
  <c r="C7" i="49" s="1"/>
  <c r="D10" i="48"/>
  <c r="D7" i="49" s="1"/>
  <c r="E10" i="48"/>
  <c r="E7" i="49" s="1"/>
  <c r="F10" i="48"/>
  <c r="F7" i="49" s="1"/>
  <c r="G10" i="48"/>
  <c r="G7" i="49" s="1"/>
  <c r="H10" i="48"/>
  <c r="H7" i="49" s="1"/>
  <c r="I10" i="48"/>
  <c r="I7" i="49" s="1"/>
  <c r="C16" i="34"/>
  <c r="C17"/>
  <c r="C18"/>
  <c r="C19"/>
  <c r="C7"/>
  <c r="C8"/>
  <c r="C9"/>
  <c r="C10"/>
  <c r="B6" i="21"/>
  <c r="C6" i="34" s="1"/>
  <c r="B15" i="21"/>
  <c r="C15" i="34" s="1"/>
  <c r="A25" i="30" l="1"/>
  <c r="A34"/>
  <c r="C42" i="40"/>
  <c r="D20" i="45" l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C20"/>
  <c r="B22"/>
  <c r="B23"/>
  <c r="B24"/>
  <c r="B21"/>
  <c r="B20"/>
  <c r="A18" l="1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A12" i="46" l="1"/>
  <c r="A4"/>
  <c r="C14" i="45"/>
  <c r="C24" s="1"/>
  <c r="C13"/>
  <c r="C23" s="1"/>
  <c r="C12"/>
  <c r="C22" s="1"/>
  <c r="C11"/>
  <c r="C21" s="1"/>
  <c r="D14" l="1"/>
  <c r="D24" s="1"/>
  <c r="D13"/>
  <c r="D23" s="1"/>
  <c r="D12"/>
  <c r="D22" s="1"/>
  <c r="D11"/>
  <c r="D21" s="1"/>
  <c r="A9"/>
  <c r="A19" s="1"/>
  <c r="E11" l="1"/>
  <c r="E21" s="1"/>
  <c r="E12"/>
  <c r="E22" s="1"/>
  <c r="E13"/>
  <c r="E23" s="1"/>
  <c r="E14"/>
  <c r="E24" s="1"/>
  <c r="F14" l="1"/>
  <c r="F24" s="1"/>
  <c r="F13"/>
  <c r="F23" s="1"/>
  <c r="F12"/>
  <c r="F22" s="1"/>
  <c r="F11"/>
  <c r="F21" s="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D5" i="43" l="1"/>
  <c r="B31" i="29" s="1"/>
  <c r="D9" i="43"/>
  <c r="B72" i="29" s="1"/>
  <c r="E6" i="42"/>
  <c r="B23" i="29" s="1"/>
  <c r="D8" i="43"/>
  <c r="B71" i="29" s="1"/>
  <c r="B69"/>
  <c r="B32"/>
  <c r="G11" i="45"/>
  <c r="G21" s="1"/>
  <c r="G12"/>
  <c r="G22" s="1"/>
  <c r="G13"/>
  <c r="G23" s="1"/>
  <c r="G14"/>
  <c r="G24" s="1"/>
  <c r="E8" i="42"/>
  <c r="E5"/>
  <c r="E9"/>
  <c r="D7" i="43"/>
  <c r="E7" i="42"/>
  <c r="B60" i="29" l="1"/>
  <c r="B35"/>
  <c r="B68"/>
  <c r="B34"/>
  <c r="B25"/>
  <c r="B62"/>
  <c r="B59"/>
  <c r="B22"/>
  <c r="B26"/>
  <c r="B63"/>
  <c r="B24"/>
  <c r="B61"/>
  <c r="B70"/>
  <c r="B33"/>
  <c r="H14" i="45"/>
  <c r="H24" s="1"/>
  <c r="H13"/>
  <c r="H23" s="1"/>
  <c r="H12"/>
  <c r="H22" s="1"/>
  <c r="H11"/>
  <c r="H21" s="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G1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M16"/>
  <c r="M4" s="1"/>
  <c r="L16"/>
  <c r="L4" s="1"/>
  <c r="K16"/>
  <c r="K4" s="1"/>
  <c r="J16"/>
  <c r="J4" s="1"/>
  <c r="I16"/>
  <c r="I4" s="1"/>
  <c r="H16"/>
  <c r="H4" s="1"/>
  <c r="G16"/>
  <c r="G4" s="1"/>
  <c r="G5" s="1"/>
  <c r="F16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H57"/>
  <c r="H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A29" i="29" l="1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21" s="1"/>
  <c r="I12"/>
  <c r="I22" s="1"/>
  <c r="I13"/>
  <c r="I23" s="1"/>
  <c r="I14"/>
  <c r="I24" s="1"/>
  <c r="B4" i="31"/>
  <c r="B4" i="23" s="1"/>
  <c r="B12"/>
  <c r="L5" i="15"/>
  <c r="E5"/>
  <c r="E5" i="14" s="1"/>
  <c r="E5" i="31" s="1"/>
  <c r="M5" i="15"/>
  <c r="U5"/>
  <c r="U5" i="14" s="1"/>
  <c r="U5" i="31" s="1"/>
  <c r="V4" i="1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B38" i="29"/>
  <c r="U38"/>
  <c r="T10" i="25"/>
  <c r="B5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Q5" i="31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/>
  <c r="K75" i="29"/>
  <c r="A41" i="25"/>
  <c r="L38" i="29"/>
  <c r="N4" i="14"/>
  <c r="A9"/>
  <c r="D5" i="25"/>
  <c r="F10"/>
  <c r="R5" i="15"/>
  <c r="R5" i="14" s="1"/>
  <c r="R5" i="31" s="1"/>
  <c r="R10" i="25"/>
  <c r="B5" i="15"/>
  <c r="T5"/>
  <c r="T5" i="14" s="1"/>
  <c r="T5" i="31" s="1"/>
  <c r="J5" i="25"/>
  <c r="J10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B10"/>
  <c r="C75" i="29"/>
  <c r="C38"/>
  <c r="S75"/>
  <c r="S38"/>
  <c r="A55" i="25"/>
  <c r="A50"/>
  <c r="F5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A66"/>
  <c r="T75" i="29"/>
  <c r="Q10" i="25"/>
  <c r="P75" i="29"/>
  <c r="P38"/>
  <c r="A31" i="25"/>
  <c r="M4" i="14"/>
  <c r="E4"/>
  <c r="W10" i="25"/>
  <c r="W5"/>
  <c r="G10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/>
  <c r="Q5"/>
  <c r="H10"/>
  <c r="H5"/>
  <c r="I10"/>
  <c r="I5"/>
  <c r="P5"/>
  <c r="P10"/>
  <c r="L5"/>
  <c r="L10"/>
  <c r="T5"/>
  <c r="O10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I9" i="31" s="1"/>
  <c r="H9" i="15"/>
  <c r="H9" i="14" s="1"/>
  <c r="F9" i="15"/>
  <c r="F9" i="14" s="1"/>
  <c r="E9" i="15"/>
  <c r="E9" i="14" s="1"/>
  <c r="Q9" i="15"/>
  <c r="Q9" i="14" s="1"/>
  <c r="Q9" i="31" s="1"/>
  <c r="V9" i="15"/>
  <c r="V9" i="14" s="1"/>
  <c r="U9" i="15"/>
  <c r="U9" i="14" s="1"/>
  <c r="P9" i="15"/>
  <c r="P9" i="14" s="1"/>
  <c r="N9" i="15"/>
  <c r="N9" i="14" s="1"/>
  <c r="S10" i="25"/>
  <c r="S5"/>
  <c r="E75" i="29"/>
  <c r="E38"/>
  <c r="M38"/>
  <c r="M75"/>
  <c r="O5" i="25"/>
  <c r="C10"/>
  <c r="C5"/>
  <c r="K10"/>
  <c r="K5"/>
  <c r="D10"/>
  <c r="N38" i="29"/>
  <c r="N75"/>
  <c r="N10" i="25"/>
  <c r="V5"/>
  <c r="Q38" i="29"/>
  <c r="Q75"/>
  <c r="C4" i="14"/>
  <c r="S4"/>
  <c r="M5" i="25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J8" i="15"/>
  <c r="J8" i="14" s="1"/>
  <c r="B8" i="15"/>
  <c r="Q8"/>
  <c r="Q8" i="14" s="1"/>
  <c r="Q8" i="31" s="1"/>
  <c r="I8" i="15"/>
  <c r="I8" i="14" s="1"/>
  <c r="I8" i="31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W5" i="31" s="1"/>
  <c r="O5" i="15"/>
  <c r="O5" i="14" s="1"/>
  <c r="O5" i="31" s="1"/>
  <c r="G5" i="15"/>
  <c r="G5" i="14" s="1"/>
  <c r="G5" i="31" s="1"/>
  <c r="V5" i="15"/>
  <c r="V5" i="14" s="1"/>
  <c r="V5" i="31" s="1"/>
  <c r="N5" i="15"/>
  <c r="N5" i="14" s="1"/>
  <c r="N5" i="31" s="1"/>
  <c r="F5" i="15"/>
  <c r="F5" i="14" s="1"/>
  <c r="F5" i="31" s="1"/>
  <c r="S5" i="15"/>
  <c r="S5" i="14" s="1"/>
  <c r="S5" i="31" s="1"/>
  <c r="K5" i="15"/>
  <c r="K5" i="14" s="1"/>
  <c r="K5" i="31" s="1"/>
  <c r="C5" i="15"/>
  <c r="C5" i="14" s="1"/>
  <c r="C5" i="31" s="1"/>
  <c r="E8" l="1"/>
  <c r="E9"/>
  <c r="T9"/>
  <c r="T8"/>
  <c r="J8"/>
  <c r="J9"/>
  <c r="U8"/>
  <c r="U9"/>
  <c r="D8"/>
  <c r="R8"/>
  <c r="R9"/>
  <c r="D9"/>
  <c r="W8"/>
  <c r="F8"/>
  <c r="V8"/>
  <c r="C8"/>
  <c r="S8"/>
  <c r="N9"/>
  <c r="F9"/>
  <c r="G9"/>
  <c r="W9"/>
  <c r="C9"/>
  <c r="S9"/>
  <c r="P8"/>
  <c r="H8"/>
  <c r="N8"/>
  <c r="K8"/>
  <c r="P9"/>
  <c r="V9"/>
  <c r="H9"/>
  <c r="O9"/>
  <c r="K9"/>
  <c r="G8"/>
  <c r="O8"/>
  <c r="L5" i="14"/>
  <c r="L5" i="31" s="1"/>
  <c r="B8" i="14"/>
  <c r="B9"/>
  <c r="M5"/>
  <c r="M5" i="31" s="1"/>
  <c r="B5" i="14"/>
  <c r="B5" i="31" s="1"/>
  <c r="J13" i="45"/>
  <c r="J23" s="1"/>
  <c r="J14"/>
  <c r="J24" s="1"/>
  <c r="J12"/>
  <c r="J22" s="1"/>
  <c r="J11"/>
  <c r="J21" s="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6" i="31" s="1"/>
  <c r="I6" i="15"/>
  <c r="I6" i="14" s="1"/>
  <c r="I6" i="31" s="1"/>
  <c r="P6" i="15"/>
  <c r="P6" i="14" s="1"/>
  <c r="P6" i="31" s="1"/>
  <c r="H6" i="15"/>
  <c r="H6" i="14" s="1"/>
  <c r="H6" i="31" s="1"/>
  <c r="W6" i="15"/>
  <c r="W6" i="14" s="1"/>
  <c r="W6" i="31" s="1"/>
  <c r="O6" i="15"/>
  <c r="O6" i="14" s="1"/>
  <c r="O6" i="31" s="1"/>
  <c r="G6" i="15"/>
  <c r="G6" i="14" s="1"/>
  <c r="G6" i="31" s="1"/>
  <c r="T6" i="15"/>
  <c r="T6" i="14" s="1"/>
  <c r="T6" i="31" s="1"/>
  <c r="L6" i="15"/>
  <c r="L6" i="14" s="1"/>
  <c r="D6" i="15"/>
  <c r="D6" i="14" s="1"/>
  <c r="D6" i="31" s="1"/>
  <c r="S6" i="15"/>
  <c r="S6" i="14" s="1"/>
  <c r="S6" i="31" s="1"/>
  <c r="C6" i="15"/>
  <c r="C6" i="14" s="1"/>
  <c r="C6" i="31" s="1"/>
  <c r="R6" i="15"/>
  <c r="R6" i="14" s="1"/>
  <c r="R6" i="31" s="1"/>
  <c r="B6" i="15"/>
  <c r="M6"/>
  <c r="M6" i="14" s="1"/>
  <c r="M6" i="31" s="1"/>
  <c r="K6" i="15"/>
  <c r="K6" i="14" s="1"/>
  <c r="K6" i="31" s="1"/>
  <c r="J6" i="15"/>
  <c r="J6" i="14" s="1"/>
  <c r="J6" i="31" s="1"/>
  <c r="V6" i="15"/>
  <c r="V6" i="14" s="1"/>
  <c r="V6" i="31" s="1"/>
  <c r="N6" i="15"/>
  <c r="N6" i="14" s="1"/>
  <c r="N6" i="31" s="1"/>
  <c r="U6" i="15"/>
  <c r="U6" i="14" s="1"/>
  <c r="U6" i="31" s="1"/>
  <c r="F6" i="15"/>
  <c r="F6" i="14" s="1"/>
  <c r="F6" i="31" s="1"/>
  <c r="E6" i="15"/>
  <c r="E6" i="14" s="1"/>
  <c r="E6" i="31" s="1"/>
  <c r="S4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L7" l="1"/>
  <c r="L6"/>
  <c r="M7"/>
  <c r="M9"/>
  <c r="M8"/>
  <c r="L8"/>
  <c r="L9"/>
  <c r="B8"/>
  <c r="B9"/>
  <c r="B7" i="14"/>
  <c r="B7" i="31" s="1"/>
  <c r="B6" i="14"/>
  <c r="B6" i="31" s="1"/>
  <c r="K11" i="45"/>
  <c r="K21" s="1"/>
  <c r="K12"/>
  <c r="K22" s="1"/>
  <c r="K14"/>
  <c r="K13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13" i="14" l="1"/>
  <c r="K24" i="45"/>
  <c r="K23"/>
  <c r="P4" i="32"/>
  <c r="L13" i="45"/>
  <c r="L14"/>
  <c r="L12"/>
  <c r="L11"/>
  <c r="J4" i="32"/>
  <c r="I13" i="14"/>
  <c r="I16" i="23" s="1"/>
  <c r="O13" i="14"/>
  <c r="O17" i="23" s="1"/>
  <c r="R13" i="14"/>
  <c r="R15" i="23" s="1"/>
  <c r="N13" i="14"/>
  <c r="N16" i="23" s="1"/>
  <c r="H13" i="14"/>
  <c r="H17" i="23" s="1"/>
  <c r="V13" i="14"/>
  <c r="V15" i="23" s="1"/>
  <c r="W13" i="14"/>
  <c r="W16" i="23" s="1"/>
  <c r="P13" i="14"/>
  <c r="P13" i="23" s="1"/>
  <c r="C13" i="14"/>
  <c r="C15" i="23" s="1"/>
  <c r="C17" i="33" s="1"/>
  <c r="T13" i="14"/>
  <c r="M13"/>
  <c r="M15" i="23" s="1"/>
  <c r="Q13" i="14"/>
  <c r="D7" i="32"/>
  <c r="D7" i="23" s="1"/>
  <c r="D13" i="14"/>
  <c r="U13"/>
  <c r="U14" i="23" s="1"/>
  <c r="S13" i="14"/>
  <c r="S15" i="23" s="1"/>
  <c r="L13" i="14"/>
  <c r="L15" i="23" s="1"/>
  <c r="F13" i="14"/>
  <c r="F14" i="23" s="1"/>
  <c r="K13" i="14"/>
  <c r="K15" i="23" s="1"/>
  <c r="J13" i="14"/>
  <c r="J14" i="23" s="1"/>
  <c r="E13" i="14"/>
  <c r="E15" i="23" s="1"/>
  <c r="F6" i="32"/>
  <c r="F6" i="23" s="1"/>
  <c r="G13" i="14"/>
  <c r="G15" i="23" s="1"/>
  <c r="E4" i="32"/>
  <c r="T4"/>
  <c r="N4"/>
  <c r="C4"/>
  <c r="D4"/>
  <c r="S4"/>
  <c r="K4"/>
  <c r="O4"/>
  <c r="W4"/>
  <c r="M4"/>
  <c r="B9"/>
  <c r="B9" i="23" s="1"/>
  <c r="B7" i="32"/>
  <c r="B7" i="23" s="1"/>
  <c r="B5" i="32"/>
  <c r="B5" i="23" s="1"/>
  <c r="B6" i="32"/>
  <c r="B6" i="23" s="1"/>
  <c r="B8" i="32"/>
  <c r="B8" i="23" s="1"/>
  <c r="C61" i="29" l="1"/>
  <c r="L23" i="45"/>
  <c r="L21"/>
  <c r="L22"/>
  <c r="L24"/>
  <c r="M14"/>
  <c r="M11"/>
  <c r="M13"/>
  <c r="M12"/>
  <c r="C7" i="32"/>
  <c r="C7" i="23" s="1"/>
  <c r="C8" i="33" s="1"/>
  <c r="C9" i="40"/>
  <c r="C5"/>
  <c r="C7"/>
  <c r="C8"/>
  <c r="C6"/>
  <c r="C17" i="23"/>
  <c r="C19" i="33" s="1"/>
  <c r="C16" i="23"/>
  <c r="C18" i="33" s="1"/>
  <c r="C13" i="23"/>
  <c r="C15" i="33" s="1"/>
  <c r="C14" i="23"/>
  <c r="C16" i="33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R16" i="23"/>
  <c r="C9" i="32"/>
  <c r="C9" i="23" s="1"/>
  <c r="C10" i="33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C60" i="29" l="1"/>
  <c r="C62"/>
  <c r="C26"/>
  <c r="C23"/>
  <c r="C59"/>
  <c r="C58" s="1"/>
  <c r="C63"/>
  <c r="C24"/>
  <c r="M22" i="45"/>
  <c r="M23"/>
  <c r="M21"/>
  <c r="M24"/>
  <c r="N12"/>
  <c r="N13"/>
  <c r="N11"/>
  <c r="N14"/>
  <c r="C14" i="33"/>
  <c r="C6"/>
  <c r="C9"/>
  <c r="H9" i="32"/>
  <c r="H9" i="23" s="1"/>
  <c r="H8" i="32"/>
  <c r="H8" i="23" s="1"/>
  <c r="H6" i="32"/>
  <c r="H6" i="23" s="1"/>
  <c r="H7" i="32"/>
  <c r="H7" i="23" s="1"/>
  <c r="H5" i="32"/>
  <c r="H5" i="23" s="1"/>
  <c r="C25" i="29" l="1"/>
  <c r="C22"/>
  <c r="C21" s="1"/>
  <c r="N24" i="45"/>
  <c r="N21"/>
  <c r="N23"/>
  <c r="N22"/>
  <c r="O14"/>
  <c r="O11"/>
  <c r="O13"/>
  <c r="O12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O22" i="45" l="1"/>
  <c r="O23"/>
  <c r="O21"/>
  <c r="O24"/>
  <c r="P12"/>
  <c r="P13"/>
  <c r="P11"/>
  <c r="P14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P24"/>
  <c r="Q11"/>
  <c r="P21"/>
  <c r="Q13"/>
  <c r="P23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59" i="25"/>
  <c r="B56"/>
  <c r="B38"/>
  <c r="B19"/>
  <c r="B41" i="29" s="1"/>
  <c r="B55" i="25"/>
  <c r="B37"/>
  <c r="B18"/>
  <c r="B40" i="29" s="1"/>
  <c r="B5" i="21"/>
  <c r="B40" i="25"/>
  <c r="B58"/>
  <c r="B21"/>
  <c r="B43" i="29" s="1"/>
  <c r="B20" i="25"/>
  <c r="B42" i="29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B16" i="29" l="1"/>
  <c r="B13"/>
  <c r="B15"/>
  <c r="B14"/>
  <c r="B17"/>
  <c r="R12" i="45"/>
  <c r="Q22"/>
  <c r="B79" i="29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Q23"/>
  <c r="Q21"/>
  <c r="R11"/>
  <c r="Q24"/>
  <c r="R14"/>
  <c r="R2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B52" i="29" l="1"/>
  <c r="B49" s="1"/>
  <c r="C69"/>
  <c r="D16" i="34"/>
  <c r="C68" i="29"/>
  <c r="D15" i="34"/>
  <c r="C72" i="29"/>
  <c r="D19" i="34"/>
  <c r="S13" i="45"/>
  <c r="S23" s="1"/>
  <c r="R23"/>
  <c r="S14"/>
  <c r="S11"/>
  <c r="S12"/>
  <c r="R22"/>
  <c r="B11" i="25"/>
  <c r="B76" i="29"/>
  <c r="R24" i="45"/>
  <c r="B12" i="25"/>
  <c r="B12" i="29"/>
  <c r="C17" i="21"/>
  <c r="C18"/>
  <c r="C64" i="25"/>
  <c r="C46"/>
  <c r="C27"/>
  <c r="C65"/>
  <c r="C28"/>
  <c r="C47"/>
  <c r="C50"/>
  <c r="C68"/>
  <c r="C31"/>
  <c r="B39" i="2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C81" i="29" l="1"/>
  <c r="C54" s="1"/>
  <c r="C78"/>
  <c r="C51" s="1"/>
  <c r="C77"/>
  <c r="B13" i="5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S21"/>
  <c r="T14"/>
  <c r="S24"/>
  <c r="T13"/>
  <c r="B13" i="25"/>
  <c r="B5" i="48" s="1"/>
  <c r="T21" i="45"/>
  <c r="C29" i="25"/>
  <c r="C66"/>
  <c r="C49"/>
  <c r="C48"/>
  <c r="C30"/>
  <c r="C67"/>
  <c r="C14" i="21"/>
  <c r="C5"/>
  <c r="C7" i="46" s="1"/>
  <c r="C57" i="25"/>
  <c r="C39"/>
  <c r="C20"/>
  <c r="C59"/>
  <c r="C22"/>
  <c r="C41"/>
  <c r="C56"/>
  <c r="C19"/>
  <c r="C38"/>
  <c r="C21"/>
  <c r="C40"/>
  <c r="C58"/>
  <c r="C55"/>
  <c r="C18"/>
  <c r="C37"/>
  <c r="N5" i="32"/>
  <c r="N5" i="23" s="1"/>
  <c r="N7" i="32"/>
  <c r="N7" i="23" s="1"/>
  <c r="N9" i="32"/>
  <c r="N9" i="23" s="1"/>
  <c r="N6" i="32"/>
  <c r="N6" i="23" s="1"/>
  <c r="N8" i="32"/>
  <c r="N8" i="23" s="1"/>
  <c r="C80" i="29" l="1"/>
  <c r="C79"/>
  <c r="C52" s="1"/>
  <c r="C40"/>
  <c r="C13" s="1"/>
  <c r="C43"/>
  <c r="C41"/>
  <c r="C14" s="1"/>
  <c r="C44"/>
  <c r="C42"/>
  <c r="C15" s="1"/>
  <c r="B8" i="49"/>
  <c r="B10" s="1"/>
  <c r="B12" i="51" s="1"/>
  <c r="B14" s="1"/>
  <c r="B6" i="48"/>
  <c r="B7" s="1"/>
  <c r="C67" i="29"/>
  <c r="C16"/>
  <c r="C30"/>
  <c r="U13" i="45"/>
  <c r="U12"/>
  <c r="T22"/>
  <c r="U14"/>
  <c r="T23"/>
  <c r="T24"/>
  <c r="U11"/>
  <c r="U21" s="1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18"/>
  <c r="D16"/>
  <c r="D14" i="34"/>
  <c r="D17" i="33"/>
  <c r="D19"/>
  <c r="C26" i="25"/>
  <c r="C45"/>
  <c r="C7"/>
  <c r="C36"/>
  <c r="C54"/>
  <c r="C17"/>
  <c r="C6"/>
  <c r="D6" i="33"/>
  <c r="D10"/>
  <c r="D9"/>
  <c r="D8"/>
  <c r="D7"/>
  <c r="C50" i="29"/>
  <c r="D5" i="34"/>
  <c r="O5" i="32"/>
  <c r="O5" i="23" s="1"/>
  <c r="O9" i="32"/>
  <c r="O9" i="23" s="1"/>
  <c r="O7" i="32"/>
  <c r="O7" i="23" s="1"/>
  <c r="O8" i="32"/>
  <c r="O8" i="23" s="1"/>
  <c r="O6" i="32"/>
  <c r="O6" i="23" s="1"/>
  <c r="C76" i="29" l="1"/>
  <c r="C53"/>
  <c r="C49" s="1"/>
  <c r="C39"/>
  <c r="C17"/>
  <c r="D24"/>
  <c r="D26"/>
  <c r="D63"/>
  <c r="D59"/>
  <c r="D23"/>
  <c r="D25"/>
  <c r="D22"/>
  <c r="D61"/>
  <c r="D60"/>
  <c r="D62"/>
  <c r="V14" i="45"/>
  <c r="U24"/>
  <c r="V12"/>
  <c r="U22"/>
  <c r="V11"/>
  <c r="V13"/>
  <c r="C11" i="25"/>
  <c r="C24" i="40"/>
  <c r="C25"/>
  <c r="C22"/>
  <c r="C21"/>
  <c r="C12" i="25"/>
  <c r="V24" i="45"/>
  <c r="V23"/>
  <c r="D15" i="21"/>
  <c r="D18"/>
  <c r="D16"/>
  <c r="D19"/>
  <c r="D14" i="33"/>
  <c r="D17" i="21"/>
  <c r="C12" i="29"/>
  <c r="D8" i="21"/>
  <c r="D9"/>
  <c r="C8" i="25"/>
  <c r="C11" i="48" s="1"/>
  <c r="C13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D21" i="29" l="1"/>
  <c r="D58"/>
  <c r="E18" i="34"/>
  <c r="E15"/>
  <c r="C6" i="48"/>
  <c r="C8" i="49"/>
  <c r="C10" s="1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V21"/>
  <c r="W12"/>
  <c r="V22"/>
  <c r="W13"/>
  <c r="W14"/>
  <c r="C13" i="25"/>
  <c r="C5" i="48" s="1"/>
  <c r="C37" i="40" s="1"/>
  <c r="D49" i="25"/>
  <c r="D71" i="29"/>
  <c r="D64" i="25"/>
  <c r="D68" i="29"/>
  <c r="D27" i="25"/>
  <c r="D46"/>
  <c r="W24" i="45"/>
  <c r="W21"/>
  <c r="D30" i="25"/>
  <c r="D67"/>
  <c r="D47"/>
  <c r="D28"/>
  <c r="D65"/>
  <c r="D29"/>
  <c r="D31"/>
  <c r="D50"/>
  <c r="D68"/>
  <c r="D66"/>
  <c r="D14" i="21"/>
  <c r="D13" i="46" s="1"/>
  <c r="D48" i="25"/>
  <c r="D56"/>
  <c r="D19"/>
  <c r="D38"/>
  <c r="D22"/>
  <c r="D59"/>
  <c r="D41"/>
  <c r="D20"/>
  <c r="D57"/>
  <c r="D39"/>
  <c r="D55"/>
  <c r="D37"/>
  <c r="D18"/>
  <c r="D5" i="21"/>
  <c r="D9" i="46" s="1"/>
  <c r="D21" i="25"/>
  <c r="D40"/>
  <c r="D58"/>
  <c r="Q5" i="32"/>
  <c r="Q5" i="23" s="1"/>
  <c r="Q9" i="32"/>
  <c r="Q9" i="23" s="1"/>
  <c r="Q6" i="32"/>
  <c r="Q6" i="23" s="1"/>
  <c r="Q7" i="32"/>
  <c r="Q7" i="23" s="1"/>
  <c r="Q8" i="32"/>
  <c r="Q8" i="23" s="1"/>
  <c r="D79" i="29" l="1"/>
  <c r="D52" s="1"/>
  <c r="D78"/>
  <c r="D51" s="1"/>
  <c r="D81"/>
  <c r="D54" s="1"/>
  <c r="D80"/>
  <c r="D77"/>
  <c r="D76" s="1"/>
  <c r="D43"/>
  <c r="D40"/>
  <c r="D44"/>
  <c r="D41"/>
  <c r="D39" s="1"/>
  <c r="D42"/>
  <c r="D15" s="1"/>
  <c r="D30"/>
  <c r="W22" i="45"/>
  <c r="W23"/>
  <c r="D67" i="29"/>
  <c r="D5" i="46"/>
  <c r="D16"/>
  <c r="D7"/>
  <c r="D53" i="29"/>
  <c r="D15" i="46"/>
  <c r="D6"/>
  <c r="D8"/>
  <c r="D17"/>
  <c r="D14"/>
  <c r="E16" i="33"/>
  <c r="D45" i="25"/>
  <c r="D26"/>
  <c r="D63"/>
  <c r="E17" i="33"/>
  <c r="E15"/>
  <c r="D7" i="25"/>
  <c r="E19" i="33"/>
  <c r="E14" i="34"/>
  <c r="E18" i="33"/>
  <c r="D36" i="25"/>
  <c r="D54"/>
  <c r="D17"/>
  <c r="D6"/>
  <c r="E10" i="33"/>
  <c r="E9"/>
  <c r="E8"/>
  <c r="E7"/>
  <c r="E5" i="34"/>
  <c r="E6" i="33"/>
  <c r="R5" i="32"/>
  <c r="R5" i="23" s="1"/>
  <c r="R8" i="32"/>
  <c r="R8" i="23" s="1"/>
  <c r="R7" i="32"/>
  <c r="R7" i="23" s="1"/>
  <c r="R9" i="32"/>
  <c r="R9" i="23" s="1"/>
  <c r="R6" i="32"/>
  <c r="R6" i="23" s="1"/>
  <c r="D50" i="29" l="1"/>
  <c r="D49" s="1"/>
  <c r="D16"/>
  <c r="D14"/>
  <c r="D13"/>
  <c r="D17"/>
  <c r="E62"/>
  <c r="E63"/>
  <c r="E59"/>
  <c r="E22"/>
  <c r="E23"/>
  <c r="E25"/>
  <c r="E24"/>
  <c r="E26"/>
  <c r="E61"/>
  <c r="E60"/>
  <c r="C7" i="48"/>
  <c r="C39" i="40" s="1"/>
  <c r="C38"/>
  <c r="C12" i="51"/>
  <c r="C14" s="1"/>
  <c r="D11" i="25"/>
  <c r="D12"/>
  <c r="D12" i="29"/>
  <c r="E16" i="21"/>
  <c r="E17"/>
  <c r="E15"/>
  <c r="E19"/>
  <c r="E18"/>
  <c r="E14" i="33"/>
  <c r="E6" i="21"/>
  <c r="D8" i="25"/>
  <c r="D11" i="48" s="1"/>
  <c r="D13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E21" i="29" l="1"/>
  <c r="E58"/>
  <c r="D8" i="49"/>
  <c r="D10" s="1"/>
  <c r="D6" i="48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29"/>
  <c r="E30"/>
  <c r="E48"/>
  <c r="E66"/>
  <c r="E49"/>
  <c r="E67"/>
  <c r="E64"/>
  <c r="E46"/>
  <c r="E27"/>
  <c r="E31"/>
  <c r="E50"/>
  <c r="E68"/>
  <c r="E14" i="21"/>
  <c r="E16" i="46" s="1"/>
  <c r="E37" i="25"/>
  <c r="E18"/>
  <c r="E55"/>
  <c r="E58"/>
  <c r="E5" i="21"/>
  <c r="E5" i="46" s="1"/>
  <c r="E21" i="25"/>
  <c r="E40"/>
  <c r="E22"/>
  <c r="E41"/>
  <c r="E59"/>
  <c r="E38"/>
  <c r="E56"/>
  <c r="E19"/>
  <c r="E20"/>
  <c r="E39"/>
  <c r="E57"/>
  <c r="T8" i="32"/>
  <c r="T8" i="23" s="1"/>
  <c r="T5" i="32"/>
  <c r="T5" i="23" s="1"/>
  <c r="T6" i="32"/>
  <c r="T6" i="23" s="1"/>
  <c r="T9" i="32"/>
  <c r="T9" i="23" s="1"/>
  <c r="T7" i="32"/>
  <c r="T7" i="23" s="1"/>
  <c r="E77" i="29" l="1"/>
  <c r="E50" s="1"/>
  <c r="E79"/>
  <c r="E52" s="1"/>
  <c r="E81"/>
  <c r="E80"/>
  <c r="E78"/>
  <c r="E51" s="1"/>
  <c r="E42"/>
  <c r="E44"/>
  <c r="E43"/>
  <c r="E40"/>
  <c r="E41"/>
  <c r="D7" i="48"/>
  <c r="E16" i="29"/>
  <c r="E67"/>
  <c r="E30"/>
  <c r="E54"/>
  <c r="E6" i="46"/>
  <c r="E53" i="29"/>
  <c r="E9" i="46"/>
  <c r="E7"/>
  <c r="E8"/>
  <c r="E14"/>
  <c r="E15"/>
  <c r="E13"/>
  <c r="E17"/>
  <c r="E45" i="25"/>
  <c r="F18" i="33"/>
  <c r="F19"/>
  <c r="F17"/>
  <c r="E63" i="25"/>
  <c r="F16" i="33"/>
  <c r="F14" i="34"/>
  <c r="F15" i="33"/>
  <c r="E7" i="25"/>
  <c r="E26"/>
  <c r="F10" i="33"/>
  <c r="E36" i="25"/>
  <c r="E54"/>
  <c r="F6" i="33"/>
  <c r="F5" i="34"/>
  <c r="E17" i="25"/>
  <c r="F9" i="33"/>
  <c r="F7"/>
  <c r="F8"/>
  <c r="E6" i="25"/>
  <c r="U9" i="32"/>
  <c r="U9" i="23" s="1"/>
  <c r="U6" i="32"/>
  <c r="U6" i="23" s="1"/>
  <c r="U8" i="32"/>
  <c r="U8" i="23" s="1"/>
  <c r="U5" i="32"/>
  <c r="U5" i="23" s="1"/>
  <c r="U7" i="32"/>
  <c r="U7" i="23" s="1"/>
  <c r="E76" i="29" l="1"/>
  <c r="E17"/>
  <c r="E14"/>
  <c r="E39"/>
  <c r="E15"/>
  <c r="E13"/>
  <c r="F24"/>
  <c r="F25"/>
  <c r="F26"/>
  <c r="F63"/>
  <c r="F23"/>
  <c r="F22"/>
  <c r="F59"/>
  <c r="F60"/>
  <c r="F61"/>
  <c r="F62"/>
  <c r="D12" i="51"/>
  <c r="D14" s="1"/>
  <c r="E11" i="25"/>
  <c r="E12"/>
  <c r="E49" i="29"/>
  <c r="E12"/>
  <c r="F18" i="21"/>
  <c r="F16"/>
  <c r="F15"/>
  <c r="F19"/>
  <c r="F17"/>
  <c r="F14" i="33"/>
  <c r="F10" i="21"/>
  <c r="F9"/>
  <c r="F5" i="33"/>
  <c r="F8" i="21"/>
  <c r="E8" i="25"/>
  <c r="E11" i="48" s="1"/>
  <c r="E13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F21" i="29" l="1"/>
  <c r="F58"/>
  <c r="G18" i="34"/>
  <c r="E6" i="48"/>
  <c r="E8" i="49"/>
  <c r="E10" s="1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47"/>
  <c r="F30"/>
  <c r="F65"/>
  <c r="F27"/>
  <c r="F64"/>
  <c r="F46"/>
  <c r="F50"/>
  <c r="F14" i="21"/>
  <c r="F15" i="46" s="1"/>
  <c r="F31" i="25"/>
  <c r="F68"/>
  <c r="F29"/>
  <c r="F48"/>
  <c r="F66"/>
  <c r="F41"/>
  <c r="F22"/>
  <c r="F59"/>
  <c r="F38"/>
  <c r="F58"/>
  <c r="F21"/>
  <c r="F40"/>
  <c r="F56"/>
  <c r="F18"/>
  <c r="F55"/>
  <c r="F5" i="21"/>
  <c r="F5" i="46" s="1"/>
  <c r="F37" i="25"/>
  <c r="F19"/>
  <c r="F20"/>
  <c r="F39"/>
  <c r="F57"/>
  <c r="W9" i="32"/>
  <c r="W9" i="23" s="1"/>
  <c r="W8" i="32"/>
  <c r="W8" i="23" s="1"/>
  <c r="W6" i="32"/>
  <c r="W6" i="23" s="1"/>
  <c r="W7" i="32"/>
  <c r="W7" i="23" s="1"/>
  <c r="W5" i="32"/>
  <c r="W5" i="23" s="1"/>
  <c r="F77" i="29" l="1"/>
  <c r="F80"/>
  <c r="F53" s="1"/>
  <c r="F78"/>
  <c r="F51" s="1"/>
  <c r="F79"/>
  <c r="F81"/>
  <c r="F54" s="1"/>
  <c r="F42"/>
  <c r="F43"/>
  <c r="F44"/>
  <c r="F41"/>
  <c r="F14" s="1"/>
  <c r="F40"/>
  <c r="E7" i="48"/>
  <c r="E12" i="51"/>
  <c r="E14" s="1"/>
  <c r="F30" i="29"/>
  <c r="F67"/>
  <c r="F14" i="46"/>
  <c r="F17"/>
  <c r="F7"/>
  <c r="F9"/>
  <c r="F6"/>
  <c r="F52" i="29"/>
  <c r="F13" i="46"/>
  <c r="F8"/>
  <c r="F16"/>
  <c r="G14" i="34"/>
  <c r="F63" i="25"/>
  <c r="F45"/>
  <c r="G17" i="33"/>
  <c r="G16"/>
  <c r="G18"/>
  <c r="G19"/>
  <c r="G15"/>
  <c r="F26" i="25"/>
  <c r="F7"/>
  <c r="G5" i="34"/>
  <c r="D7" i="40"/>
  <c r="D6"/>
  <c r="E5"/>
  <c r="D8"/>
  <c r="D9"/>
  <c r="D5"/>
  <c r="E8"/>
  <c r="E7"/>
  <c r="E6"/>
  <c r="E9"/>
  <c r="G9" i="33"/>
  <c r="F36" i="25"/>
  <c r="G8" i="33"/>
  <c r="G6"/>
  <c r="F17" i="25"/>
  <c r="G7" i="33"/>
  <c r="G10"/>
  <c r="F6" i="25"/>
  <c r="F54"/>
  <c r="F76" i="29" l="1"/>
  <c r="F39"/>
  <c r="F50"/>
  <c r="F49" s="1"/>
  <c r="F17"/>
  <c r="F16"/>
  <c r="F13"/>
  <c r="F15"/>
  <c r="G26"/>
  <c r="G24"/>
  <c r="G25"/>
  <c r="G59"/>
  <c r="G62"/>
  <c r="G61"/>
  <c r="G23"/>
  <c r="G22"/>
  <c r="G63"/>
  <c r="G60"/>
  <c r="F11" i="25"/>
  <c r="F12"/>
  <c r="G16" i="21"/>
  <c r="G17"/>
  <c r="G19"/>
  <c r="G14" i="33"/>
  <c r="G18" i="21"/>
  <c r="G15"/>
  <c r="F8" i="40"/>
  <c r="F9"/>
  <c r="F5"/>
  <c r="F6"/>
  <c r="F7"/>
  <c r="G6" i="21"/>
  <c r="G8"/>
  <c r="G9"/>
  <c r="G10"/>
  <c r="G7"/>
  <c r="F8" i="25"/>
  <c r="F11" i="48" s="1"/>
  <c r="F13" s="1"/>
  <c r="G5" i="33"/>
  <c r="G58" i="29" l="1"/>
  <c r="F12"/>
  <c r="F13" i="51" s="1"/>
  <c r="G21" i="29"/>
  <c r="F6" i="48"/>
  <c r="F8" i="49"/>
  <c r="F10" s="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28"/>
  <c r="G47"/>
  <c r="G65"/>
  <c r="G67"/>
  <c r="G29"/>
  <c r="G66"/>
  <c r="G30"/>
  <c r="G49"/>
  <c r="G48"/>
  <c r="G68"/>
  <c r="G64"/>
  <c r="G31"/>
  <c r="G50"/>
  <c r="G27"/>
  <c r="G46"/>
  <c r="G14" i="21"/>
  <c r="G17" i="46" s="1"/>
  <c r="G40" i="25"/>
  <c r="G58"/>
  <c r="G39"/>
  <c r="G18"/>
  <c r="G22"/>
  <c r="G37"/>
  <c r="G57"/>
  <c r="G20"/>
  <c r="G55"/>
  <c r="G56"/>
  <c r="G41"/>
  <c r="G59"/>
  <c r="G5" i="21"/>
  <c r="G7" i="46" s="1"/>
  <c r="G19" i="25"/>
  <c r="G38"/>
  <c r="G77" i="29" l="1"/>
  <c r="G81"/>
  <c r="G54" s="1"/>
  <c r="G80"/>
  <c r="G79"/>
  <c r="G78"/>
  <c r="G51" s="1"/>
  <c r="G41"/>
  <c r="G42"/>
  <c r="G15" s="1"/>
  <c r="G40"/>
  <c r="G43"/>
  <c r="G44"/>
  <c r="F7" i="48"/>
  <c r="G67" i="29"/>
  <c r="G30"/>
  <c r="G53"/>
  <c r="G16" i="46"/>
  <c r="G6"/>
  <c r="G15"/>
  <c r="G9"/>
  <c r="G13"/>
  <c r="G5"/>
  <c r="G52" i="29"/>
  <c r="G8" i="46"/>
  <c r="G14"/>
  <c r="G63" i="25"/>
  <c r="G26"/>
  <c r="H14" i="34"/>
  <c r="G45" i="25"/>
  <c r="H16" i="33"/>
  <c r="H15"/>
  <c r="H19"/>
  <c r="H18"/>
  <c r="G7" i="25"/>
  <c r="H17" i="33"/>
  <c r="G54" i="25"/>
  <c r="H9" i="33"/>
  <c r="H5" i="34"/>
  <c r="G36" i="25"/>
  <c r="G17"/>
  <c r="G6"/>
  <c r="H8" i="33"/>
  <c r="H7"/>
  <c r="H6"/>
  <c r="H10"/>
  <c r="G39" i="29" l="1"/>
  <c r="G76"/>
  <c r="G50"/>
  <c r="G49" s="1"/>
  <c r="G17"/>
  <c r="G14"/>
  <c r="G13"/>
  <c r="G16"/>
  <c r="H24"/>
  <c r="H26"/>
  <c r="H23"/>
  <c r="H25"/>
  <c r="H61"/>
  <c r="H62"/>
  <c r="H22"/>
  <c r="H63"/>
  <c r="H60"/>
  <c r="F12" i="51"/>
  <c r="F14" s="1"/>
  <c r="G11" i="25"/>
  <c r="H15" i="21"/>
  <c r="H59" i="29"/>
  <c r="G12" i="25"/>
  <c r="H16" i="21"/>
  <c r="H19"/>
  <c r="H17"/>
  <c r="H14" i="33"/>
  <c r="H18" i="21"/>
  <c r="H9"/>
  <c r="H5" i="33"/>
  <c r="H6" i="21"/>
  <c r="H10"/>
  <c r="H7"/>
  <c r="H8"/>
  <c r="G8" i="25"/>
  <c r="G11" i="48" s="1"/>
  <c r="G13" s="1"/>
  <c r="G12" i="29" l="1"/>
  <c r="G13" i="51" s="1"/>
  <c r="H21" i="29"/>
  <c r="H58"/>
  <c r="G6" i="48"/>
  <c r="G8" i="49"/>
  <c r="G10" s="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46"/>
  <c r="H21"/>
  <c r="H47"/>
  <c r="H65"/>
  <c r="H28"/>
  <c r="H49"/>
  <c r="H30"/>
  <c r="H67"/>
  <c r="H29"/>
  <c r="H66"/>
  <c r="H50"/>
  <c r="H68"/>
  <c r="H31"/>
  <c r="H14" i="21"/>
  <c r="H13" i="46" s="1"/>
  <c r="D29" i="40" s="1"/>
  <c r="H48" i="25"/>
  <c r="H40"/>
  <c r="H58"/>
  <c r="H39"/>
  <c r="H56"/>
  <c r="H41"/>
  <c r="H18"/>
  <c r="H55"/>
  <c r="H38"/>
  <c r="H19"/>
  <c r="H20"/>
  <c r="H5" i="21"/>
  <c r="H7" i="46" s="1"/>
  <c r="H57" i="25"/>
  <c r="H22"/>
  <c r="H59"/>
  <c r="H37"/>
  <c r="H81" i="29" l="1"/>
  <c r="H54" s="1"/>
  <c r="H79"/>
  <c r="H52" s="1"/>
  <c r="H80"/>
  <c r="H78"/>
  <c r="H77"/>
  <c r="H50" s="1"/>
  <c r="H44"/>
  <c r="H17" s="1"/>
  <c r="H41"/>
  <c r="H43"/>
  <c r="H42"/>
  <c r="H15" s="1"/>
  <c r="H40"/>
  <c r="H39" s="1"/>
  <c r="G7" i="48"/>
  <c r="H16" i="29"/>
  <c r="H30"/>
  <c r="H67"/>
  <c r="H14" i="46"/>
  <c r="D30" i="40" s="1"/>
  <c r="D23"/>
  <c r="H5" i="46"/>
  <c r="H53" i="29"/>
  <c r="H16" i="46"/>
  <c r="D32" i="40" s="1"/>
  <c r="H8" i="46"/>
  <c r="H6"/>
  <c r="H17"/>
  <c r="D33" i="40" s="1"/>
  <c r="H9" i="46"/>
  <c r="H15"/>
  <c r="D31" i="40" s="1"/>
  <c r="H45" i="25"/>
  <c r="I19" i="33"/>
  <c r="H26" i="25"/>
  <c r="H63"/>
  <c r="H7"/>
  <c r="I17" i="33"/>
  <c r="I15"/>
  <c r="I16"/>
  <c r="I14" i="34"/>
  <c r="I18" i="33"/>
  <c r="H36" i="25"/>
  <c r="H17"/>
  <c r="H54"/>
  <c r="I7" i="33"/>
  <c r="H6" i="25"/>
  <c r="I5" i="34"/>
  <c r="I10" i="33"/>
  <c r="I9"/>
  <c r="I8"/>
  <c r="I6"/>
  <c r="H51" i="29"/>
  <c r="H13" l="1"/>
  <c r="H76"/>
  <c r="H14"/>
  <c r="I22"/>
  <c r="I25"/>
  <c r="I23"/>
  <c r="I62"/>
  <c r="I60"/>
  <c r="I61"/>
  <c r="I63"/>
  <c r="I24"/>
  <c r="I26"/>
  <c r="I59"/>
  <c r="G12" i="51"/>
  <c r="G14" s="1"/>
  <c r="H11" i="25"/>
  <c r="D25" i="40"/>
  <c r="D22"/>
  <c r="D24"/>
  <c r="D21"/>
  <c r="H12" i="25"/>
  <c r="H49" i="29"/>
  <c r="I16" i="21"/>
  <c r="I19"/>
  <c r="I17"/>
  <c r="I15"/>
  <c r="I18"/>
  <c r="I14" i="33"/>
  <c r="I10" i="21"/>
  <c r="I7"/>
  <c r="H8" i="25"/>
  <c r="H11" i="48" s="1"/>
  <c r="H13" s="1"/>
  <c r="I6" i="21"/>
  <c r="I5" i="33"/>
  <c r="I9" i="21"/>
  <c r="I8"/>
  <c r="H12" i="29" l="1"/>
  <c r="H13" i="51" s="1"/>
  <c r="I58" i="29"/>
  <c r="I21"/>
  <c r="H6" i="48"/>
  <c r="H8" i="49"/>
  <c r="H10" s="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D37" i="40" s="1"/>
  <c r="I68" i="25"/>
  <c r="I65"/>
  <c r="I47"/>
  <c r="I28"/>
  <c r="I46"/>
  <c r="I50"/>
  <c r="I48"/>
  <c r="I31"/>
  <c r="I29"/>
  <c r="I67"/>
  <c r="I66"/>
  <c r="I30"/>
  <c r="I49"/>
  <c r="I27"/>
  <c r="I64"/>
  <c r="I14" i="21"/>
  <c r="I17" i="46" s="1"/>
  <c r="I38" i="25"/>
  <c r="I55"/>
  <c r="I22"/>
  <c r="I59"/>
  <c r="I41"/>
  <c r="I37"/>
  <c r="I56"/>
  <c r="I19"/>
  <c r="I18"/>
  <c r="I21"/>
  <c r="I5" i="21"/>
  <c r="I6" i="46" s="1"/>
  <c r="I40" i="25"/>
  <c r="I58"/>
  <c r="I57"/>
  <c r="I39"/>
  <c r="I20"/>
  <c r="I79" i="29" l="1"/>
  <c r="I52" s="1"/>
  <c r="I77"/>
  <c r="I80"/>
  <c r="I81"/>
  <c r="I78"/>
  <c r="I51" s="1"/>
  <c r="I42"/>
  <c r="I43"/>
  <c r="I41"/>
  <c r="I40"/>
  <c r="I39" s="1"/>
  <c r="I44"/>
  <c r="H12" i="51"/>
  <c r="H14" s="1"/>
  <c r="I30" i="29"/>
  <c r="I67"/>
  <c r="I15"/>
  <c r="I14" i="46"/>
  <c r="I53" i="29"/>
  <c r="I8" i="46"/>
  <c r="I5"/>
  <c r="I7"/>
  <c r="I9"/>
  <c r="I13"/>
  <c r="I16"/>
  <c r="I15"/>
  <c r="J18" i="33"/>
  <c r="I45" i="25"/>
  <c r="I54" i="29"/>
  <c r="J16" i="33"/>
  <c r="J14" i="34"/>
  <c r="J15" i="33"/>
  <c r="I63" i="25"/>
  <c r="I26"/>
  <c r="I7"/>
  <c r="J17" i="33"/>
  <c r="J19"/>
  <c r="J10"/>
  <c r="J6"/>
  <c r="J8"/>
  <c r="J5" i="34"/>
  <c r="I36" i="25"/>
  <c r="I54"/>
  <c r="I6"/>
  <c r="I17"/>
  <c r="J7" i="33"/>
  <c r="J9"/>
  <c r="I50" i="29"/>
  <c r="I76" l="1"/>
  <c r="I13"/>
  <c r="I12" s="1"/>
  <c r="I17"/>
  <c r="I14"/>
  <c r="I16"/>
  <c r="J24"/>
  <c r="J61"/>
  <c r="J60"/>
  <c r="J25"/>
  <c r="J22"/>
  <c r="J63"/>
  <c r="J62"/>
  <c r="J23"/>
  <c r="J26"/>
  <c r="J59"/>
  <c r="H7" i="48"/>
  <c r="D39" i="40" s="1"/>
  <c r="D38"/>
  <c r="I11" i="25"/>
  <c r="I12"/>
  <c r="J19" i="21"/>
  <c r="I49" i="29"/>
  <c r="J18" i="21"/>
  <c r="J16"/>
  <c r="J15"/>
  <c r="J17"/>
  <c r="J14" i="33"/>
  <c r="J10" i="21"/>
  <c r="J6"/>
  <c r="J9"/>
  <c r="J8"/>
  <c r="I8" i="25"/>
  <c r="I11" i="48" s="1"/>
  <c r="I13" s="1"/>
  <c r="J7" i="21"/>
  <c r="J5" i="33"/>
  <c r="J21" i="29" l="1"/>
  <c r="J58"/>
  <c r="I6" i="48"/>
  <c r="I8" i="49"/>
  <c r="I10" s="1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50"/>
  <c r="J68"/>
  <c r="J28"/>
  <c r="J47"/>
  <c r="J65"/>
  <c r="J67"/>
  <c r="J30"/>
  <c r="J49"/>
  <c r="J46"/>
  <c r="J64"/>
  <c r="J27"/>
  <c r="J48"/>
  <c r="J29"/>
  <c r="J14" i="21"/>
  <c r="J16" i="46" s="1"/>
  <c r="J66" i="25"/>
  <c r="J41"/>
  <c r="J22"/>
  <c r="J59"/>
  <c r="J20"/>
  <c r="J58"/>
  <c r="J19"/>
  <c r="J21"/>
  <c r="J55"/>
  <c r="J40"/>
  <c r="J18"/>
  <c r="J37"/>
  <c r="J39"/>
  <c r="J57"/>
  <c r="J56"/>
  <c r="J5" i="21"/>
  <c r="J7" i="46" s="1"/>
  <c r="J38" i="25"/>
  <c r="J81" i="29" l="1"/>
  <c r="J54" s="1"/>
  <c r="J79"/>
  <c r="J52" s="1"/>
  <c r="J77"/>
  <c r="J76" s="1"/>
  <c r="J80"/>
  <c r="J78"/>
  <c r="J51" s="1"/>
  <c r="J40"/>
  <c r="J13" s="1"/>
  <c r="J43"/>
  <c r="J16" s="1"/>
  <c r="J41"/>
  <c r="J42"/>
  <c r="J44"/>
  <c r="I7" i="48"/>
  <c r="I12" i="51"/>
  <c r="I14" s="1"/>
  <c r="J30" i="29"/>
  <c r="J17"/>
  <c r="J67"/>
  <c r="J53"/>
  <c r="J6" i="46"/>
  <c r="J9"/>
  <c r="J14"/>
  <c r="J5"/>
  <c r="J8"/>
  <c r="J13"/>
  <c r="J17"/>
  <c r="J15"/>
  <c r="K19" i="33"/>
  <c r="J63" i="25"/>
  <c r="J45"/>
  <c r="K17" i="33"/>
  <c r="K14" i="34"/>
  <c r="K18" i="33"/>
  <c r="K15"/>
  <c r="K16"/>
  <c r="J26" i="25"/>
  <c r="J7"/>
  <c r="J6"/>
  <c r="K7" i="33"/>
  <c r="J36" i="25"/>
  <c r="J17"/>
  <c r="J54"/>
  <c r="K10" i="33"/>
  <c r="K5" i="34"/>
  <c r="K8" i="33"/>
  <c r="K6"/>
  <c r="K9"/>
  <c r="J50" i="29" l="1"/>
  <c r="J39"/>
  <c r="J15"/>
  <c r="J14"/>
  <c r="K22"/>
  <c r="K25"/>
  <c r="K24"/>
  <c r="K26"/>
  <c r="K23"/>
  <c r="K60"/>
  <c r="K58" s="1"/>
  <c r="K62"/>
  <c r="K61"/>
  <c r="K59"/>
  <c r="K63"/>
  <c r="J11" i="25"/>
  <c r="J12"/>
  <c r="J49" i="29"/>
  <c r="K19" i="21"/>
  <c r="K15"/>
  <c r="K17"/>
  <c r="K14" i="33"/>
  <c r="K16" i="21"/>
  <c r="K18"/>
  <c r="J8" i="25"/>
  <c r="J11" i="48" s="1"/>
  <c r="J13" s="1"/>
  <c r="K6" i="21"/>
  <c r="K8"/>
  <c r="K7"/>
  <c r="K10"/>
  <c r="K5" i="33"/>
  <c r="K9" i="21"/>
  <c r="J12" i="29" l="1"/>
  <c r="J13" i="51" s="1"/>
  <c r="K21" i="29"/>
  <c r="L19" i="34"/>
  <c r="J6" i="48"/>
  <c r="J8" i="49"/>
  <c r="J10" s="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72" i="29"/>
  <c r="K59" i="25"/>
  <c r="K68"/>
  <c r="K29"/>
  <c r="K46"/>
  <c r="K27"/>
  <c r="K50"/>
  <c r="K67"/>
  <c r="K30"/>
  <c r="K66"/>
  <c r="K14" i="21"/>
  <c r="K16" i="46" s="1"/>
  <c r="K28" i="25"/>
  <c r="K64"/>
  <c r="K48"/>
  <c r="K65"/>
  <c r="K47"/>
  <c r="K49"/>
  <c r="K57"/>
  <c r="K56"/>
  <c r="K38"/>
  <c r="K19"/>
  <c r="K39"/>
  <c r="K18"/>
  <c r="K55"/>
  <c r="K37"/>
  <c r="K22"/>
  <c r="K20"/>
  <c r="K41"/>
  <c r="K5" i="21"/>
  <c r="K5" i="46" s="1"/>
  <c r="K21" i="25"/>
  <c r="K58"/>
  <c r="K40"/>
  <c r="K78" i="29" l="1"/>
  <c r="K51" s="1"/>
  <c r="K77"/>
  <c r="K79"/>
  <c r="K52" s="1"/>
  <c r="K81"/>
  <c r="K54" s="1"/>
  <c r="K43"/>
  <c r="K44"/>
  <c r="K17" s="1"/>
  <c r="K42"/>
  <c r="K40"/>
  <c r="K13" s="1"/>
  <c r="K41"/>
  <c r="K14" s="1"/>
  <c r="J7" i="48"/>
  <c r="J12" i="51"/>
  <c r="J14" s="1"/>
  <c r="K30" i="29"/>
  <c r="K67"/>
  <c r="K80"/>
  <c r="K13" i="46"/>
  <c r="K6"/>
  <c r="K7"/>
  <c r="K9"/>
  <c r="K15"/>
  <c r="K8"/>
  <c r="K14"/>
  <c r="K17"/>
  <c r="K26" i="25"/>
  <c r="K63"/>
  <c r="K7"/>
  <c r="L15" i="33"/>
  <c r="L14" i="34"/>
  <c r="L19" i="33"/>
  <c r="L17"/>
  <c r="K45" i="25"/>
  <c r="L16" i="33"/>
  <c r="L18"/>
  <c r="K54" i="25"/>
  <c r="L6" i="33"/>
  <c r="K36" i="25"/>
  <c r="L8" i="33"/>
  <c r="L5" i="34"/>
  <c r="L10" i="33"/>
  <c r="L9"/>
  <c r="K6" i="25"/>
  <c r="K17"/>
  <c r="L7" i="33"/>
  <c r="K39" i="29" l="1"/>
  <c r="K15"/>
  <c r="K16"/>
  <c r="L23"/>
  <c r="L26"/>
  <c r="L24"/>
  <c r="L22"/>
  <c r="L62"/>
  <c r="L63"/>
  <c r="L59"/>
  <c r="L25"/>
  <c r="L60"/>
  <c r="L61"/>
  <c r="K76"/>
  <c r="K11" i="25"/>
  <c r="K53" i="29"/>
  <c r="K12" i="25"/>
  <c r="L18" i="21"/>
  <c r="L15"/>
  <c r="L16"/>
  <c r="K50" i="29"/>
  <c r="L17" i="21"/>
  <c r="L19"/>
  <c r="L14" i="33"/>
  <c r="L8" i="21"/>
  <c r="L9"/>
  <c r="L6"/>
  <c r="L5" i="33"/>
  <c r="K8" i="25"/>
  <c r="K11" i="48" s="1"/>
  <c r="K13" s="1"/>
  <c r="L10" i="21"/>
  <c r="L7"/>
  <c r="L58" i="29" l="1"/>
  <c r="L21"/>
  <c r="K12"/>
  <c r="K8" i="49"/>
  <c r="K10" s="1"/>
  <c r="K6" i="48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64"/>
  <c r="L65"/>
  <c r="L28"/>
  <c r="L27"/>
  <c r="L46"/>
  <c r="L47"/>
  <c r="L50"/>
  <c r="L29"/>
  <c r="L14" i="21"/>
  <c r="L15" i="46" s="1"/>
  <c r="L48" i="25"/>
  <c r="L68"/>
  <c r="L66"/>
  <c r="L31"/>
  <c r="L55"/>
  <c r="L57"/>
  <c r="L37"/>
  <c r="L39"/>
  <c r="L20"/>
  <c r="L18"/>
  <c r="L21"/>
  <c r="L58"/>
  <c r="L40"/>
  <c r="L56"/>
  <c r="L59"/>
  <c r="L41"/>
  <c r="L22"/>
  <c r="L5" i="21"/>
  <c r="L7" i="46" s="1"/>
  <c r="L38" i="25"/>
  <c r="L19"/>
  <c r="L79" i="29" l="1"/>
  <c r="L52" s="1"/>
  <c r="L77"/>
  <c r="L50" s="1"/>
  <c r="L80"/>
  <c r="L81"/>
  <c r="L54" s="1"/>
  <c r="L78"/>
  <c r="L51" s="1"/>
  <c r="L41"/>
  <c r="L40"/>
  <c r="L13" s="1"/>
  <c r="L44"/>
  <c r="L43"/>
  <c r="L42"/>
  <c r="K7" i="48"/>
  <c r="K12" i="51"/>
  <c r="K14" s="1"/>
  <c r="L67" i="29"/>
  <c r="L30"/>
  <c r="L13" i="46"/>
  <c r="L9"/>
  <c r="L6"/>
  <c r="L17"/>
  <c r="L5"/>
  <c r="L8"/>
  <c r="L53" i="29"/>
  <c r="L14" i="46"/>
  <c r="L16"/>
  <c r="L45" i="25"/>
  <c r="L63"/>
  <c r="M17" i="33"/>
  <c r="M16"/>
  <c r="L7" i="25"/>
  <c r="M19" i="33"/>
  <c r="M14" i="34"/>
  <c r="M18" i="33"/>
  <c r="M15"/>
  <c r="L26" i="25"/>
  <c r="M5" i="34"/>
  <c r="L54" i="25"/>
  <c r="M8" i="33"/>
  <c r="M10"/>
  <c r="M9"/>
  <c r="M7"/>
  <c r="M6"/>
  <c r="L36" i="25"/>
  <c r="L6"/>
  <c r="L17"/>
  <c r="L76" i="29" l="1"/>
  <c r="L15"/>
  <c r="L14"/>
  <c r="L16"/>
  <c r="L39"/>
  <c r="L17"/>
  <c r="M25"/>
  <c r="M23"/>
  <c r="M26"/>
  <c r="M62"/>
  <c r="M63"/>
  <c r="M60"/>
  <c r="M22"/>
  <c r="M21" s="1"/>
  <c r="M24"/>
  <c r="M59"/>
  <c r="M61"/>
  <c r="L11" i="25"/>
  <c r="L12"/>
  <c r="L49" i="29"/>
  <c r="M16" i="21"/>
  <c r="M19"/>
  <c r="M17"/>
  <c r="M18"/>
  <c r="M15"/>
  <c r="M14" i="33"/>
  <c r="M9" i="21"/>
  <c r="M10"/>
  <c r="M6"/>
  <c r="M7"/>
  <c r="M8"/>
  <c r="M5" i="33"/>
  <c r="L8" i="25"/>
  <c r="L11" i="48" s="1"/>
  <c r="L13" s="1"/>
  <c r="L12" i="29" l="1"/>
  <c r="L13" i="51" s="1"/>
  <c r="M58" i="29"/>
  <c r="N16" i="34"/>
  <c r="L8" i="49"/>
  <c r="L10" s="1"/>
  <c r="L6" i="48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27"/>
  <c r="M68"/>
  <c r="M31"/>
  <c r="M50"/>
  <c r="M67"/>
  <c r="M30"/>
  <c r="M66"/>
  <c r="M29"/>
  <c r="M48"/>
  <c r="M22"/>
  <c r="M46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21"/>
  <c r="M37"/>
  <c r="M55"/>
  <c r="M18"/>
  <c r="M19"/>
  <c r="M56"/>
  <c r="M38"/>
  <c r="M77" i="29" l="1"/>
  <c r="M50" s="1"/>
  <c r="M80"/>
  <c r="M53" s="1"/>
  <c r="M78"/>
  <c r="M41"/>
  <c r="M14" s="1"/>
  <c r="M43"/>
  <c r="M40"/>
  <c r="M42"/>
  <c r="M44"/>
  <c r="L7" i="48"/>
  <c r="L12" i="51"/>
  <c r="L14" s="1"/>
  <c r="M67" i="29"/>
  <c r="M30"/>
  <c r="M81"/>
  <c r="M79"/>
  <c r="E22" i="40"/>
  <c r="M51" i="29"/>
  <c r="M5" i="46"/>
  <c r="M8"/>
  <c r="M9"/>
  <c r="M7"/>
  <c r="M16"/>
  <c r="E32" i="40" s="1"/>
  <c r="M13" i="46"/>
  <c r="E29" i="40" s="1"/>
  <c r="M17" i="46"/>
  <c r="E33" i="40" s="1"/>
  <c r="M14" i="46"/>
  <c r="E30" i="40" s="1"/>
  <c r="N17" i="33"/>
  <c r="M45" i="25"/>
  <c r="N15" i="33"/>
  <c r="N18"/>
  <c r="M63" i="25"/>
  <c r="M26"/>
  <c r="N14" i="34"/>
  <c r="M7" i="25"/>
  <c r="N16" i="33"/>
  <c r="N19"/>
  <c r="N6"/>
  <c r="M36" i="25"/>
  <c r="N10" i="33"/>
  <c r="N7"/>
  <c r="M54" i="25"/>
  <c r="N8" i="33"/>
  <c r="N5" i="34"/>
  <c r="N9" i="33"/>
  <c r="M6" i="25"/>
  <c r="M17"/>
  <c r="M17" i="29" l="1"/>
  <c r="M39"/>
  <c r="M15"/>
  <c r="M13"/>
  <c r="M16"/>
  <c r="N60"/>
  <c r="N59"/>
  <c r="N61"/>
  <c r="M54"/>
  <c r="M49" s="1"/>
  <c r="N26"/>
  <c r="N25"/>
  <c r="N24"/>
  <c r="N23"/>
  <c r="N63"/>
  <c r="N62"/>
  <c r="M52"/>
  <c r="M11" i="25"/>
  <c r="N17" i="21"/>
  <c r="M76" i="29"/>
  <c r="N6" i="21"/>
  <c r="N22" i="29"/>
  <c r="E23" i="40"/>
  <c r="E25"/>
  <c r="E24"/>
  <c r="E21"/>
  <c r="M12" i="25"/>
  <c r="N19" i="21"/>
  <c r="N15"/>
  <c r="N16"/>
  <c r="M8" i="25"/>
  <c r="M11" i="48" s="1"/>
  <c r="M13" s="1"/>
  <c r="N18" i="21"/>
  <c r="N14" i="33"/>
  <c r="N10" i="21"/>
  <c r="N7"/>
  <c r="N8"/>
  <c r="N9"/>
  <c r="N5" i="33"/>
  <c r="M12" i="29" l="1"/>
  <c r="M13" i="51" s="1"/>
  <c r="N58" i="29"/>
  <c r="M6" i="48"/>
  <c r="M8" i="49"/>
  <c r="M10" s="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E37" i="40" s="1"/>
  <c r="N55" i="25"/>
  <c r="N18"/>
  <c r="N48"/>
  <c r="N66"/>
  <c r="N29"/>
  <c r="N37"/>
  <c r="N21" i="29"/>
  <c r="N67" i="25"/>
  <c r="N27"/>
  <c r="N49"/>
  <c r="N64"/>
  <c r="N46"/>
  <c r="N50"/>
  <c r="N31"/>
  <c r="N68"/>
  <c r="N47"/>
  <c r="N65"/>
  <c r="N14" i="21"/>
  <c r="N15" i="46" s="1"/>
  <c r="N28" i="25"/>
  <c r="N30"/>
  <c r="N22"/>
  <c r="N59"/>
  <c r="N41"/>
  <c r="N56"/>
  <c r="N19"/>
  <c r="N38"/>
  <c r="N21"/>
  <c r="N39"/>
  <c r="N20"/>
  <c r="N5" i="21"/>
  <c r="N5" i="46" s="1"/>
  <c r="N57" i="25"/>
  <c r="N40"/>
  <c r="N58"/>
  <c r="N80" i="29" l="1"/>
  <c r="N53" s="1"/>
  <c r="N81"/>
  <c r="N54" s="1"/>
  <c r="N78"/>
  <c r="N77"/>
  <c r="N79"/>
  <c r="N52" s="1"/>
  <c r="N42"/>
  <c r="N43"/>
  <c r="N16" s="1"/>
  <c r="N41"/>
  <c r="N14" s="1"/>
  <c r="N44"/>
  <c r="N39" s="1"/>
  <c r="N40"/>
  <c r="N13" s="1"/>
  <c r="M12" i="51"/>
  <c r="M14" s="1"/>
  <c r="N30" i="29"/>
  <c r="N67"/>
  <c r="N6" i="46"/>
  <c r="N7"/>
  <c r="N8"/>
  <c r="N51" i="29"/>
  <c r="N9" i="46"/>
  <c r="N17"/>
  <c r="N16"/>
  <c r="N14"/>
  <c r="N13"/>
  <c r="O17" i="33"/>
  <c r="N7" i="25"/>
  <c r="N45"/>
  <c r="N63"/>
  <c r="O15" i="33"/>
  <c r="N26" i="25"/>
  <c r="O19" i="33"/>
  <c r="O14" i="34"/>
  <c r="O16" i="33"/>
  <c r="O18"/>
  <c r="O7"/>
  <c r="N54" i="25"/>
  <c r="N36"/>
  <c r="O5" i="34"/>
  <c r="N17" i="25"/>
  <c r="O8" i="33"/>
  <c r="N6" i="25"/>
  <c r="O6" i="33"/>
  <c r="O10"/>
  <c r="O9"/>
  <c r="N76" i="29" l="1"/>
  <c r="N50"/>
  <c r="N49" s="1"/>
  <c r="N17"/>
  <c r="N15"/>
  <c r="O26"/>
  <c r="O23"/>
  <c r="O21" s="1"/>
  <c r="O25"/>
  <c r="O22"/>
  <c r="O24"/>
  <c r="O62"/>
  <c r="O60"/>
  <c r="O63"/>
  <c r="O59"/>
  <c r="O61"/>
  <c r="M7" i="48"/>
  <c r="E39" i="40" s="1"/>
  <c r="E38"/>
  <c r="N11" i="25"/>
  <c r="O17" i="21"/>
  <c r="N12" i="25"/>
  <c r="O18" i="21"/>
  <c r="O16"/>
  <c r="O19"/>
  <c r="O15"/>
  <c r="O14" i="33"/>
  <c r="O8" i="21"/>
  <c r="O7"/>
  <c r="O10"/>
  <c r="N8" i="25"/>
  <c r="N11" i="48" s="1"/>
  <c r="N13" s="1"/>
  <c r="O6" i="21"/>
  <c r="O5" i="33"/>
  <c r="O9" i="21"/>
  <c r="N12" i="29" l="1"/>
  <c r="N13" i="51" s="1"/>
  <c r="O58" i="29"/>
  <c r="P18" i="34"/>
  <c r="N6" i="48"/>
  <c r="N8" i="49"/>
  <c r="N10" s="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48"/>
  <c r="O66"/>
  <c r="O30"/>
  <c r="O71" i="29"/>
  <c r="O49" i="25"/>
  <c r="O67"/>
  <c r="O31"/>
  <c r="O68"/>
  <c r="O50"/>
  <c r="O46"/>
  <c r="O65"/>
  <c r="O47"/>
  <c r="O28"/>
  <c r="O14" i="21"/>
  <c r="O15" i="46" s="1"/>
  <c r="O27" i="25"/>
  <c r="O64"/>
  <c r="O39"/>
  <c r="O20"/>
  <c r="O57"/>
  <c r="O38"/>
  <c r="O56"/>
  <c r="O19"/>
  <c r="O55"/>
  <c r="O37"/>
  <c r="O22"/>
  <c r="O59"/>
  <c r="O41"/>
  <c r="O18"/>
  <c r="O58"/>
  <c r="O40"/>
  <c r="O5" i="21"/>
  <c r="O5" i="46" s="1"/>
  <c r="O21" i="25"/>
  <c r="O77" i="29" l="1"/>
  <c r="O50" s="1"/>
  <c r="O78"/>
  <c r="O81"/>
  <c r="O80"/>
  <c r="O79"/>
  <c r="O52" s="1"/>
  <c r="O44"/>
  <c r="O43"/>
  <c r="O40"/>
  <c r="O41"/>
  <c r="O42"/>
  <c r="O16"/>
  <c r="N7" i="48"/>
  <c r="N12" i="51"/>
  <c r="N14" s="1"/>
  <c r="O30" i="29"/>
  <c r="O67"/>
  <c r="O53"/>
  <c r="O54"/>
  <c r="O51"/>
  <c r="O13" i="46"/>
  <c r="O6"/>
  <c r="O9"/>
  <c r="O7"/>
  <c r="O8"/>
  <c r="O16"/>
  <c r="O17"/>
  <c r="O14"/>
  <c r="P17" i="33"/>
  <c r="O45" i="25"/>
  <c r="O63"/>
  <c r="O26"/>
  <c r="O7"/>
  <c r="P18" i="33"/>
  <c r="P14" i="34"/>
  <c r="P15" i="33"/>
  <c r="P16"/>
  <c r="P19"/>
  <c r="P7"/>
  <c r="P9"/>
  <c r="P6"/>
  <c r="O36" i="25"/>
  <c r="O54"/>
  <c r="P5" i="34"/>
  <c r="O17" i="25"/>
  <c r="P10" i="33"/>
  <c r="O6" i="25"/>
  <c r="P8" i="33"/>
  <c r="O76" i="29" l="1"/>
  <c r="O39"/>
  <c r="O14"/>
  <c r="O17"/>
  <c r="O13"/>
  <c r="O15"/>
  <c r="P22"/>
  <c r="P23"/>
  <c r="P60"/>
  <c r="P61"/>
  <c r="P24"/>
  <c r="P26"/>
  <c r="P25"/>
  <c r="P63"/>
  <c r="P59"/>
  <c r="P62"/>
  <c r="O11" i="25"/>
  <c r="O12"/>
  <c r="O49" i="29"/>
  <c r="P17" i="21"/>
  <c r="P18"/>
  <c r="P14" i="33"/>
  <c r="P16" i="21"/>
  <c r="P19"/>
  <c r="P15"/>
  <c r="P7"/>
  <c r="P9"/>
  <c r="P6"/>
  <c r="P10"/>
  <c r="P8"/>
  <c r="O8" i="25"/>
  <c r="O11" i="48" s="1"/>
  <c r="O13" s="1"/>
  <c r="P5" i="33"/>
  <c r="O12" i="29" l="1"/>
  <c r="O13" i="51" s="1"/>
  <c r="P58" i="29"/>
  <c r="P21"/>
  <c r="Q17" i="34"/>
  <c r="O6" i="48"/>
  <c r="O8" i="49"/>
  <c r="O10" s="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0" i="29"/>
  <c r="P48" i="25"/>
  <c r="P66"/>
  <c r="P67"/>
  <c r="P49"/>
  <c r="P30"/>
  <c r="P31"/>
  <c r="P64"/>
  <c r="P46"/>
  <c r="P68"/>
  <c r="P47"/>
  <c r="P14" i="21"/>
  <c r="P14" i="46" s="1"/>
  <c r="P65" i="25"/>
  <c r="P28"/>
  <c r="P27"/>
  <c r="P50"/>
  <c r="P19"/>
  <c r="P56"/>
  <c r="P38"/>
  <c r="P20"/>
  <c r="P57"/>
  <c r="P59"/>
  <c r="P41"/>
  <c r="P40"/>
  <c r="P58"/>
  <c r="P21"/>
  <c r="P22"/>
  <c r="P39"/>
  <c r="P55"/>
  <c r="P5" i="21"/>
  <c r="P6" i="46" s="1"/>
  <c r="P18" i="25"/>
  <c r="P37"/>
  <c r="P77" i="29" l="1"/>
  <c r="P76" s="1"/>
  <c r="P81"/>
  <c r="P54" s="1"/>
  <c r="P78"/>
  <c r="P51" s="1"/>
  <c r="P80"/>
  <c r="P79"/>
  <c r="P52" s="1"/>
  <c r="P43"/>
  <c r="P42"/>
  <c r="P40"/>
  <c r="P44"/>
  <c r="P41"/>
  <c r="O7" i="48"/>
  <c r="O12" i="51"/>
  <c r="O14" s="1"/>
  <c r="P30" i="29"/>
  <c r="P67"/>
  <c r="P8" i="46"/>
  <c r="P5"/>
  <c r="P9"/>
  <c r="P17"/>
  <c r="P7"/>
  <c r="P53" i="29"/>
  <c r="P16" i="46"/>
  <c r="P13"/>
  <c r="P15"/>
  <c r="P7" i="25"/>
  <c r="P63"/>
  <c r="Q18" i="33"/>
  <c r="Q15"/>
  <c r="P45" i="25"/>
  <c r="Q14" i="34"/>
  <c r="Q17" i="33"/>
  <c r="P26" i="25"/>
  <c r="Q16" i="33"/>
  <c r="Q19"/>
  <c r="Q7"/>
  <c r="Q10"/>
  <c r="P36" i="25"/>
  <c r="Q9" i="33"/>
  <c r="Q6"/>
  <c r="Q5" i="34"/>
  <c r="Q8" i="33"/>
  <c r="P6" i="25"/>
  <c r="P54"/>
  <c r="P17"/>
  <c r="P50" i="29" l="1"/>
  <c r="P49" s="1"/>
  <c r="P39"/>
  <c r="P17"/>
  <c r="P16"/>
  <c r="P15"/>
  <c r="P14"/>
  <c r="P13"/>
  <c r="Q22"/>
  <c r="Q23"/>
  <c r="Q60"/>
  <c r="Q61"/>
  <c r="Q62"/>
  <c r="Q24"/>
  <c r="Q25"/>
  <c r="Q26"/>
  <c r="Q63"/>
  <c r="Q59"/>
  <c r="P11" i="25"/>
  <c r="P12"/>
  <c r="Q15" i="21"/>
  <c r="Q18"/>
  <c r="Q14" i="33"/>
  <c r="Q16" i="21"/>
  <c r="Q17"/>
  <c r="Q19"/>
  <c r="Q7"/>
  <c r="Q6"/>
  <c r="Q10"/>
  <c r="Q9"/>
  <c r="Q5" i="33"/>
  <c r="P8" i="25"/>
  <c r="P11" i="48" s="1"/>
  <c r="P13" s="1"/>
  <c r="Q8" i="21"/>
  <c r="P12" i="29" l="1"/>
  <c r="P13" i="51" s="1"/>
  <c r="Q58" i="29"/>
  <c r="Q21"/>
  <c r="R18" i="34"/>
  <c r="R15"/>
  <c r="P6" i="48"/>
  <c r="P8" i="49"/>
  <c r="P10" s="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30"/>
  <c r="Q65"/>
  <c r="Q28"/>
  <c r="Q47"/>
  <c r="Q50"/>
  <c r="Q31"/>
  <c r="Q68"/>
  <c r="Q14" i="21"/>
  <c r="Q15" i="46" s="1"/>
  <c r="Q29" i="25"/>
  <c r="Q48"/>
  <c r="Q66"/>
  <c r="Q18"/>
  <c r="Q41"/>
  <c r="Q56"/>
  <c r="Q22"/>
  <c r="Q59"/>
  <c r="Q39"/>
  <c r="Q57"/>
  <c r="Q55"/>
  <c r="Q40"/>
  <c r="Q38"/>
  <c r="Q19"/>
  <c r="Q21"/>
  <c r="Q58"/>
  <c r="Q37"/>
  <c r="Q20"/>
  <c r="Q5" i="21"/>
  <c r="Q8" i="46" s="1"/>
  <c r="Q77" i="29" l="1"/>
  <c r="Q50" s="1"/>
  <c r="Q79"/>
  <c r="Q52" s="1"/>
  <c r="Q78"/>
  <c r="Q80"/>
  <c r="Q53" s="1"/>
  <c r="Q42"/>
  <c r="Q15" s="1"/>
  <c r="Q41"/>
  <c r="Q40"/>
  <c r="Q13" s="1"/>
  <c r="Q43"/>
  <c r="Q44"/>
  <c r="P7" i="48"/>
  <c r="P12" i="51"/>
  <c r="P14" s="1"/>
  <c r="Q30" i="29"/>
  <c r="Q67"/>
  <c r="Q81"/>
  <c r="Q7" i="46"/>
  <c r="Q5"/>
  <c r="Q9"/>
  <c r="Q51" i="29"/>
  <c r="Q17" i="46"/>
  <c r="Q6"/>
  <c r="Q16"/>
  <c r="Q14"/>
  <c r="Q13"/>
  <c r="R14" i="34"/>
  <c r="Q63" i="25"/>
  <c r="R18" i="33"/>
  <c r="R17"/>
  <c r="Q45" i="25"/>
  <c r="R19" i="33"/>
  <c r="R16"/>
  <c r="Q7" i="25"/>
  <c r="Q26"/>
  <c r="R15" i="33"/>
  <c r="R9"/>
  <c r="Q17" i="25"/>
  <c r="Q54"/>
  <c r="R8" i="33"/>
  <c r="R7"/>
  <c r="R5" i="34"/>
  <c r="R10" i="33"/>
  <c r="R6"/>
  <c r="Q36" i="25"/>
  <c r="Q6"/>
  <c r="Q16" i="29" l="1"/>
  <c r="Q12" s="1"/>
  <c r="Q17"/>
  <c r="Q39"/>
  <c r="Q14"/>
  <c r="R22"/>
  <c r="R21" s="1"/>
  <c r="R26"/>
  <c r="R23"/>
  <c r="R25"/>
  <c r="R60"/>
  <c r="R62"/>
  <c r="Q76"/>
  <c r="R24"/>
  <c r="R59"/>
  <c r="R63"/>
  <c r="R61"/>
  <c r="Q11" i="25"/>
  <c r="Q54" i="29"/>
  <c r="Q49" s="1"/>
  <c r="Q12" i="25"/>
  <c r="R17" i="21"/>
  <c r="R16"/>
  <c r="R18"/>
  <c r="Q8" i="25"/>
  <c r="Q11" i="48" s="1"/>
  <c r="Q13" s="1"/>
  <c r="R19" i="21"/>
  <c r="R15"/>
  <c r="R14" i="33"/>
  <c r="R9" i="21"/>
  <c r="R8"/>
  <c r="R7"/>
  <c r="R10"/>
  <c r="R5" i="33"/>
  <c r="R6" i="21"/>
  <c r="R58" i="29" l="1"/>
  <c r="S17" i="34"/>
  <c r="Q13" i="51"/>
  <c r="Q6" i="48"/>
  <c r="Q8" i="49"/>
  <c r="Q10" s="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48"/>
  <c r="R47"/>
  <c r="R28"/>
  <c r="R65"/>
  <c r="R30"/>
  <c r="R49"/>
  <c r="R67"/>
  <c r="R68"/>
  <c r="R50"/>
  <c r="R31"/>
  <c r="R38"/>
  <c r="R27"/>
  <c r="R64"/>
  <c r="R14" i="21"/>
  <c r="R17" i="46" s="1"/>
  <c r="F33" i="40" s="1"/>
  <c r="R46" i="25"/>
  <c r="R56"/>
  <c r="R22"/>
  <c r="R19"/>
  <c r="R58"/>
  <c r="R40"/>
  <c r="R21"/>
  <c r="R41"/>
  <c r="R37"/>
  <c r="R59"/>
  <c r="R57"/>
  <c r="R39"/>
  <c r="R20"/>
  <c r="R18"/>
  <c r="R55"/>
  <c r="R5" i="21"/>
  <c r="R9" i="46" s="1"/>
  <c r="R77" i="29" l="1"/>
  <c r="R81"/>
  <c r="R79"/>
  <c r="R80"/>
  <c r="R53" s="1"/>
  <c r="R40"/>
  <c r="R41"/>
  <c r="R42"/>
  <c r="R43"/>
  <c r="R16" s="1"/>
  <c r="R44"/>
  <c r="R17" s="1"/>
  <c r="Q7" i="48"/>
  <c r="Q12" i="51"/>
  <c r="Q14" s="1"/>
  <c r="R67" i="29"/>
  <c r="R30"/>
  <c r="R78"/>
  <c r="R52"/>
  <c r="F25" i="40"/>
  <c r="R54" i="29"/>
  <c r="R7" i="46"/>
  <c r="R6"/>
  <c r="R5"/>
  <c r="R13"/>
  <c r="F29" i="40" s="1"/>
  <c r="R8" i="46"/>
  <c r="R14"/>
  <c r="F30" i="40" s="1"/>
  <c r="R16" i="46"/>
  <c r="F32" i="40" s="1"/>
  <c r="R15" i="46"/>
  <c r="F31" i="40" s="1"/>
  <c r="S17" i="33"/>
  <c r="R45" i="25"/>
  <c r="R63"/>
  <c r="S18" i="33"/>
  <c r="S16"/>
  <c r="R26" i="25"/>
  <c r="S15" i="33"/>
  <c r="S19"/>
  <c r="S14" i="34"/>
  <c r="R7" i="25"/>
  <c r="S10" i="33"/>
  <c r="R17" i="25"/>
  <c r="R36"/>
  <c r="R6"/>
  <c r="R54"/>
  <c r="S5" i="34"/>
  <c r="S7" i="33"/>
  <c r="S9"/>
  <c r="S8"/>
  <c r="S6"/>
  <c r="R15" i="29" l="1"/>
  <c r="R39"/>
  <c r="R14"/>
  <c r="R13"/>
  <c r="S22"/>
  <c r="S25"/>
  <c r="S63"/>
  <c r="S62"/>
  <c r="S24"/>
  <c r="S23"/>
  <c r="S26"/>
  <c r="S59"/>
  <c r="S60"/>
  <c r="S61"/>
  <c r="R51"/>
  <c r="R11" i="25"/>
  <c r="R76" i="29"/>
  <c r="F24" i="40"/>
  <c r="F21"/>
  <c r="F22"/>
  <c r="F23"/>
  <c r="R12" i="25"/>
  <c r="S19" i="21"/>
  <c r="S15"/>
  <c r="S18"/>
  <c r="S17"/>
  <c r="S14" i="33"/>
  <c r="S16" i="21"/>
  <c r="R50" i="29"/>
  <c r="R8" i="25"/>
  <c r="R11" i="48" s="1"/>
  <c r="R13" s="1"/>
  <c r="S7" i="21"/>
  <c r="S10"/>
  <c r="S9"/>
  <c r="S6"/>
  <c r="S5" i="33"/>
  <c r="S8" i="21"/>
  <c r="R12" i="29" l="1"/>
  <c r="S21"/>
  <c r="S58"/>
  <c r="T15" i="34"/>
  <c r="R49" i="29"/>
  <c r="T19" i="34"/>
  <c r="R6" i="48"/>
  <c r="R8" i="49"/>
  <c r="R10" s="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F37" i="40" s="1"/>
  <c r="S27" i="25"/>
  <c r="S68" i="29"/>
  <c r="S31" i="25"/>
  <c r="S72" i="29"/>
  <c r="S68" i="25"/>
  <c r="S50"/>
  <c r="S64"/>
  <c r="S28"/>
  <c r="S46"/>
  <c r="S49"/>
  <c r="S66"/>
  <c r="S29"/>
  <c r="S67"/>
  <c r="S48"/>
  <c r="S30"/>
  <c r="S14" i="21"/>
  <c r="S15" i="46" s="1"/>
  <c r="S65" i="25"/>
  <c r="S47"/>
  <c r="S38"/>
  <c r="S40"/>
  <c r="S58"/>
  <c r="S21"/>
  <c r="S19"/>
  <c r="S56"/>
  <c r="S41"/>
  <c r="S59"/>
  <c r="S22"/>
  <c r="S37"/>
  <c r="S39"/>
  <c r="S18"/>
  <c r="S55"/>
  <c r="S20"/>
  <c r="S57"/>
  <c r="S5" i="21"/>
  <c r="S5" i="46" s="1"/>
  <c r="R13" i="51" l="1"/>
  <c r="S80" i="29"/>
  <c r="S53" s="1"/>
  <c r="S81"/>
  <c r="S54" s="1"/>
  <c r="S77"/>
  <c r="S50" s="1"/>
  <c r="S79"/>
  <c r="S52" s="1"/>
  <c r="S78"/>
  <c r="S51" s="1"/>
  <c r="S42"/>
  <c r="S40"/>
  <c r="S43"/>
  <c r="S44"/>
  <c r="S41"/>
  <c r="S14" s="1"/>
  <c r="R12" i="51"/>
  <c r="R14" s="1"/>
  <c r="S30" i="29"/>
  <c r="S15"/>
  <c r="S67"/>
  <c r="S7" i="46"/>
  <c r="T15" i="33"/>
  <c r="S9" i="46"/>
  <c r="S6"/>
  <c r="S8"/>
  <c r="S14"/>
  <c r="S13"/>
  <c r="S16"/>
  <c r="S17"/>
  <c r="T14" i="34"/>
  <c r="T17" i="33"/>
  <c r="T18"/>
  <c r="T16"/>
  <c r="S7" i="25"/>
  <c r="T19" i="33"/>
  <c r="S63" i="25"/>
  <c r="S45"/>
  <c r="S26"/>
  <c r="T9" i="33"/>
  <c r="S36" i="25"/>
  <c r="T7" i="33"/>
  <c r="T8"/>
  <c r="S6" i="25"/>
  <c r="T10" i="33"/>
  <c r="T5" i="34"/>
  <c r="S54" i="25"/>
  <c r="T6" i="33"/>
  <c r="S17" i="25"/>
  <c r="S76" i="29" l="1"/>
  <c r="S39"/>
  <c r="S13"/>
  <c r="S16"/>
  <c r="S17"/>
  <c r="T22"/>
  <c r="T23"/>
  <c r="T25"/>
  <c r="T63"/>
  <c r="T60"/>
  <c r="T61"/>
  <c r="T26"/>
  <c r="T24"/>
  <c r="T62"/>
  <c r="T59"/>
  <c r="R7" i="48"/>
  <c r="F39" i="40" s="1"/>
  <c r="F38"/>
  <c r="S11" i="25"/>
  <c r="T15" i="21"/>
  <c r="T18"/>
  <c r="S12" i="25"/>
  <c r="T17" i="21"/>
  <c r="T16"/>
  <c r="S49" i="29"/>
  <c r="T19" i="21"/>
  <c r="S8" i="25"/>
  <c r="S11" i="48" s="1"/>
  <c r="S13" s="1"/>
  <c r="T14" i="33"/>
  <c r="T9" i="21"/>
  <c r="T10"/>
  <c r="T8"/>
  <c r="T7"/>
  <c r="T5" i="33"/>
  <c r="T6" i="21"/>
  <c r="T58" i="29" l="1"/>
  <c r="T21"/>
  <c r="S12"/>
  <c r="S13" i="51" s="1"/>
  <c r="U16" i="34"/>
  <c r="U17"/>
  <c r="S8" i="49"/>
  <c r="S10" s="1"/>
  <c r="S6" i="48"/>
  <c r="T30" i="25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29"/>
  <c r="T70" i="29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28"/>
  <c r="T41"/>
  <c r="T22"/>
  <c r="T19"/>
  <c r="T56"/>
  <c r="T57"/>
  <c r="T40"/>
  <c r="T59"/>
  <c r="T58"/>
  <c r="T37"/>
  <c r="T21"/>
  <c r="T20"/>
  <c r="T5" i="21"/>
  <c r="T7" i="46" s="1"/>
  <c r="T38" i="25"/>
  <c r="T39"/>
  <c r="T55"/>
  <c r="T18"/>
  <c r="T81" i="29" l="1"/>
  <c r="T54" s="1"/>
  <c r="T79"/>
  <c r="T52" s="1"/>
  <c r="T78"/>
  <c r="T77"/>
  <c r="T80"/>
  <c r="T53" s="1"/>
  <c r="T42"/>
  <c r="T41"/>
  <c r="T40"/>
  <c r="T43"/>
  <c r="T16" s="1"/>
  <c r="T44"/>
  <c r="S7" i="48"/>
  <c r="S12" i="51"/>
  <c r="S14" s="1"/>
  <c r="T14" i="29"/>
  <c r="T30"/>
  <c r="U18" i="33"/>
  <c r="T67" i="29"/>
  <c r="T63" i="25"/>
  <c r="T12" s="1"/>
  <c r="T14" i="46"/>
  <c r="T16"/>
  <c r="T5"/>
  <c r="T15"/>
  <c r="T13"/>
  <c r="U17" i="33"/>
  <c r="T51" i="29"/>
  <c r="T6" i="46"/>
  <c r="T9"/>
  <c r="T8"/>
  <c r="T45" i="25"/>
  <c r="U16" i="33"/>
  <c r="U15"/>
  <c r="U19"/>
  <c r="T26" i="25"/>
  <c r="U14" i="34"/>
  <c r="T7" i="25"/>
  <c r="U7" i="33"/>
  <c r="U10"/>
  <c r="T36" i="25"/>
  <c r="T54"/>
  <c r="U6" i="33"/>
  <c r="U8"/>
  <c r="U5" i="34"/>
  <c r="U9" i="33"/>
  <c r="T6" i="25"/>
  <c r="T17"/>
  <c r="T76" i="29" l="1"/>
  <c r="T50"/>
  <c r="T49" s="1"/>
  <c r="T39"/>
  <c r="T13"/>
  <c r="T15"/>
  <c r="T17"/>
  <c r="U25"/>
  <c r="U24"/>
  <c r="U26"/>
  <c r="U61"/>
  <c r="U22"/>
  <c r="U23"/>
  <c r="U63"/>
  <c r="U60"/>
  <c r="U62"/>
  <c r="T11" i="25"/>
  <c r="T13" s="1"/>
  <c r="T5" i="48" s="1"/>
  <c r="U18" i="21"/>
  <c r="U15"/>
  <c r="U59" i="29"/>
  <c r="U19" i="21"/>
  <c r="U16"/>
  <c r="U17"/>
  <c r="U14" i="33"/>
  <c r="U7" i="21"/>
  <c r="U10"/>
  <c r="U8"/>
  <c r="U6"/>
  <c r="U5" i="33"/>
  <c r="U9" i="21"/>
  <c r="T8" i="25"/>
  <c r="T11" i="48" s="1"/>
  <c r="T13" s="1"/>
  <c r="T12" i="29" l="1"/>
  <c r="T13" i="51" s="1"/>
  <c r="U21" i="29"/>
  <c r="V17" i="34"/>
  <c r="U58" i="29"/>
  <c r="T8" i="49"/>
  <c r="T10" s="1"/>
  <c r="T6" i="48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67"/>
  <c r="U49"/>
  <c r="U48"/>
  <c r="U70" i="29"/>
  <c r="U46" i="25"/>
  <c r="U64"/>
  <c r="U27"/>
  <c r="U50"/>
  <c r="U72" i="29"/>
  <c r="U29" i="25"/>
  <c r="U31"/>
  <c r="U28"/>
  <c r="U14" i="21"/>
  <c r="U13" i="46" s="1"/>
  <c r="U66" i="25"/>
  <c r="U47"/>
  <c r="U65"/>
  <c r="U59"/>
  <c r="U41"/>
  <c r="U22"/>
  <c r="U39"/>
  <c r="U56"/>
  <c r="U58"/>
  <c r="U18"/>
  <c r="U40"/>
  <c r="U38"/>
  <c r="U19"/>
  <c r="U57"/>
  <c r="U20"/>
  <c r="U5" i="21"/>
  <c r="U8" i="46" s="1"/>
  <c r="U55" i="25"/>
  <c r="U21"/>
  <c r="U37"/>
  <c r="U77" i="29" l="1"/>
  <c r="U50" s="1"/>
  <c r="U79"/>
  <c r="U52" s="1"/>
  <c r="U80"/>
  <c r="U42"/>
  <c r="U41"/>
  <c r="U14" s="1"/>
  <c r="U43"/>
  <c r="U16" s="1"/>
  <c r="U40"/>
  <c r="U44"/>
  <c r="U53"/>
  <c r="T7" i="48"/>
  <c r="T12" i="51"/>
  <c r="T14" s="1"/>
  <c r="U30" i="29"/>
  <c r="U67"/>
  <c r="U45" i="25"/>
  <c r="U81" i="29"/>
  <c r="U78"/>
  <c r="U13"/>
  <c r="U63" i="25"/>
  <c r="U12" s="1"/>
  <c r="V14" i="34"/>
  <c r="U15" i="46"/>
  <c r="U14"/>
  <c r="U16"/>
  <c r="U17"/>
  <c r="V17" i="33"/>
  <c r="U26" i="25"/>
  <c r="U7"/>
  <c r="V16" i="33"/>
  <c r="V19"/>
  <c r="V18"/>
  <c r="V15"/>
  <c r="U6" i="46"/>
  <c r="U5"/>
  <c r="U7"/>
  <c r="U9"/>
  <c r="U36" i="25"/>
  <c r="U54"/>
  <c r="U17"/>
  <c r="V9" i="33"/>
  <c r="V10"/>
  <c r="V5" i="34"/>
  <c r="V6" i="33"/>
  <c r="V7"/>
  <c r="U6" i="25"/>
  <c r="V8" i="33"/>
  <c r="U17" i="29" l="1"/>
  <c r="U12" s="1"/>
  <c r="U39"/>
  <c r="U15"/>
  <c r="V22"/>
  <c r="V26"/>
  <c r="V62"/>
  <c r="V60"/>
  <c r="U54"/>
  <c r="V24"/>
  <c r="V23"/>
  <c r="V25"/>
  <c r="V59"/>
  <c r="V63"/>
  <c r="V61"/>
  <c r="U11" i="25"/>
  <c r="U13" s="1"/>
  <c r="U5" i="48" s="1"/>
  <c r="U76" i="29"/>
  <c r="U51"/>
  <c r="V17" i="21"/>
  <c r="V18"/>
  <c r="V19"/>
  <c r="V15"/>
  <c r="U8" i="25"/>
  <c r="U11" i="48" s="1"/>
  <c r="U13" s="1"/>
  <c r="V14" i="33"/>
  <c r="V16" i="21"/>
  <c r="V6"/>
  <c r="V9"/>
  <c r="V10"/>
  <c r="V8"/>
  <c r="V5" i="33"/>
  <c r="V7" i="21"/>
  <c r="V58" i="29" l="1"/>
  <c r="W16" i="34"/>
  <c r="W15"/>
  <c r="V21" i="29"/>
  <c r="W19" i="34"/>
  <c r="U49" i="29"/>
  <c r="U13" i="51" s="1"/>
  <c r="U6" i="48"/>
  <c r="U8" i="49"/>
  <c r="U10" s="1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48"/>
  <c r="V66"/>
  <c r="V68"/>
  <c r="V64"/>
  <c r="V68" i="29"/>
  <c r="V31" i="25"/>
  <c r="V72" i="29"/>
  <c r="V67" i="25"/>
  <c r="V47"/>
  <c r="V69" i="29"/>
  <c r="V49" i="25"/>
  <c r="V50"/>
  <c r="V30"/>
  <c r="V27"/>
  <c r="V46"/>
  <c r="V14" i="21"/>
  <c r="V13" i="46" s="1"/>
  <c r="V28" i="25"/>
  <c r="V65"/>
  <c r="V57"/>
  <c r="V40"/>
  <c r="V21"/>
  <c r="V37"/>
  <c r="V56"/>
  <c r="V55"/>
  <c r="V18"/>
  <c r="V58"/>
  <c r="V41"/>
  <c r="V19"/>
  <c r="V59"/>
  <c r="V38"/>
  <c r="V5" i="21"/>
  <c r="V8" i="46" s="1"/>
  <c r="V20" i="25"/>
  <c r="V22"/>
  <c r="V39"/>
  <c r="V77" i="29" l="1"/>
  <c r="V50" s="1"/>
  <c r="V81"/>
  <c r="V54" s="1"/>
  <c r="V79"/>
  <c r="V78"/>
  <c r="V51" s="1"/>
  <c r="V80"/>
  <c r="V42"/>
  <c r="V41"/>
  <c r="V44"/>
  <c r="V40"/>
  <c r="V43"/>
  <c r="U7" i="48"/>
  <c r="U12" i="51"/>
  <c r="U14" s="1"/>
  <c r="V53" i="29"/>
  <c r="V30"/>
  <c r="W16" i="33"/>
  <c r="W14" i="34"/>
  <c r="V45" i="25"/>
  <c r="V67" i="29"/>
  <c r="V63" i="25"/>
  <c r="V12" s="1"/>
  <c r="W19" i="33"/>
  <c r="W15"/>
  <c r="W17"/>
  <c r="W18"/>
  <c r="V26" i="25"/>
  <c r="V17" i="46"/>
  <c r="V15"/>
  <c r="V7" i="25"/>
  <c r="V16" i="46"/>
  <c r="V14"/>
  <c r="V7"/>
  <c r="V6"/>
  <c r="V5"/>
  <c r="V9"/>
  <c r="V54" i="25"/>
  <c r="V36"/>
  <c r="W5" i="34"/>
  <c r="W9" i="33"/>
  <c r="W7"/>
  <c r="V6" i="25"/>
  <c r="V17"/>
  <c r="W10" i="33"/>
  <c r="W6"/>
  <c r="W8"/>
  <c r="V76" i="29" l="1"/>
  <c r="V52"/>
  <c r="V14"/>
  <c r="V17"/>
  <c r="V39"/>
  <c r="V16"/>
  <c r="V13"/>
  <c r="V15"/>
  <c r="W22"/>
  <c r="W23"/>
  <c r="W62"/>
  <c r="W59"/>
  <c r="W60"/>
  <c r="W24"/>
  <c r="W26"/>
  <c r="W25"/>
  <c r="W61"/>
  <c r="W63"/>
  <c r="W18" i="21"/>
  <c r="V11" i="25"/>
  <c r="V13" s="1"/>
  <c r="V5" i="48" s="1"/>
  <c r="W16" i="21"/>
  <c r="V49" i="29"/>
  <c r="W19" i="21"/>
  <c r="W15"/>
  <c r="W14" i="33"/>
  <c r="W17" i="21"/>
  <c r="W7"/>
  <c r="V8" i="25"/>
  <c r="V11" i="48" s="1"/>
  <c r="V13" s="1"/>
  <c r="W9" i="21"/>
  <c r="W10"/>
  <c r="W5" i="33"/>
  <c r="W8" i="21"/>
  <c r="W6"/>
  <c r="W58" i="29" l="1"/>
  <c r="V12"/>
  <c r="V13" i="51" s="1"/>
  <c r="W21" i="29"/>
  <c r="W68"/>
  <c r="W71"/>
  <c r="W33"/>
  <c r="W35"/>
  <c r="W32"/>
  <c r="W70"/>
  <c r="W69"/>
  <c r="W67" s="1"/>
  <c r="W31"/>
  <c r="W34"/>
  <c r="W72"/>
  <c r="V6" i="48"/>
  <c r="V8" i="49"/>
  <c r="V10" s="1"/>
  <c r="W30" i="25"/>
  <c r="W49"/>
  <c r="W67"/>
  <c r="W28"/>
  <c r="W47"/>
  <c r="W65"/>
  <c r="W46"/>
  <c r="W50"/>
  <c r="W48"/>
  <c r="W29"/>
  <c r="W68"/>
  <c r="W31"/>
  <c r="W14" i="21"/>
  <c r="W14" i="46" s="1"/>
  <c r="G30" i="40" s="1"/>
  <c r="W66" i="25"/>
  <c r="W27"/>
  <c r="W64"/>
  <c r="W30" i="29"/>
  <c r="W59" i="25"/>
  <c r="W19"/>
  <c r="W38"/>
  <c r="W56"/>
  <c r="W40"/>
  <c r="W21"/>
  <c r="W57"/>
  <c r="W39"/>
  <c r="W20"/>
  <c r="W41"/>
  <c r="W58"/>
  <c r="W18"/>
  <c r="W55"/>
  <c r="W5" i="21"/>
  <c r="W6" i="46" s="1"/>
  <c r="W22" i="25"/>
  <c r="W37"/>
  <c r="W81" i="29" l="1"/>
  <c r="W54" s="1"/>
  <c r="W79"/>
  <c r="W52" s="1"/>
  <c r="W80"/>
  <c r="W53" s="1"/>
  <c r="W77"/>
  <c r="W50" s="1"/>
  <c r="W78"/>
  <c r="W51" s="1"/>
  <c r="W40"/>
  <c r="W13" s="1"/>
  <c r="W43"/>
  <c r="W41"/>
  <c r="W44"/>
  <c r="W17" s="1"/>
  <c r="W42"/>
  <c r="V7" i="48"/>
  <c r="V12" i="51"/>
  <c r="V14" s="1"/>
  <c r="W63" i="25"/>
  <c r="W12" s="1"/>
  <c r="W45"/>
  <c r="W16" i="46"/>
  <c r="G32" i="40" s="1"/>
  <c r="W15" i="46"/>
  <c r="G31" i="40" s="1"/>
  <c r="E14"/>
  <c r="W26" i="25"/>
  <c r="W7"/>
  <c r="W17" i="46"/>
  <c r="G33" i="40" s="1"/>
  <c r="W13" i="46"/>
  <c r="G29" i="40" s="1"/>
  <c r="D14"/>
  <c r="G22"/>
  <c r="W9" i="46"/>
  <c r="W8"/>
  <c r="W5"/>
  <c r="W7"/>
  <c r="W17" i="25"/>
  <c r="W54"/>
  <c r="W6"/>
  <c r="W36"/>
  <c r="W76" i="29" l="1"/>
  <c r="W49"/>
  <c r="W16"/>
  <c r="W39"/>
  <c r="W15"/>
  <c r="W14"/>
  <c r="B6"/>
  <c r="E16" i="40"/>
  <c r="E15"/>
  <c r="W11" i="25"/>
  <c r="W13" s="1"/>
  <c r="W5" i="48" s="1"/>
  <c r="G37" i="40" s="1"/>
  <c r="F14"/>
  <c r="E17"/>
  <c r="E13"/>
  <c r="G25"/>
  <c r="D17"/>
  <c r="D16"/>
  <c r="G24"/>
  <c r="G21"/>
  <c r="D13"/>
  <c r="D15"/>
  <c r="G23"/>
  <c r="W8" i="25"/>
  <c r="W11" i="48" s="1"/>
  <c r="W13" s="1"/>
  <c r="W12" i="29" l="1"/>
  <c r="B5" s="1"/>
  <c r="B7" s="1"/>
  <c r="W6" i="48"/>
  <c r="W8" i="49"/>
  <c r="W10" s="1"/>
  <c r="F16" i="40"/>
  <c r="F15"/>
  <c r="F13"/>
  <c r="F17"/>
  <c r="W13" i="51" l="1"/>
  <c r="B5"/>
  <c r="C43" i="40"/>
  <c r="C7" i="29"/>
  <c r="W7" i="48" l="1"/>
  <c r="G39" i="40" s="1"/>
  <c r="G38"/>
  <c r="W12" i="51"/>
  <c r="W14" s="1"/>
  <c r="B7" s="1"/>
  <c r="C45" i="40" s="1"/>
  <c r="B4" i="49"/>
  <c r="B6" i="51" l="1"/>
  <c r="C44" i="40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<sst xmlns="http://schemas.openxmlformats.org/spreadsheetml/2006/main" count="247" uniqueCount="172">
  <si>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</si>
  <si>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</si>
  <si>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</si>
  <si>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</si>
  <si>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</si>
  <si>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</si>
  <si>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</si>
  <si>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</si>
  <si>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</si>
  <si>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</si>
  <si>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</si>
  <si>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</si>
  <si>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</si>
  <si>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</si>
  <si>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</si>
  <si>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</si>
  <si>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</si>
  <si>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</si>
  <si>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</si>
  <si>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</si>
  <si>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</si>
  <si>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</si>
  <si>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</si>
  <si>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</si>
  <si>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</si>
  <si>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</si>
  <si>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</si>
  <si>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</si>
  <si>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</si>
  <si>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</si>
  <si>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</si>
  <si>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</si>
  <si>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</si>
  <si>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</si>
  <si>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a. Heat pump water heaters (HPWH) &lt;=55 gallons - strong market resistance exists in 2012 that lessens in the future</t>
  </si>
  <si>
    <t>c. Instant gas (tankless gas) &lt;=55 gallons - strong market resistance in 2012 that lessens in the future</t>
  </si>
  <si>
    <t>d. Condensing gas water heaters &lt;=55 gallons - strong market resistance in 2012 that lessens in the future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</si>
  <si>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</si>
  <si>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</si>
  <si>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</si>
  <si>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</si>
  <si>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b. Gas tank water heaters &lt;=55 gallons - slight market resistance in 2012 that lessens in the future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</si>
  <si>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</si>
  <si>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</si>
  <si>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</si>
  <si>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</si>
  <si>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</si>
  <si>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</si>
  <si>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</si>
  <si>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</si>
  <si>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</si>
  <si>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</si>
  <si>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</si>
  <si>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</si>
  <si>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</si>
  <si>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</si>
  <si>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</si>
  <si>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</si>
  <si>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</si>
  <si>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</si>
  <si>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</si>
  <si>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</si>
  <si>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</si>
  <si>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</si>
  <si>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</si>
  <si>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</si>
  <si>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</si>
  <si>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</si>
  <si>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</si>
  <si>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</si>
  <si>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</si>
  <si>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</si>
  <si>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</si>
  <si>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</si>
  <si>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</si>
  <si>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&lt;=55 Gallons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</si>
  <si>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</si>
  <si>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</si>
  <si>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</si>
  <si>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</si>
  <si>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</si>
  <si>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</si>
  <si>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</si>
  <si>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</si>
  <si>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</si>
  <si>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</si>
  <si>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</si>
  <si>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</si>
  <si>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</si>
  <si>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</si>
  <si>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</si>
  <si>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</si>
  <si>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Gradually descrease resistance of market: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</si>
  <si>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</si>
  <si>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</si>
  <si>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</si>
  <si>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</si>
  <si>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</si>
  <si>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</si>
  <si>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</si>
  <si>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</si>
  <si>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</si>
  <si>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</si>
  <si>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</si>
  <si>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</si>
  <si>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</si>
  <si>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</si>
  <si>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</si>
  <si>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</si>
  <si>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</si>
  <si>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</si>
  <si>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</si>
  <si>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</si>
  <si>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</si>
  <si>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</si>
  <si>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</si>
  <si>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</si>
  <si>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</si>
  <si>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</si>
  <si>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</si>
  <si>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</si>
  <si>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</si>
  <si>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</si>
  <si>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</si>
  <si>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</si>
  <si>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Number of households with access to gas, &lt;=55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</si>
  <si>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</si>
  <si>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</si>
  <si>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</si>
  <si>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</si>
  <si>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</si>
  <si>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</si>
  <si>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</si>
  <si>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</si>
  <si>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</si>
  <si>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</si>
  <si>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</si>
  <si>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</si>
  <si>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</si>
  <si>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</si>
  <si>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</si>
  <si>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</si>
  <si>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</si>
  <si>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</si>
  <si>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</si>
  <si>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</si>
  <si>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</si>
  <si>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</si>
  <si>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</si>
  <si>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</si>
  <si>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</si>
  <si>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</si>
  <si>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</si>
  <si>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</si>
  <si>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</si>
  <si>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</si>
  <si>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</si>
  <si>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</si>
  <si>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</si>
  <si>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</si>
  <si>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</si>
  <si>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</si>
  <si>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</si>
  <si>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</si>
  <si>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</si>
  <si>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</si>
  <si>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</si>
  <si>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</si>
  <si>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</si>
  <si>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</si>
  <si>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</si>
  <si>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Montana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</si>
</sst>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5" fillId="0" borderId="0" xfId="0" applyFont="1"/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0"/>
  <tableStyles count="0" defaultTableStyle="TableStyleMedium2" defaultPivotStyle="PivotStyleLight16"/>
  <colors>
    <mruColors>
      <color rgb="FF0064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0.43148285817035076</c:v>
                </c:pt>
                <c:pt idx="1">
                  <c:v>0.11323848609499719</c:v>
                </c:pt>
                <c:pt idx="2">
                  <c:v>0.23934382512616181</c:v>
                </c:pt>
                <c:pt idx="3">
                  <c:v>4.4031145405739137E-2</c:v>
                </c:pt>
                <c:pt idx="4">
                  <c:v>0.17190368520275096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0.99997653135489273</c:v>
                </c:pt>
                <c:pt idx="1">
                  <c:v>0.43148285817035076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3.2522660800652487E-9</c:v>
                </c:pt>
                <c:pt idx="1">
                  <c:v>0.11323848609499719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2.3459955103600657E-5</c:v>
                </c:pt>
                <c:pt idx="1">
                  <c:v>0.23934382512616181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1.0711519097276204E-9</c:v>
                </c:pt>
                <c:pt idx="1">
                  <c:v>4.4031145405739137E-2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4.3665856756269171E-9</c:v>
                </c:pt>
                <c:pt idx="1">
                  <c:v>0.17190368520275096</c:v>
                </c:pt>
                <c:pt idx="2">
                  <c:v>0</c:v>
                </c:pt>
              </c:numCache>
            </c:numRef>
          </c:val>
        </c:ser>
        <c:overlap val="100"/>
        <c:axId val="200239360"/>
        <c:axId val="200249344"/>
      </c:barChart>
      <c:catAx>
        <c:axId val="2002393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249344"/>
        <c:crosses val="autoZero"/>
        <c:auto val="1"/>
        <c:lblAlgn val="ctr"/>
        <c:lblOffset val="100"/>
      </c:catAx>
      <c:valAx>
        <c:axId val="200249344"/>
        <c:scaling>
          <c:orientation val="minMax"/>
        </c:scaling>
        <c:axPos val="l"/>
        <c:majorGridlines/>
        <c:numFmt formatCode="0%" sourceLinked="1"/>
        <c:tickLblPos val="nextTo"/>
        <c:crossAx val="200239360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0.65331581319982968</c:v>
                </c:pt>
                <c:pt idx="2">
                  <c:v>0.2109218875508691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3.7353026742349867E-2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0.23939608673427171</c:v>
                </c:pt>
                <c:pt idx="2">
                  <c:v>0.78907811244913095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1.4188698981511934E-2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5.5746374342036657E-2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200384896"/>
        <c:axId val="200386432"/>
      </c:barChart>
      <c:catAx>
        <c:axId val="20038489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386432"/>
        <c:crosses val="autoZero"/>
        <c:auto val="1"/>
        <c:lblAlgn val="ctr"/>
        <c:lblOffset val="100"/>
      </c:catAx>
      <c:valAx>
        <c:axId val="200386432"/>
        <c:scaling>
          <c:orientation val="minMax"/>
        </c:scaling>
        <c:axPos val="l"/>
        <c:majorGridlines/>
        <c:numFmt formatCode="0%" sourceLinked="1"/>
        <c:tickLblPos val="nextTo"/>
        <c:crossAx val="200384896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0.97558664310075371</c:v>
                </c:pt>
                <c:pt idx="1">
                  <c:v>0.87598814541182024</c:v>
                </c:pt>
                <c:pt idx="2">
                  <c:v>0.80167688151199556</c:v>
                </c:pt>
                <c:pt idx="3">
                  <c:v>0.73296698695416651</c:v>
                </c:pt>
                <c:pt idx="4">
                  <c:v>0.65331581319982968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7.1120345273957518E-6</c:v>
                </c:pt>
                <c:pt idx="1">
                  <c:v>2.9855911073946209E-4</c:v>
                </c:pt>
                <c:pt idx="2">
                  <c:v>2.8600828924761909E-3</c:v>
                </c:pt>
                <c:pt idx="3">
                  <c:v>1.3452310194053761E-2</c:v>
                </c:pt>
                <c:pt idx="4">
                  <c:v>3.7353026742349867E-2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2.4394278873526909E-2</c:v>
                </c:pt>
                <c:pt idx="1">
                  <c:v>0.12319813774364159</c:v>
                </c:pt>
                <c:pt idx="2">
                  <c:v>0.19038746042767077</c:v>
                </c:pt>
                <c:pt idx="3">
                  <c:v>0.22904443421947418</c:v>
                </c:pt>
                <c:pt idx="4">
                  <c:v>0.23939608673427171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2.3607226205386795E-6</c:v>
                </c:pt>
                <c:pt idx="1">
                  <c:v>1.0227353723745614E-4</c:v>
                </c:pt>
                <c:pt idx="2">
                  <c:v>1.0149415793454133E-3</c:v>
                </c:pt>
                <c:pt idx="3">
                  <c:v>4.9422992932810338E-3</c:v>
                </c:pt>
                <c:pt idx="4">
                  <c:v>1.4188698981511934E-2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9.6052685714997026E-6</c:v>
                </c:pt>
                <c:pt idx="1">
                  <c:v>4.1288419656119405E-4</c:v>
                </c:pt>
                <c:pt idx="2">
                  <c:v>4.0606335885119563E-3</c:v>
                </c:pt>
                <c:pt idx="3">
                  <c:v>1.9593969339024565E-2</c:v>
                </c:pt>
                <c:pt idx="4">
                  <c:v>5.5746374342036657E-2</c:v>
                </c:pt>
              </c:numCache>
            </c:numRef>
          </c:val>
        </c:ser>
        <c:overlap val="100"/>
        <c:axId val="200505600"/>
        <c:axId val="200515584"/>
      </c:barChart>
      <c:catAx>
        <c:axId val="2005056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515584"/>
        <c:crosses val="autoZero"/>
        <c:auto val="1"/>
        <c:lblAlgn val="ctr"/>
        <c:lblOffset val="100"/>
      </c:catAx>
      <c:valAx>
        <c:axId val="200515584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505600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7.7945295131418568E-2</c:v>
                </c:pt>
                <c:pt idx="1">
                  <c:v>0.39025437050561473</c:v>
                </c:pt>
                <c:pt idx="2">
                  <c:v>0.60353380342435137</c:v>
                </c:pt>
                <c:pt idx="3">
                  <c:v>0.74800930735694027</c:v>
                </c:pt>
                <c:pt idx="4">
                  <c:v>0.84428165486306939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-9.7532112931798698E-2</c:v>
                </c:pt>
                <c:pt idx="1">
                  <c:v>-0.48763360722317745</c:v>
                </c:pt>
                <c:pt idx="2">
                  <c:v>-0.74775302082956618</c:v>
                </c:pt>
                <c:pt idx="3">
                  <c:v>-0.89991317724147923</c:v>
                </c:pt>
                <c:pt idx="4">
                  <c:v>-0.95447552801420565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-1.958681780038013E-2</c:v>
                </c:pt>
                <c:pt idx="1">
                  <c:v>-9.7379236717562712E-2</c:v>
                </c:pt>
                <c:pt idx="2">
                  <c:v>-0.14421921740521482</c:v>
                </c:pt>
                <c:pt idx="3">
                  <c:v>-0.15190386988453897</c:v>
                </c:pt>
                <c:pt idx="4">
                  <c:v>-0.11019387315113627</c:v>
                </c:pt>
              </c:numCache>
            </c:numRef>
          </c:val>
        </c:ser>
        <c:axId val="200742784"/>
        <c:axId val="200744320"/>
      </c:barChart>
      <c:catAx>
        <c:axId val="200742784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200744320"/>
        <c:crosses val="autoZero"/>
        <c:auto val="1"/>
        <c:lblAlgn val="ctr"/>
        <c:lblOffset val="100"/>
      </c:catAx>
      <c:valAx>
        <c:axId val="200744320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74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RowHeight="18.75"/>
  <cols>
    <col min="1" max="1" width="5.5703125" style="122" customWidth="1"/>
    <col min="2" max="16384" width="9.140625" style="122"/>
  </cols>
  <sheetData>
    <row r="1" spans="1:11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11" ht="39" customHeight="1">
      <c r="B3" s="176" t="str">
        <f>CONCATENATE("Marginal Market Shares (%) - ",State,", Single Family, ", SpaceHeat, ", ", TankSize,", ", StartWH, " is starting water heater")</f>
        <v>Marginal Market Shares (%) - Montana, Single Family, Gas FAF, &lt;=55 Gallons, Electric Resistance is starting water heater</v>
      </c>
      <c r="C3" s="177"/>
      <c r="D3" s="177"/>
      <c r="E3" s="177"/>
      <c r="F3" s="177"/>
      <c r="G3" s="177"/>
      <c r="H3" s="177"/>
      <c r="I3" s="177"/>
      <c r="J3" s="177"/>
      <c r="K3" s="177"/>
    </row>
    <row r="18" spans="2:16">
      <c r="M18" s="95"/>
    </row>
    <row r="21" spans="2:16" ht="36" customHeight="1">
      <c r="B21" s="176" t="str">
        <f>CONCATENATE("Average Market Shares by Scenario (%) - ",State,", Single Family, ", SpaceHeat, ", ", TankSize,", ", StartWH, " is starting water heater")</f>
        <v>Average Market Shares by Scenario (%) - Montana, Single Family, Gas FAF, &lt;=55 Gallons, Electric Resistance is starting water heater</v>
      </c>
      <c r="C21" s="177"/>
      <c r="D21" s="177"/>
      <c r="E21" s="177"/>
      <c r="F21" s="177"/>
      <c r="G21" s="177"/>
      <c r="H21" s="177"/>
      <c r="I21" s="177"/>
      <c r="J21" s="177"/>
      <c r="K21" s="177"/>
    </row>
    <row r="29" spans="2:16">
      <c r="P29" s="95"/>
    </row>
    <row r="39" spans="2:11" ht="36" customHeight="1">
      <c r="B39" s="176" t="str">
        <f>CONCATENATE("BAU Average Market Shares (%) - ",State,", Single Family, ", SpaceHeat, ", ", TankSize,", ", StartWH, " is starting water heater")</f>
        <v>BAU Average Market Shares (%) - Montana, Single Family, Gas FAF, &lt;=55 Gallons, Electric Resistance is starting water heater</v>
      </c>
      <c r="C39" s="177"/>
      <c r="D39" s="177"/>
      <c r="E39" s="177"/>
      <c r="F39" s="177"/>
      <c r="G39" s="177"/>
      <c r="H39" s="177"/>
      <c r="I39" s="177"/>
      <c r="J39" s="177"/>
      <c r="K39" s="177"/>
    </row>
    <row r="57" spans="2:11" ht="38.25" customHeight="1">
      <c r="B57" s="176" t="str">
        <f>CONCATENATE("BAU Average Market Shares, 2035 (%) - ",State,", Single Family, ", SpaceHeat, ", ", TankSize,", ", StartWH, " is starting water heater")</f>
        <v>BAU Average Market Shares, 2035 (%) - Montana, Single Family, Gas FAF, &lt;=55 Gallons, Electric Resistance is starting water heater</v>
      </c>
      <c r="C57" s="177"/>
      <c r="D57" s="177"/>
      <c r="E57" s="177"/>
      <c r="F57" s="177"/>
      <c r="G57" s="177"/>
      <c r="H57" s="177"/>
      <c r="I57" s="177"/>
      <c r="J57" s="177"/>
      <c r="K57" s="177"/>
    </row>
    <row r="75" spans="2:12" ht="40.5" customHeight="1">
      <c r="B75" s="176" t="str">
        <f>CONCATENATE('Input Assumptions'!B$9," Change in Natural Gas Usage Least Cost vs BAU Case (Mcf/Yr) -  ",'Input Assumptions'!B$11," ",'Input Assumptions'!B$12,", ",'Input Assumptions'!B$10," Space Heat")</f>
        <v>Montana Change in Natural Gas Usage Least Cost vs BAU Case (Mcf/Yr) -  Electric Resistance &lt;=55 Gallons, Gas FAF Space Heat</v>
      </c>
      <c r="C75" s="177"/>
      <c r="D75" s="177"/>
      <c r="E75" s="177"/>
      <c r="F75" s="177"/>
      <c r="G75" s="177"/>
      <c r="H75" s="177"/>
      <c r="I75" s="177"/>
      <c r="J75" s="177"/>
      <c r="K75" s="177"/>
      <c r="L75" s="136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/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>
      <c r="A3" s="12" t="s">
        <v>132</v>
      </c>
      <c r="H3" s="14"/>
      <c r="I3" s="14"/>
    </row>
    <row r="4" spans="1:23" ht="31.5">
      <c r="A4" s="66"/>
      <c r="B4" s="89" t="s">
        <v>131</v>
      </c>
      <c r="C4" s="94" t="s">
        <v>82</v>
      </c>
      <c r="D4" s="45"/>
      <c r="E4" s="45"/>
      <c r="F4" s="45"/>
      <c r="G4" s="45"/>
      <c r="H4" s="45"/>
    </row>
    <row r="5" spans="1:23">
      <c r="A5" s="160" t="s">
        <v>43</v>
      </c>
      <c r="B5" s="124">
        <f>NPV(DiscountRate,B12:W12)</f>
        <v>565.79665662752871</v>
      </c>
      <c r="C5" s="68"/>
      <c r="D5" s="45"/>
      <c r="E5" s="45"/>
      <c r="F5" s="45"/>
      <c r="G5" s="45"/>
      <c r="H5" s="45"/>
    </row>
    <row r="6" spans="1:23">
      <c r="A6" s="161" t="s">
        <v>101</v>
      </c>
      <c r="B6" s="125">
        <f>NPV(DiscountRate,B49:W49)</f>
        <v>480.60638608671428</v>
      </c>
      <c r="C6" s="162"/>
      <c r="D6" s="45"/>
      <c r="E6" s="45"/>
      <c r="F6" s="45"/>
      <c r="G6" s="45"/>
      <c r="H6" s="45"/>
    </row>
    <row r="7" spans="1:23">
      <c r="A7" s="161" t="s">
        <v>80</v>
      </c>
      <c r="B7" s="125">
        <f>B5-B6</f>
        <v>85.190270540814424</v>
      </c>
      <c r="C7" s="163">
        <f>1-B6/B5</f>
        <v>0.15056693874544458</v>
      </c>
    </row>
    <row r="8" spans="1:23">
      <c r="A8" s="54"/>
      <c r="E8" s="29"/>
    </row>
    <row r="9" spans="1:23">
      <c r="A9" s="12"/>
    </row>
    <row r="10" spans="1:23">
      <c r="A10" s="12" t="s">
        <v>116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9" t="s">
        <v>48</v>
      </c>
      <c r="B12" s="129">
        <f t="shared" ref="B12:W12" si="1">SUM(B13:B17)</f>
        <v>33.599760564915115</v>
      </c>
      <c r="C12" s="129">
        <f t="shared" si="1"/>
        <v>38.183276552829859</v>
      </c>
      <c r="D12" s="129">
        <f t="shared" si="1"/>
        <v>38.178412118486307</v>
      </c>
      <c r="E12" s="129">
        <f t="shared" si="1"/>
        <v>38.200612586953824</v>
      </c>
      <c r="F12" s="129">
        <f t="shared" si="1"/>
        <v>38.249656118080175</v>
      </c>
      <c r="G12" s="129">
        <f t="shared" si="1"/>
        <v>38.325747170710727</v>
      </c>
      <c r="H12" s="129">
        <f t="shared" si="1"/>
        <v>38.429534481502621</v>
      </c>
      <c r="I12" s="129">
        <f t="shared" si="1"/>
        <v>38.562076406569261</v>
      </c>
      <c r="J12" s="129">
        <f t="shared" si="1"/>
        <v>38.724731822983365</v>
      </c>
      <c r="K12" s="129">
        <f t="shared" si="1"/>
        <v>38.918960074404218</v>
      </c>
      <c r="L12" s="129">
        <f t="shared" si="1"/>
        <v>39.146025617721698</v>
      </c>
      <c r="M12" s="129">
        <f t="shared" si="1"/>
        <v>39.406622677449192</v>
      </c>
      <c r="N12" s="129">
        <f t="shared" si="1"/>
        <v>39.700460457217986</v>
      </c>
      <c r="O12" s="129">
        <f t="shared" si="1"/>
        <v>40.025874705726281</v>
      </c>
      <c r="P12" s="129">
        <f t="shared" si="1"/>
        <v>40.37954756867363</v>
      </c>
      <c r="Q12" s="129">
        <f t="shared" si="1"/>
        <v>40.756414755683878</v>
      </c>
      <c r="R12" s="129">
        <f t="shared" si="1"/>
        <v>41.149811466772086</v>
      </c>
      <c r="S12" s="129">
        <f t="shared" si="1"/>
        <v>41.551859853146318</v>
      </c>
      <c r="T12" s="129">
        <f t="shared" si="1"/>
        <v>41.954044916710572</v>
      </c>
      <c r="U12" s="129">
        <f t="shared" si="1"/>
        <v>42.347881809236348</v>
      </c>
      <c r="V12" s="129">
        <f t="shared" si="1"/>
        <v>42.725560801115854</v>
      </c>
      <c r="W12" s="129">
        <f t="shared" si="1"/>
        <v>43.080470799122807</v>
      </c>
    </row>
    <row r="13" spans="1:23" ht="16.5" thickTop="1">
      <c r="A13" s="38" t="str">
        <f>A22</f>
        <v>Electric Resistance</v>
      </c>
      <c r="B13" s="123">
        <f t="shared" ref="B13:W13" si="2">(B22+B31+B40)</f>
        <v>33.599760564915115</v>
      </c>
      <c r="C13" s="123">
        <f t="shared" si="2"/>
        <v>36.016942527299207</v>
      </c>
      <c r="D13" s="123">
        <f t="shared" si="2"/>
        <v>35.654481559198267</v>
      </c>
      <c r="E13" s="123">
        <f t="shared" si="2"/>
        <v>35.330604611633269</v>
      </c>
      <c r="F13" s="123">
        <f t="shared" si="2"/>
        <v>35.042262077192476</v>
      </c>
      <c r="G13" s="123">
        <f t="shared" si="2"/>
        <v>34.786077502203682</v>
      </c>
      <c r="H13" s="123">
        <f t="shared" si="2"/>
        <v>34.558207824125482</v>
      </c>
      <c r="I13" s="123">
        <f t="shared" si="2"/>
        <v>34.354209269237288</v>
      </c>
      <c r="J13" s="123">
        <f t="shared" si="2"/>
        <v>34.168930484253742</v>
      </c>
      <c r="K13" s="123">
        <f t="shared" si="2"/>
        <v>33.996459164931274</v>
      </c>
      <c r="L13" s="123">
        <f t="shared" si="2"/>
        <v>33.830149425410546</v>
      </c>
      <c r="M13" s="123">
        <f t="shared" si="2"/>
        <v>33.662752177009729</v>
      </c>
      <c r="N13" s="123">
        <f t="shared" si="2"/>
        <v>33.486658340384459</v>
      </c>
      <c r="O13" s="123">
        <f t="shared" si="2"/>
        <v>33.294245266807863</v>
      </c>
      <c r="P13" s="123">
        <f t="shared" si="2"/>
        <v>33.078293756217242</v>
      </c>
      <c r="Q13" s="123">
        <f t="shared" si="2"/>
        <v>32.832422856758079</v>
      </c>
      <c r="R13" s="123">
        <f t="shared" si="2"/>
        <v>32.551479474991048</v>
      </c>
      <c r="S13" s="123">
        <f t="shared" si="2"/>
        <v>32.231824650378698</v>
      </c>
      <c r="T13" s="123">
        <f t="shared" si="2"/>
        <v>31.871477879772296</v>
      </c>
      <c r="U13" s="123">
        <f t="shared" si="2"/>
        <v>31.470109171035322</v>
      </c>
      <c r="V13" s="123">
        <f t="shared" si="2"/>
        <v>31.028896520181124</v>
      </c>
      <c r="W13" s="123">
        <f t="shared" si="2"/>
        <v>30.550286256047485</v>
      </c>
    </row>
    <row r="14" spans="1:23">
      <c r="A14" s="38" t="str">
        <f>A23</f>
        <v>HPWH</v>
      </c>
      <c r="B14" s="123">
        <f t="shared" ref="B14:W14" si="3">(B23+B32+B41)</f>
        <v>0</v>
      </c>
      <c r="C14" s="123">
        <f t="shared" si="3"/>
        <v>1.2413734767219339E-3</v>
      </c>
      <c r="D14" s="123">
        <f t="shared" si="3"/>
        <v>2.5945422866520147E-3</v>
      </c>
      <c r="E14" s="123">
        <f t="shared" si="3"/>
        <v>5.0507540309675846E-3</v>
      </c>
      <c r="F14" s="123">
        <f t="shared" si="3"/>
        <v>9.3051103346037077E-3</v>
      </c>
      <c r="G14" s="123">
        <f t="shared" si="3"/>
        <v>1.6356081933522865E-2</v>
      </c>
      <c r="H14" s="123">
        <f t="shared" si="3"/>
        <v>2.7567707361998959E-2</v>
      </c>
      <c r="I14" s="123">
        <f t="shared" si="3"/>
        <v>4.4713122341483599E-2</v>
      </c>
      <c r="J14" s="123">
        <f t="shared" si="3"/>
        <v>6.9983847745154371E-2</v>
      </c>
      <c r="K14" s="123">
        <f t="shared" si="3"/>
        <v>0.10594906315279493</v>
      </c>
      <c r="L14" s="123">
        <f t="shared" si="3"/>
        <v>0.15545251221774387</v>
      </c>
      <c r="M14" s="123">
        <f t="shared" si="3"/>
        <v>0.22144277352092845</v>
      </c>
      <c r="N14" s="123">
        <f t="shared" si="3"/>
        <v>0.3067453719173806</v>
      </c>
      <c r="O14" s="123">
        <f t="shared" si="3"/>
        <v>0.41380067120859021</v>
      </c>
      <c r="P14" s="123">
        <f t="shared" si="3"/>
        <v>0.54440551424308181</v>
      </c>
      <c r="Q14" s="123">
        <f t="shared" si="3"/>
        <v>0.69950367253393086</v>
      </c>
      <c r="R14" s="123">
        <f t="shared" si="3"/>
        <v>0.87906582747015471</v>
      </c>
      <c r="S14" s="123">
        <f t="shared" si="3"/>
        <v>1.0820832568930796</v>
      </c>
      <c r="T14" s="123">
        <f t="shared" si="3"/>
        <v>1.3066749856861244</v>
      </c>
      <c r="U14" s="123">
        <f t="shared" si="3"/>
        <v>1.5502839406049733</v>
      </c>
      <c r="V14" s="123">
        <f t="shared" si="3"/>
        <v>1.8099216822260731</v>
      </c>
      <c r="W14" s="123">
        <f t="shared" si="3"/>
        <v>2.0824178116532979</v>
      </c>
    </row>
    <row r="15" spans="1:23">
      <c r="A15" s="38" t="str">
        <f>A24</f>
        <v>Gas Tank</v>
      </c>
      <c r="B15" s="123">
        <f t="shared" ref="B15:W15" si="4">(B24+B33+B42)</f>
        <v>0</v>
      </c>
      <c r="C15" s="123">
        <f t="shared" si="4"/>
        <v>2.1622244327659477</v>
      </c>
      <c r="D15" s="123">
        <f t="shared" si="4"/>
        <v>2.5154511622173237</v>
      </c>
      <c r="E15" s="123">
        <f t="shared" si="4"/>
        <v>2.8535832889850523</v>
      </c>
      <c r="F15" s="123">
        <f t="shared" si="4"/>
        <v>3.1771921736803987</v>
      </c>
      <c r="G15" s="123">
        <f t="shared" si="4"/>
        <v>3.4866181255842084</v>
      </c>
      <c r="H15" s="123">
        <f t="shared" si="4"/>
        <v>3.7819293515337638</v>
      </c>
      <c r="I15" s="123">
        <f t="shared" si="4"/>
        <v>4.0628867017201413</v>
      </c>
      <c r="J15" s="123">
        <f t="shared" si="4"/>
        <v>4.3289230236297529</v>
      </c>
      <c r="K15" s="123">
        <f t="shared" si="4"/>
        <v>4.5791470331538271</v>
      </c>
      <c r="L15" s="123">
        <f t="shared" si="4"/>
        <v>4.8123809254830974</v>
      </c>
      <c r="M15" s="123">
        <f t="shared" si="4"/>
        <v>5.0272376833479546</v>
      </c>
      <c r="N15" s="123">
        <f t="shared" si="4"/>
        <v>5.2222378501483879</v>
      </c>
      <c r="O15" s="123">
        <f t="shared" si="4"/>
        <v>5.3959570430498793</v>
      </c>
      <c r="P15" s="123">
        <f t="shared" si="4"/>
        <v>5.5471866043474929</v>
      </c>
      <c r="Q15" s="123">
        <f t="shared" si="4"/>
        <v>5.6750834667364085</v>
      </c>
      <c r="R15" s="123">
        <f t="shared" si="4"/>
        <v>5.7792844220016786</v>
      </c>
      <c r="S15" s="123">
        <f t="shared" si="4"/>
        <v>5.8599658425108752</v>
      </c>
      <c r="T15" s="123">
        <f t="shared" si="4"/>
        <v>5.9178411984898132</v>
      </c>
      <c r="U15" s="123">
        <f t="shared" si="4"/>
        <v>5.9541017929445337</v>
      </c>
      <c r="V15" s="123">
        <f t="shared" si="4"/>
        <v>5.970316670528069</v>
      </c>
      <c r="W15" s="123">
        <f t="shared" si="4"/>
        <v>5.9683126737940864</v>
      </c>
    </row>
    <row r="16" spans="1:23">
      <c r="A16" s="38" t="str">
        <f>A25</f>
        <v>Instant Gas</v>
      </c>
      <c r="B16" s="123">
        <f t="shared" ref="B16:W16" si="5">(B25+B34+B43)</f>
        <v>0</v>
      </c>
      <c r="C16" s="123">
        <f t="shared" si="5"/>
        <v>8.7454603265658688E-4</v>
      </c>
      <c r="D16" s="123">
        <f t="shared" si="5"/>
        <v>1.7992203881070346E-3</v>
      </c>
      <c r="E16" s="123">
        <f t="shared" si="5"/>
        <v>3.4842669378297082E-3</v>
      </c>
      <c r="F16" s="123">
        <f t="shared" si="5"/>
        <v>6.412171196246058E-3</v>
      </c>
      <c r="G16" s="123">
        <f t="shared" si="5"/>
        <v>1.1277483650033367E-2</v>
      </c>
      <c r="H16" s="123">
        <f t="shared" si="5"/>
        <v>1.9030414878348209E-2</v>
      </c>
      <c r="I16" s="123">
        <f t="shared" si="5"/>
        <v>3.0906812094368769E-2</v>
      </c>
      <c r="J16" s="123">
        <f t="shared" si="5"/>
        <v>4.8433072058943941E-2</v>
      </c>
      <c r="K16" s="123">
        <f t="shared" si="5"/>
        <v>7.3394315686763217E-2</v>
      </c>
      <c r="L16" s="123">
        <f t="shared" si="5"/>
        <v>0.10775662631111843</v>
      </c>
      <c r="M16" s="123">
        <f t="shared" si="5"/>
        <v>0.15354017717621068</v>
      </c>
      <c r="N16" s="123">
        <f t="shared" si="5"/>
        <v>0.21264969460451061</v>
      </c>
      <c r="O16" s="123">
        <f t="shared" si="5"/>
        <v>0.28668050259918942</v>
      </c>
      <c r="P16" s="123">
        <f t="shared" si="5"/>
        <v>0.37672919319024001</v>
      </c>
      <c r="Q16" s="123">
        <f t="shared" si="5"/>
        <v>0.48324348540809547</v>
      </c>
      <c r="R16" s="123">
        <f t="shared" si="5"/>
        <v>0.60594247419131853</v>
      </c>
      <c r="S16" s="123">
        <f t="shared" si="5"/>
        <v>0.7438255025991044</v>
      </c>
      <c r="T16" s="123">
        <f t="shared" si="5"/>
        <v>0.89526864050824462</v>
      </c>
      <c r="U16" s="123">
        <f t="shared" si="5"/>
        <v>1.0581885866742886</v>
      </c>
      <c r="V16" s="123">
        <f t="shared" si="5"/>
        <v>1.2302412029479293</v>
      </c>
      <c r="W16" s="123">
        <f t="shared" si="5"/>
        <v>1.4090193314858737</v>
      </c>
    </row>
    <row r="17" spans="1:23">
      <c r="A17" s="38" t="str">
        <f>A26</f>
        <v>Condensing Gas</v>
      </c>
      <c r="B17" s="123">
        <f t="shared" ref="B17:W17" si="6">(B26+B35+B44)</f>
        <v>0</v>
      </c>
      <c r="C17" s="123">
        <f t="shared" si="6"/>
        <v>1.9936732553252558E-3</v>
      </c>
      <c r="D17" s="123">
        <f t="shared" si="6"/>
        <v>4.0856343959529227E-3</v>
      </c>
      <c r="E17" s="123">
        <f t="shared" si="6"/>
        <v>7.8896653667065633E-3</v>
      </c>
      <c r="F17" s="123">
        <f t="shared" si="6"/>
        <v>1.4484585676456288E-2</v>
      </c>
      <c r="G17" s="123">
        <f t="shared" si="6"/>
        <v>2.5417977339282073E-2</v>
      </c>
      <c r="H17" s="123">
        <f t="shared" si="6"/>
        <v>4.2799183603028652E-2</v>
      </c>
      <c r="I17" s="123">
        <f t="shared" si="6"/>
        <v>6.9360501175976766E-2</v>
      </c>
      <c r="J17" s="123">
        <f t="shared" si="6"/>
        <v>0.10846139529576651</v>
      </c>
      <c r="K17" s="123">
        <f t="shared" si="6"/>
        <v>0.16401049747956636</v>
      </c>
      <c r="L17" s="123">
        <f t="shared" si="6"/>
        <v>0.24028612829919718</v>
      </c>
      <c r="M17" s="123">
        <f t="shared" si="6"/>
        <v>0.34164986639436845</v>
      </c>
      <c r="N17" s="123">
        <f t="shared" si="6"/>
        <v>0.47216920016324854</v>
      </c>
      <c r="O17" s="123">
        <f t="shared" si="6"/>
        <v>0.63519122206075829</v>
      </c>
      <c r="P17" s="123">
        <f t="shared" si="6"/>
        <v>0.83293250067556912</v>
      </c>
      <c r="Q17" s="123">
        <f t="shared" si="6"/>
        <v>1.0661612742473641</v>
      </c>
      <c r="R17" s="123">
        <f t="shared" si="6"/>
        <v>1.334039268117885</v>
      </c>
      <c r="S17" s="123">
        <f t="shared" si="6"/>
        <v>1.634160600764565</v>
      </c>
      <c r="T17" s="123">
        <f t="shared" si="6"/>
        <v>1.9627822122540988</v>
      </c>
      <c r="U17" s="123">
        <f t="shared" si="6"/>
        <v>2.3151983179772255</v>
      </c>
      <c r="V17" s="123">
        <f t="shared" si="6"/>
        <v>2.6861847252326552</v>
      </c>
      <c r="W17" s="123">
        <f t="shared" si="6"/>
        <v>3.0704347261420599</v>
      </c>
    </row>
    <row r="18" spans="1:23">
      <c r="A18" s="12"/>
    </row>
    <row r="19" spans="1:23">
      <c r="A19" s="12" t="s">
        <v>117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9" t="s">
        <v>48</v>
      </c>
      <c r="B21" s="129">
        <f>SUM(B22:B26)</f>
        <v>0</v>
      </c>
      <c r="C21" s="129">
        <f t="shared" ref="C21:W21" si="7">SUM(C22:C26)</f>
        <v>4.618334155122259</v>
      </c>
      <c r="D21" s="129">
        <f t="shared" si="7"/>
        <v>4.6218675893206562</v>
      </c>
      <c r="E21" s="129">
        <f t="shared" si="7"/>
        <v>4.6275286564917497</v>
      </c>
      <c r="F21" s="129">
        <f t="shared" si="7"/>
        <v>4.6366399827034375</v>
      </c>
      <c r="G21" s="129">
        <f t="shared" si="7"/>
        <v>4.6510775541325753</v>
      </c>
      <c r="H21" s="129">
        <f t="shared" si="7"/>
        <v>4.673365267966969</v>
      </c>
      <c r="I21" s="129">
        <f t="shared" si="7"/>
        <v>4.7067227792157764</v>
      </c>
      <c r="J21" s="129">
        <f t="shared" si="7"/>
        <v>4.7550361621425532</v>
      </c>
      <c r="K21" s="129">
        <f t="shared" si="7"/>
        <v>4.8227225589720364</v>
      </c>
      <c r="L21" s="129">
        <f t="shared" si="7"/>
        <v>4.9144694869059151</v>
      </c>
      <c r="M21" s="129">
        <f t="shared" si="7"/>
        <v>5.0348486182730952</v>
      </c>
      <c r="N21" s="129">
        <f t="shared" si="7"/>
        <v>5.1878319632243475</v>
      </c>
      <c r="O21" s="129">
        <f t="shared" si="7"/>
        <v>5.376270572020772</v>
      </c>
      <c r="P21" s="129">
        <f t="shared" si="7"/>
        <v>5.6014225586762061</v>
      </c>
      <c r="Q21" s="129">
        <f t="shared" si="7"/>
        <v>5.8626265148671513</v>
      </c>
      <c r="R21" s="129">
        <f t="shared" si="7"/>
        <v>6.1571993206477051</v>
      </c>
      <c r="S21" s="129">
        <f t="shared" si="7"/>
        <v>6.4805940891371243</v>
      </c>
      <c r="T21" s="129">
        <f t="shared" si="7"/>
        <v>6.8267962132112094</v>
      </c>
      <c r="U21" s="129">
        <f t="shared" si="7"/>
        <v>7.1888825847161417</v>
      </c>
      <c r="V21" s="129">
        <f t="shared" si="7"/>
        <v>7.5596390345056976</v>
      </c>
      <c r="W21" s="129">
        <f t="shared" si="7"/>
        <v>7.9321318908368328</v>
      </c>
    </row>
    <row r="22" spans="1:23" ht="16.5" thickTop="1">
      <c r="A22" s="9" t="str">
        <f>'Water Heaters Purchased'!A6</f>
        <v>Electric Resistance</v>
      </c>
      <c r="B22" s="123">
        <f>('Water Heaters Purchased'!B6*'Capital Cost'!$E5)/1000000</f>
        <v>0</v>
      </c>
      <c r="C22" s="123">
        <f>('Water Heaters Purchased'!C6*'Capital Cost'!$E5)/1000000</f>
        <v>2.8167689676645642</v>
      </c>
      <c r="D22" s="123">
        <f>('Water Heaters Purchased'!D6*'Capital Cost'!$E5)/1000000</f>
        <v>2.8121627075656295</v>
      </c>
      <c r="E22" s="123">
        <f>('Water Heaters Purchased'!E6*'Capital Cost'!$E5)/1000000</f>
        <v>2.8070121316698593</v>
      </c>
      <c r="F22" s="123">
        <f>('Water Heaters Purchased'!F6*'Capital Cost'!$E5)/1000000</f>
        <v>2.8009457091530217</v>
      </c>
      <c r="G22" s="123">
        <f>('Water Heaters Purchased'!G6*'Capital Cost'!$E5)/1000000</f>
        <v>2.793438221537683</v>
      </c>
      <c r="H22" s="123">
        <f>('Water Heaters Purchased'!H6*'Capital Cost'!$E5)/1000000</f>
        <v>2.783785635365438</v>
      </c>
      <c r="I22" s="123">
        <f>('Water Heaters Purchased'!I6*'Capital Cost'!$E5)/1000000</f>
        <v>2.7710934500319357</v>
      </c>
      <c r="J22" s="123">
        <f>('Water Heaters Purchased'!J6*'Capital Cost'!$E5)/1000000</f>
        <v>2.754286895672919</v>
      </c>
      <c r="K22" s="123">
        <f>('Water Heaters Purchased'!K6*'Capital Cost'!$E5)/1000000</f>
        <v>2.7321507539563914</v>
      </c>
      <c r="L22" s="123">
        <f>('Water Heaters Purchased'!L6*'Capital Cost'!$E5)/1000000</f>
        <v>2.7034037885199798</v>
      </c>
      <c r="M22" s="123">
        <f>('Water Heaters Purchased'!M6*'Capital Cost'!$E5)/1000000</f>
        <v>2.6668073428954826</v>
      </c>
      <c r="N22" s="123">
        <f>('Water Heaters Purchased'!N6*'Capital Cost'!$E5)/1000000</f>
        <v>2.6212998334119999</v>
      </c>
      <c r="O22" s="123">
        <f>('Water Heaters Purchased'!O6*'Capital Cost'!$E5)/1000000</f>
        <v>2.5661400434777102</v>
      </c>
      <c r="P22" s="123">
        <f>('Water Heaters Purchased'!P6*'Capital Cost'!$E5)/1000000</f>
        <v>2.5010349922031314</v>
      </c>
      <c r="Q22" s="123">
        <f>('Water Heaters Purchased'!Q6*'Capital Cost'!$E5)/1000000</f>
        <v>2.4262259719432273</v>
      </c>
      <c r="R22" s="123">
        <f>('Water Heaters Purchased'!R6*'Capital Cost'!$E5)/1000000</f>
        <v>2.342511491234915</v>
      </c>
      <c r="S22" s="123">
        <f>('Water Heaters Purchased'!S6*'Capital Cost'!$E5)/1000000</f>
        <v>2.251198141758382</v>
      </c>
      <c r="T22" s="123">
        <f>('Water Heaters Purchased'!T6*'Capital Cost'!$E5)/1000000</f>
        <v>2.1539864634661723</v>
      </c>
      <c r="U22" s="123">
        <f>('Water Heaters Purchased'!U6*'Capital Cost'!$E5)/1000000</f>
        <v>2.0528133108778936</v>
      </c>
      <c r="V22" s="123">
        <f>('Water Heaters Purchased'!V6*'Capital Cost'!$E5)/1000000</f>
        <v>1.9496801188139419</v>
      </c>
      <c r="W22" s="123">
        <f>('Water Heaters Purchased'!W6*'Capital Cost'!$E5)/1000000</f>
        <v>1.8464957675948166</v>
      </c>
    </row>
    <row r="23" spans="1:23">
      <c r="A23" s="9" t="str">
        <f>'Water Heaters Purchased'!A7</f>
        <v>HPWH</v>
      </c>
      <c r="B23" s="123">
        <f>('Water Heaters Purchased'!B7*'Capital Cost'!$E6)/1000000</f>
        <v>0</v>
      </c>
      <c r="C23" s="123">
        <f>('Water Heaters Purchased'!C7*'Capital Cost'!$E6)/1000000</f>
        <v>1.1211051583328883E-3</v>
      </c>
      <c r="D23" s="123">
        <f>('Water Heaters Purchased'!D7*'Capital Cost'!$E6)/1000000</f>
        <v>2.2384180345452497E-3</v>
      </c>
      <c r="E23" s="123">
        <f>('Water Heaters Purchased'!E7*'Capital Cost'!$E6)/1000000</f>
        <v>4.2489369382181178E-3</v>
      </c>
      <c r="F23" s="123">
        <f>('Water Heaters Purchased'!F7*'Capital Cost'!$E6)/1000000</f>
        <v>7.6951264661496554E-3</v>
      </c>
      <c r="G23" s="123">
        <f>('Water Heaters Purchased'!G7*'Capital Cost'!$E6)/1000000</f>
        <v>1.3340022994997112E-2</v>
      </c>
      <c r="H23" s="123">
        <f>('Water Heaters Purchased'!H7*'Capital Cost'!$E6)/1000000</f>
        <v>2.220100777993245E-2</v>
      </c>
      <c r="I23" s="123">
        <f>('Water Heaters Purchased'!I7*'Capital Cost'!$E6)/1000000</f>
        <v>3.556314667315872E-2</v>
      </c>
      <c r="J23" s="123">
        <f>('Water Heaters Purchased'!J7*'Capital Cost'!$E6)/1000000</f>
        <v>5.4960217744458716E-2</v>
      </c>
      <c r="K23" s="123">
        <f>('Water Heaters Purchased'!K7*'Capital Cost'!$E6)/1000000</f>
        <v>8.2112711754621412E-2</v>
      </c>
      <c r="L23" s="123">
        <f>('Water Heaters Purchased'!L7*'Capital Cost'!$E6)/1000000</f>
        <v>0.11881641632632645</v>
      </c>
      <c r="M23" s="123">
        <f>('Water Heaters Purchased'!M7*'Capital Cost'!$E6)/1000000</f>
        <v>0.16678325602202063</v>
      </c>
      <c r="N23" s="123">
        <f>('Water Heaters Purchased'!N7*'Capital Cost'!$E6)/1000000</f>
        <v>0.22744739402531275</v>
      </c>
      <c r="O23" s="123">
        <f>('Water Heaters Purchased'!O7*'Capital Cost'!$E6)/1000000</f>
        <v>0.30176206485948676</v>
      </c>
      <c r="P23" s="123">
        <f>('Water Heaters Purchased'!P7*'Capital Cost'!$E6)/1000000</f>
        <v>0.39002229998106341</v>
      </c>
      <c r="Q23" s="123">
        <f>('Water Heaters Purchased'!Q7*'Capital Cost'!$E6)/1000000</f>
        <v>0.49175100806154493</v>
      </c>
      <c r="R23" s="123">
        <f>('Water Heaters Purchased'!R7*'Capital Cost'!$E6)/1000000</f>
        <v>0.60567760446006913</v>
      </c>
      <c r="S23" s="123">
        <f>('Water Heaters Purchased'!S7*'Capital Cost'!$E6)/1000000</f>
        <v>0.72982012063683277</v>
      </c>
      <c r="T23" s="123">
        <f>('Water Heaters Purchased'!T7*'Capital Cost'!$E6)/1000000</f>
        <v>0.86165856283615161</v>
      </c>
      <c r="U23" s="123">
        <f>('Water Heaters Purchased'!U7*'Capital Cost'!$E6)/1000000</f>
        <v>0.99836705562590744</v>
      </c>
      <c r="V23" s="123">
        <f>('Water Heaters Purchased'!V7*'Capital Cost'!$E6)/1000000</f>
        <v>1.1370618727830244</v>
      </c>
      <c r="W23" s="123">
        <f>('Water Heaters Purchased'!W7*'Capital Cost'!$E6)/1000000</f>
        <v>1.2750244511999338</v>
      </c>
    </row>
    <row r="24" spans="1:23">
      <c r="A24" s="9" t="str">
        <f>'Water Heaters Purchased'!A8</f>
        <v>Gas Tank</v>
      </c>
      <c r="B24" s="123">
        <f>('Water Heaters Purchased'!B8*'Capital Cost'!$E7)/1000000</f>
        <v>0</v>
      </c>
      <c r="C24" s="123">
        <f>('Water Heaters Purchased'!C8*'Capital Cost'!$E7)/1000000</f>
        <v>1.7977016079697568</v>
      </c>
      <c r="D24" s="123">
        <f>('Water Heaters Purchased'!D8*'Capital Cost'!$E7)/1000000</f>
        <v>1.801955209750205</v>
      </c>
      <c r="E24" s="123">
        <f>('Water Heaters Purchased'!E8*'Capital Cost'!$E7)/1000000</f>
        <v>1.8057381647476793</v>
      </c>
      <c r="F24" s="123">
        <f>('Water Heaters Purchased'!F8*'Capital Cost'!$E7)/1000000</f>
        <v>1.8088055275224053</v>
      </c>
      <c r="G24" s="123">
        <f>('Water Heaters Purchased'!G8*'Capital Cost'!$E7)/1000000</f>
        <v>1.8108092444021546</v>
      </c>
      <c r="H24" s="123">
        <f>('Water Heaters Purchased'!H8*'Capital Cost'!$E7)/1000000</f>
        <v>1.8112800838859622</v>
      </c>
      <c r="I24" s="123">
        <f>('Water Heaters Purchased'!I8*'Capital Cost'!$E7)/1000000</f>
        <v>1.8096180953489671</v>
      </c>
      <c r="J24" s="123">
        <f>('Water Heaters Purchased'!J8*'Capital Cost'!$E7)/1000000</f>
        <v>1.8050973275619402</v>
      </c>
      <c r="K24" s="123">
        <f>('Water Heaters Purchased'!K8*'Capital Cost'!$E7)/1000000</f>
        <v>1.7968902834545746</v>
      </c>
      <c r="L24" s="123">
        <f>('Water Heaters Purchased'!L8*'Capital Cost'!$E7)/1000000</f>
        <v>1.7841158668579384</v>
      </c>
      <c r="M24" s="123">
        <f>('Water Heaters Purchased'!M8*'Capital Cost'!$E7)/1000000</f>
        <v>1.7659110388736123</v>
      </c>
      <c r="N24" s="123">
        <f>('Water Heaters Purchased'!N8*'Capital Cost'!$E7)/1000000</f>
        <v>1.7415211529914134</v>
      </c>
      <c r="O24" s="123">
        <f>('Water Heaters Purchased'!O8*'Capital Cost'!$E7)/1000000</f>
        <v>1.7103978770931487</v>
      </c>
      <c r="P24" s="123">
        <f>('Water Heaters Purchased'!P8*'Capital Cost'!$E7)/1000000</f>
        <v>1.672288520981511</v>
      </c>
      <c r="Q24" s="123">
        <f>('Water Heaters Purchased'!Q8*'Capital Cost'!$E7)/1000000</f>
        <v>1.6272987127598764</v>
      </c>
      <c r="R24" s="123">
        <f>('Water Heaters Purchased'!R8*'Capital Cost'!$E7)/1000000</f>
        <v>1.5759134118433458</v>
      </c>
      <c r="S24" s="123">
        <f>('Water Heaters Purchased'!S8*'Capital Cost'!$E7)/1000000</f>
        <v>1.5189692399386401</v>
      </c>
      <c r="T24" s="123">
        <f>('Water Heaters Purchased'!T8*'Capital Cost'!$E7)/1000000</f>
        <v>1.4575819065511784</v>
      </c>
      <c r="U24" s="123">
        <f>('Water Heaters Purchased'!U8*'Capital Cost'!$E7)/1000000</f>
        <v>1.3930424880767409</v>
      </c>
      <c r="V24" s="123">
        <f>('Water Heaters Purchased'!V8*'Capital Cost'!$E7)/1000000</f>
        <v>1.3267020901667064</v>
      </c>
      <c r="W24" s="123">
        <f>('Water Heaters Purchased'!W8*'Capital Cost'!$E7)/1000000</f>
        <v>1.2598644294475736</v>
      </c>
    </row>
    <row r="25" spans="1:23">
      <c r="A25" s="9" t="str">
        <f>'Water Heaters Purchased'!A9</f>
        <v>Instant Gas</v>
      </c>
      <c r="B25" s="123">
        <f>('Water Heaters Purchased'!B9*'Capital Cost'!$E8)/1000000</f>
        <v>0</v>
      </c>
      <c r="C25" s="123">
        <f>('Water Heaters Purchased'!C9*'Capital Cost'!$E8)/1000000</f>
        <v>8.3328348051446186E-4</v>
      </c>
      <c r="D25" s="123">
        <f>('Water Heaters Purchased'!D9*'Capital Cost'!$E8)/1000000</f>
        <v>1.67679700505032E-3</v>
      </c>
      <c r="E25" s="123">
        <f>('Water Heaters Purchased'!E9*'Capital Cost'!$E8)/1000000</f>
        <v>3.2078858742933831E-3</v>
      </c>
      <c r="F25" s="123">
        <f>('Water Heaters Purchased'!F9*'Capital Cost'!$E8)/1000000</f>
        <v>5.8554444443246253E-3</v>
      </c>
      <c r="G25" s="123">
        <f>('Water Heaters Purchased'!G9*'Capital Cost'!$E8)/1000000</f>
        <v>1.0230856585343661E-2</v>
      </c>
      <c r="H25" s="123">
        <f>('Water Heaters Purchased'!H9*'Capital Cost'!$E8)/1000000</f>
        <v>1.7161092908261181E-2</v>
      </c>
      <c r="I25" s="123">
        <f>('Water Heaters Purchased'!I9*'Capital Cost'!$E8)/1000000</f>
        <v>2.7707316674668036E-2</v>
      </c>
      <c r="J25" s="123">
        <f>('Water Heaters Purchased'!J9*'Capital Cost'!$E8)/1000000</f>
        <v>4.3158827855961521E-2</v>
      </c>
      <c r="K25" s="123">
        <f>('Water Heaters Purchased'!K9*'Capital Cost'!$E8)/1000000</f>
        <v>6.49924708764755E-2</v>
      </c>
      <c r="L25" s="123">
        <f>('Water Heaters Purchased'!L9*'Capital Cost'!$E8)/1000000</f>
        <v>9.4790491775940747E-2</v>
      </c>
      <c r="M25" s="123">
        <f>('Water Heaters Purchased'!M9*'Capital Cost'!$E8)/1000000</f>
        <v>0.13411591954874097</v>
      </c>
      <c r="N25" s="123">
        <f>('Water Heaters Purchased'!N9*'Capital Cost'!$E8)/1000000</f>
        <v>0.18435373910850583</v>
      </c>
      <c r="O25" s="123">
        <f>('Water Heaters Purchased'!O9*'Capital Cost'!$E8)/1000000</f>
        <v>0.24653690200758235</v>
      </c>
      <c r="P25" s="123">
        <f>('Water Heaters Purchased'!P9*'Capital Cost'!$E8)/1000000</f>
        <v>0.32118547557021032</v>
      </c>
      <c r="Q25" s="123">
        <f>('Water Heaters Purchased'!Q9*'Capital Cost'!$E8)/1000000</f>
        <v>0.40819097536335291</v>
      </c>
      <c r="R25" s="123">
        <f>('Water Heaters Purchased'!R9*'Capital Cost'!$E8)/1000000</f>
        <v>0.506773037984805</v>
      </c>
      <c r="S25" s="123">
        <f>('Water Heaters Purchased'!S9*'Capital Cost'!$E8)/1000000</f>
        <v>0.6155218513057108</v>
      </c>
      <c r="T25" s="123">
        <f>('Water Heaters Purchased'!T9*'Capital Cost'!$E8)/1000000</f>
        <v>0.73252080650469886</v>
      </c>
      <c r="U25" s="123">
        <f>('Water Heaters Purchased'!U9*'Capital Cost'!$E8)/1000000</f>
        <v>0.85552599626471737</v>
      </c>
      <c r="V25" s="123">
        <f>('Water Heaters Purchased'!V9*'Capital Cost'!$E8)/1000000</f>
        <v>0.98216853479002286</v>
      </c>
      <c r="W25" s="123">
        <f>('Water Heaters Purchased'!W9*'Capital Cost'!$E8)/1000000</f>
        <v>1.1101451302458918</v>
      </c>
    </row>
    <row r="26" spans="1:23">
      <c r="A26" s="9" t="str">
        <f>'Water Heaters Purchased'!A10</f>
        <v>Condensing Gas</v>
      </c>
      <c r="B26" s="123">
        <f>('Water Heaters Purchased'!B10*'Capital Cost'!$E9)/1000000</f>
        <v>0</v>
      </c>
      <c r="C26" s="123">
        <f>('Water Heaters Purchased'!C10*'Capital Cost'!$E9)/1000000</f>
        <v>1.9091908490897144E-3</v>
      </c>
      <c r="D26" s="123">
        <f>('Water Heaters Purchased'!D10*'Capital Cost'!$E9)/1000000</f>
        <v>3.8344569652259092E-3</v>
      </c>
      <c r="E26" s="123">
        <f>('Water Heaters Purchased'!E10*'Capital Cost'!$E9)/1000000</f>
        <v>7.3215372616992251E-3</v>
      </c>
      <c r="F26" s="123">
        <f>('Water Heaters Purchased'!F10*'Capital Cost'!$E9)/1000000</f>
        <v>1.3338175117536686E-2</v>
      </c>
      <c r="G26" s="123">
        <f>('Water Heaters Purchased'!G10*'Capital Cost'!$E9)/1000000</f>
        <v>2.3259208612397126E-2</v>
      </c>
      <c r="H26" s="123">
        <f>('Water Heaters Purchased'!H10*'Capital Cost'!$E9)/1000000</f>
        <v>3.8937448027375053E-2</v>
      </c>
      <c r="I26" s="123">
        <f>('Water Heaters Purchased'!I10*'Capital Cost'!$E9)/1000000</f>
        <v>6.2740770487046515E-2</v>
      </c>
      <c r="J26" s="123">
        <f>('Water Heaters Purchased'!J10*'Capital Cost'!$E9)/1000000</f>
        <v>9.753289330727348E-2</v>
      </c>
      <c r="K26" s="123">
        <f>('Water Heaters Purchased'!K10*'Capital Cost'!$E9)/1000000</f>
        <v>0.14657633892997357</v>
      </c>
      <c r="L26" s="123">
        <f>('Water Heaters Purchased'!L10*'Capital Cost'!$E9)/1000000</f>
        <v>0.21334292342572944</v>
      </c>
      <c r="M26" s="123">
        <f>('Water Heaters Purchased'!M10*'Capital Cost'!$E9)/1000000</f>
        <v>0.30123106093323859</v>
      </c>
      <c r="N26" s="123">
        <f>('Water Heaters Purchased'!N10*'Capital Cost'!$E9)/1000000</f>
        <v>0.41320984368711633</v>
      </c>
      <c r="O26" s="123">
        <f>('Water Heaters Purchased'!O10*'Capital Cost'!$E9)/1000000</f>
        <v>0.55143368458284392</v>
      </c>
      <c r="P26" s="123">
        <f>('Water Heaters Purchased'!P10*'Capital Cost'!$E9)/1000000</f>
        <v>0.71689126994028884</v>
      </c>
      <c r="Q26" s="123">
        <f>('Water Heaters Purchased'!Q10*'Capital Cost'!$E9)/1000000</f>
        <v>0.90915984673914951</v>
      </c>
      <c r="R26" s="123">
        <f>('Water Heaters Purchased'!R10*'Capital Cost'!$E9)/1000000</f>
        <v>1.1263237751245712</v>
      </c>
      <c r="S26" s="123">
        <f>('Water Heaters Purchased'!S10*'Capital Cost'!$E9)/1000000</f>
        <v>1.3650847354975597</v>
      </c>
      <c r="T26" s="123">
        <f>('Water Heaters Purchased'!T10*'Capital Cost'!$E9)/1000000</f>
        <v>1.6210484738530082</v>
      </c>
      <c r="U26" s="123">
        <f>('Water Heaters Purchased'!U10*'Capital Cost'!$E9)/1000000</f>
        <v>1.8891337338708827</v>
      </c>
      <c r="V26" s="123">
        <f>('Water Heaters Purchased'!V10*'Capital Cost'!$E9)/1000000</f>
        <v>2.1640264179520026</v>
      </c>
      <c r="W26" s="123">
        <f>('Water Heaters Purchased'!W10*'Capital Cost'!$E9)/1000000</f>
        <v>2.4406021123486168</v>
      </c>
    </row>
    <row r="27" spans="1:23">
      <c r="A27" s="12"/>
    </row>
    <row r="28" spans="1:23">
      <c r="A28" s="12" t="s">
        <v>118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8" t="s">
        <v>48</v>
      </c>
      <c r="B30" s="129">
        <f t="shared" ref="B30:W30" si="8">SUM(B31:B35)</f>
        <v>0.42871781965315436</v>
      </c>
      <c r="C30" s="129">
        <f t="shared" si="8"/>
        <v>0.45049988444038819</v>
      </c>
      <c r="D30" s="129">
        <f t="shared" si="8"/>
        <v>0.47080843744870543</v>
      </c>
      <c r="E30" s="129">
        <f t="shared" si="8"/>
        <v>0.48976810713216279</v>
      </c>
      <c r="F30" s="129">
        <f t="shared" si="8"/>
        <v>0.50750720959506357</v>
      </c>
      <c r="G30" s="129">
        <f t="shared" si="8"/>
        <v>0.52416279455151871</v>
      </c>
      <c r="H30" s="129">
        <f t="shared" si="8"/>
        <v>0.53988626372400861</v>
      </c>
      <c r="I30" s="129">
        <f t="shared" si="8"/>
        <v>0.5548490852308664</v>
      </c>
      <c r="J30" s="129">
        <f t="shared" si="8"/>
        <v>0.56924786769792224</v>
      </c>
      <c r="K30" s="129">
        <f t="shared" si="8"/>
        <v>0.583307829050146</v>
      </c>
      <c r="L30" s="129">
        <f t="shared" si="8"/>
        <v>0.59728356985998554</v>
      </c>
      <c r="M30" s="129">
        <f t="shared" si="8"/>
        <v>0.61145612545797468</v>
      </c>
      <c r="N30" s="129">
        <f t="shared" si="8"/>
        <v>0.62612559920129573</v>
      </c>
      <c r="O30" s="129">
        <f t="shared" si="8"/>
        <v>0.64159929486708789</v>
      </c>
      <c r="P30" s="129">
        <f t="shared" si="8"/>
        <v>0.6581760997820888</v>
      </c>
      <c r="Q30" s="129">
        <f t="shared" si="8"/>
        <v>0.67612874265739886</v>
      </c>
      <c r="R30" s="129">
        <f t="shared" si="8"/>
        <v>0.6956862066706746</v>
      </c>
      <c r="S30" s="129">
        <f t="shared" si="8"/>
        <v>0.71701878042141165</v>
      </c>
      <c r="T30" s="129">
        <f t="shared" si="8"/>
        <v>0.74022786452231926</v>
      </c>
      <c r="U30" s="129">
        <f t="shared" si="8"/>
        <v>0.76534180022001752</v>
      </c>
      <c r="V30" s="129">
        <f t="shared" si="8"/>
        <v>0.79231789779551653</v>
      </c>
      <c r="W30" s="129">
        <f t="shared" si="8"/>
        <v>0.82104982844653362</v>
      </c>
    </row>
    <row r="31" spans="1:23" ht="16.5" thickTop="1">
      <c r="A31" s="9" t="str">
        <f>'Energy Usage'!A18</f>
        <v>Electric Resistance</v>
      </c>
      <c r="B31" s="123">
        <f>'Water Heater Stock'!B6*'O&amp;M Cost'!$D5/1000000</f>
        <v>0.42871781965315436</v>
      </c>
      <c r="C31" s="123">
        <f>'Water Heater Stock'!C6*'O&amp;M Cost'!$D5/1000000</f>
        <v>0.41825137851289518</v>
      </c>
      <c r="D31" s="123">
        <f>'Water Heater Stock'!D6*'O&amp;M Cost'!$D5/1000000</f>
        <v>0.40849957879451598</v>
      </c>
      <c r="E31" s="123">
        <f>'Water Heater Stock'!E6*'O&amp;M Cost'!$D5/1000000</f>
        <v>0.3994074796623806</v>
      </c>
      <c r="F31" s="123">
        <f>'Water Heater Stock'!F6*'O&amp;M Cost'!$D5/1000000</f>
        <v>0.39092140602270076</v>
      </c>
      <c r="G31" s="123">
        <f>'Water Heater Stock'!G6*'O&amp;M Cost'!$D5/1000000</f>
        <v>0.38298775835393828</v>
      </c>
      <c r="H31" s="123">
        <f>'Water Heater Stock'!H6*'O&amp;M Cost'!$D5/1000000</f>
        <v>0.37555172774296602</v>
      </c>
      <c r="I31" s="123">
        <f>'Water Heater Stock'!I6*'O&amp;M Cost'!$D5/1000000</f>
        <v>0.36855601932369619</v>
      </c>
      <c r="J31" s="123">
        <f>'Water Heater Stock'!J6*'O&amp;M Cost'!$D5/1000000</f>
        <v>0.36193973987278599</v>
      </c>
      <c r="K31" s="123">
        <f>'Water Heater Stock'!K6*'O&amp;M Cost'!$D5/1000000</f>
        <v>0.35563764981276985</v>
      </c>
      <c r="L31" s="123">
        <f>'Water Heater Stock'!L6*'O&amp;M Cost'!$D5/1000000</f>
        <v>0.34958000125352012</v>
      </c>
      <c r="M31" s="123">
        <f>'Water Heater Stock'!M6*'O&amp;M Cost'!$D5/1000000</f>
        <v>0.34369316470816319</v>
      </c>
      <c r="N31" s="123">
        <f>'Water Heater Stock'!N6*'O&amp;M Cost'!$D5/1000000</f>
        <v>0.33790117344907689</v>
      </c>
      <c r="O31" s="123">
        <f>'Water Heater Stock'!O6*'O&amp;M Cost'!$D5/1000000</f>
        <v>0.33212818293923335</v>
      </c>
      <c r="P31" s="123">
        <f>'Water Heater Stock'!P6*'O&amp;M Cost'!$D5/1000000</f>
        <v>0.32630166959329804</v>
      </c>
      <c r="Q31" s="123">
        <f>'Water Heater Stock'!Q6*'O&amp;M Cost'!$D5/1000000</f>
        <v>0.32035601672399683</v>
      </c>
      <c r="R31" s="123">
        <f>'Water Heater Stock'!R6*'O&amp;M Cost'!$D5/1000000</f>
        <v>0.31423600852473255</v>
      </c>
      <c r="S31" s="123">
        <f>'Water Heater Stock'!S6*'O&amp;M Cost'!$D5/1000000</f>
        <v>0.30789972289538159</v>
      </c>
      <c r="T31" s="123">
        <f>'Water Heater Stock'!T6*'O&amp;M Cost'!$D5/1000000</f>
        <v>0.30132040091035928</v>
      </c>
      <c r="U31" s="123">
        <f>'Water Heater Stock'!U6*'O&amp;M Cost'!$D5/1000000</f>
        <v>0.29448705475659115</v>
      </c>
      <c r="V31" s="123">
        <f>'Water Heater Stock'!V6*'O&amp;M Cost'!$D5/1000000</f>
        <v>0.28740380334976295</v>
      </c>
      <c r="W31" s="123">
        <f>'Water Heater Stock'!W6*'O&amp;M Cost'!$D5/1000000</f>
        <v>0.28008813097995877</v>
      </c>
    </row>
    <row r="32" spans="1:23">
      <c r="A32" s="9" t="str">
        <f>'Energy Usage'!A19</f>
        <v>HPWH</v>
      </c>
      <c r="B32" s="123">
        <f>'Water Heater Stock'!B7*'O&amp;M Cost'!$D6/1000000</f>
        <v>0</v>
      </c>
      <c r="C32" s="123">
        <f>'Water Heater Stock'!C7*'O&amp;M Cost'!$D6/1000000</f>
        <v>6.7525912767704159E-6</v>
      </c>
      <c r="D32" s="123">
        <f>'Water Heater Stock'!D7*'O&amp;M Cost'!$D6/1000000</f>
        <v>1.9752604375109359E-5</v>
      </c>
      <c r="E32" s="123">
        <f>'Water Heater Stock'!E7*'O&amp;M Cost'!$D6/1000000</f>
        <v>4.3933714135255218E-5</v>
      </c>
      <c r="F32" s="123">
        <f>'Water Heater Stock'!F7*'O&amp;M Cost'!$D6/1000000</f>
        <v>8.7144538950317105E-5</v>
      </c>
      <c r="G32" s="123">
        <f>'Water Heater Stock'!G7*'O&amp;M Cost'!$D6/1000000</f>
        <v>1.6126896875488155E-4</v>
      </c>
      <c r="H32" s="123">
        <f>'Water Heater Stock'!H7*'O&amp;M Cost'!$D6/1000000</f>
        <v>2.8346989022814137E-4</v>
      </c>
      <c r="I32" s="123">
        <f>'Water Heater Stock'!I7*'O&amp;M Cost'!$D6/1000000</f>
        <v>4.7742442168832283E-4</v>
      </c>
      <c r="J32" s="123">
        <f>'Water Heater Stock'!J7*'O&amp;M Cost'!$D6/1000000</f>
        <v>7.7435664332183235E-4</v>
      </c>
      <c r="K32" s="123">
        <f>'Water Heater Stock'!K7*'O&amp;M Cost'!$D6/1000000</f>
        <v>1.2136231281461159E-3</v>
      </c>
      <c r="L32" s="123">
        <f>'Water Heater Stock'!L7*'O&amp;M Cost'!$D6/1000000</f>
        <v>1.8425855744111186E-3</v>
      </c>
      <c r="M32" s="123">
        <f>'Water Heater Stock'!M7*'O&amp;M Cost'!$D6/1000000</f>
        <v>2.7155338906442237E-3</v>
      </c>
      <c r="N32" s="123">
        <f>'Water Heater Stock'!N7*'O&amp;M Cost'!$D6/1000000</f>
        <v>3.8915183233681682E-3</v>
      </c>
      <c r="O32" s="123">
        <f>'Water Heater Stock'!O7*'O&amp;M Cost'!$D6/1000000</f>
        <v>5.4311127246057592E-3</v>
      </c>
      <c r="P32" s="123">
        <f>'Water Heater Stock'!P7*'O&amp;M Cost'!$D6/1000000</f>
        <v>7.3923412631555618E-3</v>
      </c>
      <c r="Q32" s="123">
        <f>'Water Heater Stock'!Q7*'O&amp;M Cost'!$D6/1000000</f>
        <v>9.8262099288260463E-3</v>
      </c>
      <c r="R32" s="123">
        <f>'Water Heater Stock'!R7*'O&amp;M Cost'!$D6/1000000</f>
        <v>1.2772428496918422E-2</v>
      </c>
      <c r="S32" s="123">
        <f>'Water Heater Stock'!S7*'O&amp;M Cost'!$D6/1000000</f>
        <v>1.6255932624482255E-2</v>
      </c>
      <c r="T32" s="123">
        <f>'Water Heater Stock'!T7*'O&amp;M Cost'!$D6/1000000</f>
        <v>2.0284698534661565E-2</v>
      </c>
      <c r="U32" s="123">
        <f>'Water Heater Stock'!U7*'O&amp;M Cost'!$D6/1000000</f>
        <v>2.4849112031771942E-2</v>
      </c>
      <c r="V32" s="123">
        <f>'Water Heater Stock'!V7*'O&amp;M Cost'!$D6/1000000</f>
        <v>2.9922876515448827E-2</v>
      </c>
      <c r="W32" s="123">
        <f>'Water Heater Stock'!W7*'O&amp;M Cost'!$D6/1000000</f>
        <v>3.5465199384194256E-2</v>
      </c>
    </row>
    <row r="33" spans="1:23">
      <c r="A33" s="45" t="str">
        <f>'Energy Usage'!A20</f>
        <v>Gas Tank</v>
      </c>
      <c r="B33" s="123">
        <f>'Water Heater Stock'!B8*'O&amp;M Cost'!$D7/1000000</f>
        <v>0</v>
      </c>
      <c r="C33" s="123">
        <f>'Water Heater Stock'!C8*'O&amp;M Cost'!$D7/1000000</f>
        <v>3.22097188221026E-2</v>
      </c>
      <c r="D33" s="123">
        <f>'Water Heater Stock'!D8*'O&amp;M Cost'!$D7/1000000</f>
        <v>6.2194955933465884E-2</v>
      </c>
      <c r="E33" s="123">
        <f>'Water Heater Stock'!E8*'O&amp;M Cost'!$D7/1000000</f>
        <v>9.0106170228137425E-2</v>
      </c>
      <c r="F33" s="123">
        <f>'Water Heater Stock'!F8*'O&amp;M Cost'!$D7/1000000</f>
        <v>0.11607868480810439</v>
      </c>
      <c r="G33" s="123">
        <f>'Water Heater Stock'!G8*'O&amp;M Cost'!$D7/1000000</f>
        <v>0.14023192070394117</v>
      </c>
      <c r="H33" s="123">
        <f>'Water Heater Stock'!H8*'O&amp;M Cost'!$D7/1000000</f>
        <v>0.16266836157373346</v>
      </c>
      <c r="I33" s="123">
        <f>'Water Heater Stock'!I8*'O&amp;M Cost'!$D7/1000000</f>
        <v>0.18347242139910613</v>
      </c>
      <c r="J33" s="123">
        <f>'Water Heater Stock'!J8*'O&amp;M Cost'!$D7/1000000</f>
        <v>0.20270947760260596</v>
      </c>
      <c r="K33" s="123">
        <f>'Water Heater Stock'!K8*'O&amp;M Cost'!$D7/1000000</f>
        <v>0.22042541138819099</v>
      </c>
      <c r="L33" s="123">
        <f>'Water Heater Stock'!L8*'O&amp;M Cost'!$D7/1000000</f>
        <v>0.23664703998430439</v>
      </c>
      <c r="M33" s="123">
        <f>'Water Heater Stock'!M8*'O&amp;M Cost'!$D7/1000000</f>
        <v>0.2513838018915317</v>
      </c>
      <c r="N33" s="123">
        <f>'Water Heater Stock'!N8*'O&amp;M Cost'!$D7/1000000</f>
        <v>0.26463094030475948</v>
      </c>
      <c r="O33" s="123">
        <f>'Water Heater Stock'!O8*'O&amp;M Cost'!$D7/1000000</f>
        <v>0.27637421363287196</v>
      </c>
      <c r="P33" s="123">
        <f>'Water Heater Stock'!P8*'O&amp;M Cost'!$D7/1000000</f>
        <v>0.28659587004895237</v>
      </c>
      <c r="Q33" s="123">
        <f>'Water Heater Stock'!Q8*'O&amp;M Cost'!$D7/1000000</f>
        <v>0.29528131827002391</v>
      </c>
      <c r="R33" s="123">
        <f>'Water Heater Stock'!R8*'O&amp;M Cost'!$D7/1000000</f>
        <v>0.30242569834613908</v>
      </c>
      <c r="S33" s="123">
        <f>'Water Heater Stock'!S8*'O&amp;M Cost'!$D7/1000000</f>
        <v>0.30803948735695369</v>
      </c>
      <c r="T33" s="123">
        <f>'Water Heater Stock'!T8*'O&amp;M Cost'!$D7/1000000</f>
        <v>0.31215240437213765</v>
      </c>
      <c r="U33" s="123">
        <f>'Water Heater Stock'!U8*'O&amp;M Cost'!$D7/1000000</f>
        <v>0.31481517810127024</v>
      </c>
      <c r="V33" s="123">
        <f>'Water Heater Stock'!V8*'O&amp;M Cost'!$D7/1000000</f>
        <v>0.31609912175943589</v>
      </c>
      <c r="W33" s="123">
        <f>'Water Heater Stock'!W8*'O&amp;M Cost'!$D7/1000000</f>
        <v>0.31609381366835831</v>
      </c>
    </row>
    <row r="34" spans="1:23">
      <c r="A34" s="44" t="str">
        <f>'Energy Usage'!A21</f>
        <v>Instant Gas</v>
      </c>
      <c r="B34" s="123">
        <f>'Water Heater Stock'!B9*'O&amp;M Cost'!$D8/1000000</f>
        <v>0</v>
      </c>
      <c r="C34" s="123">
        <f>'Water Heater Stock'!C9*'O&amp;M Cost'!$D8/1000000</f>
        <v>1.6859610548435552E-5</v>
      </c>
      <c r="D34" s="123">
        <f>'Water Heater Stock'!D9*'O&amp;M Cost'!$D8/1000000</f>
        <v>4.9581555601057266E-5</v>
      </c>
      <c r="E34" s="123">
        <f>'Water Heater Stock'!E9*'O&amp;M Cost'!$D8/1000000</f>
        <v>1.109443465411708E-4</v>
      </c>
      <c r="F34" s="123">
        <f>'Water Heater Stock'!F9*'O&amp;M Cost'!$D8/1000000</f>
        <v>2.214914532408493E-4</v>
      </c>
      <c r="G34" s="123">
        <f>'Water Heater Stock'!G9*'O&amp;M Cost'!$D8/1000000</f>
        <v>4.1266892761722391E-4</v>
      </c>
      <c r="H34" s="123">
        <f>'Water Heater Stock'!H9*'O&amp;M Cost'!$D8/1000000</f>
        <v>7.3040855890175538E-4</v>
      </c>
      <c r="I34" s="123">
        <f>'Water Heater Stock'!I9*'O&amp;M Cost'!$D8/1000000</f>
        <v>1.238831537843017E-3</v>
      </c>
      <c r="J34" s="123">
        <f>'Water Heater Stock'!J9*'O&amp;M Cost'!$D8/1000000</f>
        <v>2.0235650451708022E-3</v>
      </c>
      <c r="K34" s="123">
        <f>'Water Heater Stock'!K9*'O&amp;M Cost'!$D8/1000000</f>
        <v>3.194000648181186E-3</v>
      </c>
      <c r="L34" s="123">
        <f>'Water Heater Stock'!L9*'O&amp;M Cost'!$D8/1000000</f>
        <v>4.8837294083545237E-3</v>
      </c>
      <c r="M34" s="123">
        <f>'Water Heater Stock'!M9*'O&amp;M Cost'!$D8/1000000</f>
        <v>7.2484245325158967E-3</v>
      </c>
      <c r="N34" s="123">
        <f>'Water Heater Stock'!N9*'O&amp;M Cost'!$D8/1000000</f>
        <v>1.0460661756601725E-2</v>
      </c>
      <c r="O34" s="123">
        <f>'Water Heater Stock'!O9*'O&amp;M Cost'!$D8/1000000</f>
        <v>1.4701589421608225E-2</v>
      </c>
      <c r="P34" s="123">
        <f>'Water Heater Stock'!P9*'O&amp;M Cost'!$D8/1000000</f>
        <v>2.0149939089857242E-2</v>
      </c>
      <c r="Q34" s="123">
        <f>'Water Heater Stock'!Q9*'O&amp;M Cost'!$D8/1000000</f>
        <v>2.696948084584631E-2</v>
      </c>
      <c r="R34" s="123">
        <f>'Water Heater Stock'!R9*'O&amp;M Cost'!$D8/1000000</f>
        <v>3.5296498018692696E-2</v>
      </c>
      <c r="S34" s="123">
        <f>'Water Heater Stock'!S9*'O&amp;M Cost'!$D8/1000000</f>
        <v>4.5229015047454461E-2</v>
      </c>
      <c r="T34" s="123">
        <f>'Water Heater Stock'!T9*'O&amp;M Cost'!$D8/1000000</f>
        <v>5.6819276371733896E-2</v>
      </c>
      <c r="U34" s="123">
        <f>'Water Heater Stock'!U9*'O&amp;M Cost'!$D8/1000000</f>
        <v>7.0070394285275173E-2</v>
      </c>
      <c r="V34" s="123">
        <f>'Water Heater Stock'!V9*'O&amp;M Cost'!$D8/1000000</f>
        <v>8.493732971750817E-2</v>
      </c>
      <c r="W34" s="123">
        <f>'Water Heater Stock'!W9*'O&amp;M Cost'!$D8/1000000</f>
        <v>0.10133165876247262</v>
      </c>
    </row>
    <row r="35" spans="1:23">
      <c r="A35" s="45" t="str">
        <f>'Energy Usage'!A22</f>
        <v>Condensing Gas</v>
      </c>
      <c r="B35" s="123">
        <f>'Water Heater Stock'!B10*'O&amp;M Cost'!$D9/1000000</f>
        <v>0</v>
      </c>
      <c r="C35" s="123">
        <f>'Water Heater Stock'!C10*'O&amp;M Cost'!$D9/1000000</f>
        <v>1.5174903565211256E-5</v>
      </c>
      <c r="D35" s="123">
        <f>'Water Heater Stock'!D10*'O&amp;M Cost'!$D9/1000000</f>
        <v>4.4568560747394459E-5</v>
      </c>
      <c r="E35" s="123">
        <f>'Water Heater Stock'!E10*'O&amp;M Cost'!$D9/1000000</f>
        <v>9.9579180968313241E-5</v>
      </c>
      <c r="F35" s="123">
        <f>'Water Heater Stock'!F10*'O&amp;M Cost'!$D9/1000000</f>
        <v>1.984827720673962E-4</v>
      </c>
      <c r="G35" s="123">
        <f>'Water Heater Stock'!G10*'O&amp;M Cost'!$D9/1000000</f>
        <v>3.6917759726706902E-4</v>
      </c>
      <c r="H35" s="123">
        <f>'Water Heater Stock'!H10*'O&amp;M Cost'!$D9/1000000</f>
        <v>6.5229595817929329E-4</v>
      </c>
      <c r="I35" s="123">
        <f>'Water Heater Stock'!I10*'O&amp;M Cost'!$D9/1000000</f>
        <v>1.1043885485327674E-3</v>
      </c>
      <c r="J35" s="123">
        <f>'Water Heater Stock'!J10*'O&amp;M Cost'!$D9/1000000</f>
        <v>1.8007285340376482E-3</v>
      </c>
      <c r="K35" s="123">
        <f>'Water Heater Stock'!K10*'O&amp;M Cost'!$D9/1000000</f>
        <v>2.8371440728578029E-3</v>
      </c>
      <c r="L35" s="123">
        <f>'Water Heater Stock'!L10*'O&amp;M Cost'!$D9/1000000</f>
        <v>4.3302136393953816E-3</v>
      </c>
      <c r="M35" s="123">
        <f>'Water Heater Stock'!M10*'O&amp;M Cost'!$D9/1000000</f>
        <v>6.4152004351197243E-3</v>
      </c>
      <c r="N35" s="123">
        <f>'Water Heater Stock'!N10*'O&amp;M Cost'!$D9/1000000</f>
        <v>9.2413053674894104E-3</v>
      </c>
      <c r="O35" s="123">
        <f>'Water Heater Stock'!O10*'O&amp;M Cost'!$D9/1000000</f>
        <v>1.2964196148768483E-2</v>
      </c>
      <c r="P35" s="123">
        <f>'Water Heater Stock'!P10*'O&amp;M Cost'!$D9/1000000</f>
        <v>1.7736279786825432E-2</v>
      </c>
      <c r="Q35" s="123">
        <f>'Water Heater Stock'!Q10*'O&amp;M Cost'!$D9/1000000</f>
        <v>2.3695716888705858E-2</v>
      </c>
      <c r="R35" s="123">
        <f>'Water Heater Stock'!R10*'O&amp;M Cost'!$D9/1000000</f>
        <v>3.0955573284191878E-2</v>
      </c>
      <c r="S35" s="123">
        <f>'Water Heater Stock'!S10*'O&amp;M Cost'!$D9/1000000</f>
        <v>3.9594622497139652E-2</v>
      </c>
      <c r="T35" s="123">
        <f>'Water Heater Stock'!T10*'O&amp;M Cost'!$D9/1000000</f>
        <v>4.9651084333426798E-2</v>
      </c>
      <c r="U35" s="123">
        <f>'Water Heater Stock'!U10*'O&amp;M Cost'!$D9/1000000</f>
        <v>6.1120061045108982E-2</v>
      </c>
      <c r="V35" s="123">
        <f>'Water Heater Stock'!V10*'O&amp;M Cost'!$D9/1000000</f>
        <v>7.3954766453360687E-2</v>
      </c>
      <c r="W35" s="123">
        <f>'Water Heater Stock'!W10*'O&amp;M Cost'!$D9/1000000</f>
        <v>8.8071025651549673E-2</v>
      </c>
    </row>
    <row r="37" spans="1:23">
      <c r="A37" s="12" t="s">
        <v>119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8" t="s">
        <v>48</v>
      </c>
      <c r="B39" s="129">
        <f t="shared" ref="B39" si="9">SUM(B40:B44)</f>
        <v>33.171042745261964</v>
      </c>
      <c r="C39" s="129">
        <f t="shared" ref="C39:W39" si="10">SUM(C40:C44)</f>
        <v>33.114442513267214</v>
      </c>
      <c r="D39" s="129">
        <f t="shared" si="10"/>
        <v>33.085736091716939</v>
      </c>
      <c r="E39" s="129">
        <f t="shared" si="10"/>
        <v>33.083315823329919</v>
      </c>
      <c r="F39" s="129">
        <f t="shared" si="10"/>
        <v>33.105508925781677</v>
      </c>
      <c r="G39" s="129">
        <f t="shared" si="10"/>
        <v>33.150506822026635</v>
      </c>
      <c r="H39" s="129">
        <f t="shared" si="10"/>
        <v>33.216282949811635</v>
      </c>
      <c r="I39" s="129">
        <f t="shared" si="10"/>
        <v>33.300504542122617</v>
      </c>
      <c r="J39" s="129">
        <f t="shared" si="10"/>
        <v>33.400447793142881</v>
      </c>
      <c r="K39" s="129">
        <f t="shared" si="10"/>
        <v>33.512929686382044</v>
      </c>
      <c r="L39" s="129">
        <f t="shared" si="10"/>
        <v>33.6342725609558</v>
      </c>
      <c r="M39" s="129">
        <f t="shared" si="10"/>
        <v>33.76031793371812</v>
      </c>
      <c r="N39" s="129">
        <f t="shared" si="10"/>
        <v>33.886502894792343</v>
      </c>
      <c r="O39" s="129">
        <f t="shared" si="10"/>
        <v>34.008004838838417</v>
      </c>
      <c r="P39" s="129">
        <f t="shared" si="10"/>
        <v>34.119948910215335</v>
      </c>
      <c r="Q39" s="129">
        <f t="shared" si="10"/>
        <v>34.217659498159328</v>
      </c>
      <c r="R39" s="129">
        <f t="shared" si="10"/>
        <v>34.2969259394537</v>
      </c>
      <c r="S39" s="129">
        <f t="shared" si="10"/>
        <v>34.354246983587785</v>
      </c>
      <c r="T39" s="129">
        <f t="shared" si="10"/>
        <v>34.387020838977051</v>
      </c>
      <c r="U39" s="129">
        <f t="shared" si="10"/>
        <v>34.39365742430018</v>
      </c>
      <c r="V39" s="129">
        <f t="shared" si="10"/>
        <v>34.373603868814641</v>
      </c>
      <c r="W39" s="129">
        <f t="shared" si="10"/>
        <v>34.327289079839439</v>
      </c>
    </row>
    <row r="40" spans="1:23" ht="16.5" thickTop="1">
      <c r="A40" s="9" t="str">
        <f>'Energy Usage'!A27</f>
        <v>Electric Resistance</v>
      </c>
      <c r="B40" s="123">
        <f>(('Energy Usage'!B18*'Retail Rates'!B$5*'Device Energy Use'!$E5+'Energy Usage'!B18*'Retail Rates'!B$6*(1-'Device Energy Use'!$E5)))/1000000</f>
        <v>33.171042745261964</v>
      </c>
      <c r="C40" s="123">
        <f>(('Energy Usage'!C18*'Retail Rates'!C$5*'Device Energy Use'!$E5+'Energy Usage'!C18*'Retail Rates'!C$6*(1-'Device Energy Use'!$E5)))/1000000</f>
        <v>32.78192218112175</v>
      </c>
      <c r="D40" s="123">
        <f>(('Energy Usage'!D18*'Retail Rates'!D$5*'Device Energy Use'!$E5+'Energy Usage'!D18*'Retail Rates'!D$6*(1-'Device Energy Use'!$E5)))/1000000</f>
        <v>32.433819272838122</v>
      </c>
      <c r="E40" s="123">
        <f>(('Energy Usage'!E18*'Retail Rates'!E$5*'Device Energy Use'!$E5+'Energy Usage'!E18*'Retail Rates'!E$6*(1-'Device Energy Use'!$E5)))/1000000</f>
        <v>32.124185000301033</v>
      </c>
      <c r="F40" s="123">
        <f>(('Energy Usage'!F18*'Retail Rates'!F$5*'Device Energy Use'!$E5+'Energy Usage'!F18*'Retail Rates'!F$6*(1-'Device Energy Use'!$E5)))/1000000</f>
        <v>31.85039496201675</v>
      </c>
      <c r="G40" s="123">
        <f>(('Energy Usage'!G18*'Retail Rates'!G$5*'Device Energy Use'!$E5+'Energy Usage'!G18*'Retail Rates'!G$6*(1-'Device Energy Use'!$E5)))/1000000</f>
        <v>31.609651522312063</v>
      </c>
      <c r="H40" s="123">
        <f>(('Energy Usage'!H18*'Retail Rates'!H$5*'Device Energy Use'!$E5+'Energy Usage'!H18*'Retail Rates'!H$6*(1-'Device Energy Use'!$E5)))/1000000</f>
        <v>31.398870461017076</v>
      </c>
      <c r="I40" s="123">
        <f>(('Energy Usage'!I18*'Retail Rates'!I$5*'Device Energy Use'!$E5+'Energy Usage'!I18*'Retail Rates'!I$6*(1-'Device Energy Use'!$E5)))/1000000</f>
        <v>31.214559799881656</v>
      </c>
      <c r="J40" s="123">
        <f>(('Energy Usage'!J18*'Retail Rates'!J$5*'Device Energy Use'!$E5+'Energy Usage'!J18*'Retail Rates'!J$6*(1-'Device Energy Use'!$E5)))/1000000</f>
        <v>31.052703848708035</v>
      </c>
      <c r="K40" s="123">
        <f>(('Energy Usage'!K18*'Retail Rates'!K$5*'Device Energy Use'!$E5+'Energy Usage'!K18*'Retail Rates'!K$6*(1-'Device Energy Use'!$E5)))/1000000</f>
        <v>30.908670761162114</v>
      </c>
      <c r="L40" s="123">
        <f>(('Energy Usage'!L18*'Retail Rates'!L$5*'Device Energy Use'!$E5+'Energy Usage'!L18*'Retail Rates'!L$6*(1-'Device Energy Use'!$E5)))/1000000</f>
        <v>30.777165635637047</v>
      </c>
      <c r="M40" s="123">
        <f>(('Energy Usage'!M18*'Retail Rates'!M$5*'Device Energy Use'!$E5+'Energy Usage'!M18*'Retail Rates'!M$6*(1-'Device Energy Use'!$E5)))/1000000</f>
        <v>30.652251669406084</v>
      </c>
      <c r="N40" s="123">
        <f>(('Energy Usage'!N18*'Retail Rates'!N$5*'Device Energy Use'!$E5+'Energy Usage'!N18*'Retail Rates'!N$6*(1-'Device Energy Use'!$E5)))/1000000</f>
        <v>30.527457333523383</v>
      </c>
      <c r="O40" s="123">
        <f>(('Energy Usage'!O18*'Retail Rates'!O$5*'Device Energy Use'!$E5+'Energy Usage'!O18*'Retail Rates'!O$6*(1-'Device Energy Use'!$E5)))/1000000</f>
        <v>30.395977040390918</v>
      </c>
      <c r="P40" s="123">
        <f>(('Energy Usage'!P18*'Retail Rates'!P$5*'Device Energy Use'!$E5+'Energy Usage'!P18*'Retail Rates'!P$6*(1-'Device Energy Use'!$E5)))/1000000</f>
        <v>30.250957094420816</v>
      </c>
      <c r="Q40" s="123">
        <f>(('Energy Usage'!Q18*'Retail Rates'!Q$5*'Device Energy Use'!$E5+'Energy Usage'!Q18*'Retail Rates'!Q$6*(1-'Device Energy Use'!$E5)))/1000000</f>
        <v>30.085840868090855</v>
      </c>
      <c r="R40" s="123">
        <f>(('Energy Usage'!R18*'Retail Rates'!R$5*'Device Energy Use'!$E5+'Energy Usage'!R18*'Retail Rates'!R$6*(1-'Device Energy Use'!$E5)))/1000000</f>
        <v>29.894731975231402</v>
      </c>
      <c r="S40" s="123">
        <f>(('Energy Usage'!S18*'Retail Rates'!S$5*'Device Energy Use'!$E5+'Energy Usage'!S18*'Retail Rates'!S$6*(1-'Device Energy Use'!$E5)))/1000000</f>
        <v>29.672726785724937</v>
      </c>
      <c r="T40" s="123">
        <f>(('Energy Usage'!T18*'Retail Rates'!T$5*'Device Energy Use'!$E5+'Energy Usage'!T18*'Retail Rates'!T$6*(1-'Device Energy Use'!$E5)))/1000000</f>
        <v>29.416171015395765</v>
      </c>
      <c r="U40" s="123">
        <f>(('Energy Usage'!U18*'Retail Rates'!U$5*'Device Energy Use'!$E5+'Energy Usage'!U18*'Retail Rates'!U$6*(1-'Device Energy Use'!$E5)))/1000000</f>
        <v>29.122808805400837</v>
      </c>
      <c r="V40" s="123">
        <f>(('Energy Usage'!V18*'Retail Rates'!V$5*'Device Energy Use'!$E5+'Energy Usage'!V18*'Retail Rates'!V$6*(1-'Device Energy Use'!$E5)))/1000000</f>
        <v>28.791812598017419</v>
      </c>
      <c r="W40" s="123">
        <f>(('Energy Usage'!W18*'Retail Rates'!W$5*'Device Energy Use'!$E5+'Energy Usage'!W18*'Retail Rates'!W$6*(1-'Device Energy Use'!$E5)))/1000000</f>
        <v>28.42370235747271</v>
      </c>
    </row>
    <row r="41" spans="1:23">
      <c r="A41" s="9" t="str">
        <f>'Energy Usage'!A28</f>
        <v>HPWH</v>
      </c>
      <c r="B41" s="123">
        <f>(('Energy Usage'!B19*'Retail Rates'!B$5*'Device Energy Use'!$E6+'Energy Usage'!B19*'Retail Rates'!B$6*(1-'Device Energy Use'!$E6)))/1000000</f>
        <v>0</v>
      </c>
      <c r="C41" s="123">
        <f>(('Energy Usage'!C19*'Retail Rates'!C$5*'Device Energy Use'!$E6+'Energy Usage'!C19*'Retail Rates'!C$6*(1-'Device Energy Use'!$E6)))/1000000</f>
        <v>1.135157271122752E-4</v>
      </c>
      <c r="D41" s="123">
        <f>(('Energy Usage'!D19*'Retail Rates'!D$5*'Device Energy Use'!$E6+'Energy Usage'!D19*'Retail Rates'!D$6*(1-'Device Energy Use'!$E6)))/1000000</f>
        <v>3.3637164773165555E-4</v>
      </c>
      <c r="E41" s="123">
        <f>(('Energy Usage'!E19*'Retail Rates'!E$5*'Device Energy Use'!$E6+'Energy Usage'!E19*'Retail Rates'!E$6*(1-'Device Energy Use'!$E6)))/1000000</f>
        <v>7.5788337861421148E-4</v>
      </c>
      <c r="F41" s="123">
        <f>(('Energy Usage'!F19*'Retail Rates'!F$5*'Device Energy Use'!$E6+'Energy Usage'!F19*'Retail Rates'!F$6*(1-'Device Energy Use'!$E6)))/1000000</f>
        <v>1.5228393295037353E-3</v>
      </c>
      <c r="G41" s="123">
        <f>(('Energy Usage'!G19*'Retail Rates'!G$5*'Device Energy Use'!$E6+'Energy Usage'!G19*'Retail Rates'!G$6*(1-'Device Energy Use'!$E6)))/1000000</f>
        <v>2.8547899697708725E-3</v>
      </c>
      <c r="H41" s="123">
        <f>(('Energy Usage'!H19*'Retail Rates'!H$5*'Device Energy Use'!$E6+'Energy Usage'!H19*'Retail Rates'!H$6*(1-'Device Energy Use'!$E6)))/1000000</f>
        <v>5.083229691838366E-3</v>
      </c>
      <c r="I41" s="123">
        <f>(('Energy Usage'!I19*'Retail Rates'!I$5*'Device Energy Use'!$E6+'Energy Usage'!I19*'Retail Rates'!I$6*(1-'Device Energy Use'!$E6)))/1000000</f>
        <v>8.6725512466365607E-3</v>
      </c>
      <c r="J41" s="123">
        <f>(('Energy Usage'!J19*'Retail Rates'!J$5*'Device Energy Use'!$E6+'Energy Usage'!J19*'Retail Rates'!J$6*(1-'Device Energy Use'!$E6)))/1000000</f>
        <v>1.424927335737383E-2</v>
      </c>
      <c r="K41" s="123">
        <f>(('Energy Usage'!K19*'Retail Rates'!K$5*'Device Energy Use'!$E6+'Energy Usage'!K19*'Retail Rates'!K$6*(1-'Device Energy Use'!$E6)))/1000000</f>
        <v>2.2622728270027394E-2</v>
      </c>
      <c r="L41" s="123">
        <f>(('Energy Usage'!L19*'Retail Rates'!L$5*'Device Energy Use'!$E6+'Energy Usage'!L19*'Retail Rates'!L$6*(1-'Device Energy Use'!$E6)))/1000000</f>
        <v>3.4793510317006303E-2</v>
      </c>
      <c r="M41" s="123">
        <f>(('Energy Usage'!M19*'Retail Rates'!M$5*'Device Energy Use'!$E6+'Energy Usage'!M19*'Retail Rates'!M$6*(1-'Device Energy Use'!$E6)))/1000000</f>
        <v>5.1943983608263598E-2</v>
      </c>
      <c r="N41" s="123">
        <f>(('Energy Usage'!N19*'Retail Rates'!N$5*'Device Energy Use'!$E6+'Energy Usage'!N19*'Retail Rates'!N$6*(1-'Device Energy Use'!$E6)))/1000000</f>
        <v>7.5406459568699652E-2</v>
      </c>
      <c r="O41" s="123">
        <f>(('Energy Usage'!O19*'Retail Rates'!O$5*'Device Energy Use'!$E6+'Energy Usage'!O19*'Retail Rates'!O$6*(1-'Device Energy Use'!$E6)))/1000000</f>
        <v>0.10660749362449765</v>
      </c>
      <c r="P41" s="123">
        <f>(('Energy Usage'!P19*'Retail Rates'!P$5*'Device Energy Use'!$E6+'Energy Usage'!P19*'Retail Rates'!P$6*(1-'Device Energy Use'!$E6)))/1000000</f>
        <v>0.14699087299886279</v>
      </c>
      <c r="Q41" s="123">
        <f>(('Energy Usage'!Q19*'Retail Rates'!Q$5*'Device Energy Use'!$E6+'Energy Usage'!Q19*'Retail Rates'!Q$6*(1-'Device Energy Use'!$E6)))/1000000</f>
        <v>0.19792645454355981</v>
      </c>
      <c r="R41" s="123">
        <f>(('Energy Usage'!R19*'Retail Rates'!R$5*'Device Energy Use'!$E6+'Energy Usage'!R19*'Retail Rates'!R$6*(1-'Device Energy Use'!$E6)))/1000000</f>
        <v>0.26061579451316719</v>
      </c>
      <c r="S41" s="123">
        <f>(('Energy Usage'!S19*'Retail Rates'!S$5*'Device Energy Use'!$E6+'Energy Usage'!S19*'Retail Rates'!S$6*(1-'Device Energy Use'!$E6)))/1000000</f>
        <v>0.33600720363176467</v>
      </c>
      <c r="T41" s="123">
        <f>(('Energy Usage'!T19*'Retail Rates'!T$5*'Device Energy Use'!$E6+'Energy Usage'!T19*'Retail Rates'!T$6*(1-'Device Energy Use'!$E6)))/1000000</f>
        <v>0.42473172431531137</v>
      </c>
      <c r="U41" s="123">
        <f>(('Energy Usage'!U19*'Retail Rates'!U$5*'Device Energy Use'!$E6+'Energy Usage'!U19*'Retail Rates'!U$6*(1-'Device Energy Use'!$E6)))/1000000</f>
        <v>0.52706777294729401</v>
      </c>
      <c r="V41" s="123">
        <f>(('Energy Usage'!V19*'Retail Rates'!V$5*'Device Energy Use'!$E6+'Energy Usage'!V19*'Retail Rates'!V$6*(1-'Device Energy Use'!$E6)))/1000000</f>
        <v>0.64293693292759968</v>
      </c>
      <c r="W41" s="123">
        <f>(('Energy Usage'!W19*'Retail Rates'!W$5*'Device Energy Use'!$E6+'Energy Usage'!W19*'Retail Rates'!W$6*(1-'Device Energy Use'!$E6)))/1000000</f>
        <v>0.77192816106916973</v>
      </c>
    </row>
    <row r="42" spans="1:23">
      <c r="A42" s="9" t="str">
        <f>'Energy Usage'!A29</f>
        <v>Gas Tank</v>
      </c>
      <c r="B42" s="123">
        <f>(('Energy Usage'!B20*'Retail Rates'!B$5*'Device Energy Use'!$E7+'Energy Usage'!B20*'Retail Rates'!B$6*(1-'Device Energy Use'!$E7)))/1000000</f>
        <v>0</v>
      </c>
      <c r="C42" s="123">
        <f>(('Energy Usage'!C20*'Retail Rates'!C$5*'Device Energy Use'!$E7+'Energy Usage'!C20*'Retail Rates'!C$6*(1-'Device Energy Use'!$E7)))/1000000</f>
        <v>0.33231310597408836</v>
      </c>
      <c r="D42" s="123">
        <f>(('Energy Usage'!D20*'Retail Rates'!D$5*'Device Energy Use'!$E7+'Energy Usage'!D20*'Retail Rates'!D$6*(1-'Device Energy Use'!$E7)))/1000000</f>
        <v>0.65130099653365281</v>
      </c>
      <c r="E42" s="123">
        <f>(('Energy Usage'!E20*'Retail Rates'!E$5*'Device Energy Use'!$E7+'Energy Usage'!E20*'Retail Rates'!E$6*(1-'Device Energy Use'!$E7)))/1000000</f>
        <v>0.95773895400923548</v>
      </c>
      <c r="F42" s="123">
        <f>(('Energy Usage'!F20*'Retail Rates'!F$5*'Device Energy Use'!$E7+'Energy Usage'!F20*'Retail Rates'!F$6*(1-'Device Energy Use'!$E7)))/1000000</f>
        <v>1.2523079613498889</v>
      </c>
      <c r="G42" s="123">
        <f>(('Energy Usage'!G20*'Retail Rates'!G$5*'Device Energy Use'!$E7+'Energy Usage'!G20*'Retail Rates'!G$6*(1-'Device Energy Use'!$E7)))/1000000</f>
        <v>1.5355769604781127</v>
      </c>
      <c r="H42" s="123">
        <f>(('Energy Usage'!H20*'Retail Rates'!H$5*'Device Energy Use'!$E7+'Energy Usage'!H20*'Retail Rates'!H$6*(1-'Device Energy Use'!$E7)))/1000000</f>
        <v>1.8079809060740684</v>
      </c>
      <c r="I42" s="123">
        <f>(('Energy Usage'!I20*'Retail Rates'!I$5*'Device Energy Use'!$E7+'Energy Usage'!I20*'Retail Rates'!I$6*(1-'Device Energy Use'!$E7)))/1000000</f>
        <v>2.0697961849720681</v>
      </c>
      <c r="J42" s="123">
        <f>(('Energy Usage'!J20*'Retail Rates'!J$5*'Device Energy Use'!$E7+'Energy Usage'!J20*'Retail Rates'!J$6*(1-'Device Energy Use'!$E7)))/1000000</f>
        <v>2.3211162184652068</v>
      </c>
      <c r="K42" s="123">
        <f>(('Energy Usage'!K20*'Retail Rates'!K$5*'Device Energy Use'!$E7+'Energy Usage'!K20*'Retail Rates'!K$6*(1-'Device Energy Use'!$E7)))/1000000</f>
        <v>2.5618313383110616</v>
      </c>
      <c r="L42" s="123">
        <f>(('Energy Usage'!L20*'Retail Rates'!L$5*'Device Energy Use'!$E7+'Energy Usage'!L20*'Retail Rates'!L$6*(1-'Device Energy Use'!$E7)))/1000000</f>
        <v>2.7916180186408543</v>
      </c>
      <c r="M42" s="123">
        <f>(('Energy Usage'!M20*'Retail Rates'!M$5*'Device Energy Use'!$E7+'Energy Usage'!M20*'Retail Rates'!M$6*(1-'Device Energy Use'!$E7)))/1000000</f>
        <v>3.0099428425828108</v>
      </c>
      <c r="N42" s="123">
        <f>(('Energy Usage'!N20*'Retail Rates'!N$5*'Device Energy Use'!$E7+'Energy Usage'!N20*'Retail Rates'!N$6*(1-'Device Energy Use'!$E7)))/1000000</f>
        <v>3.2160857568522152</v>
      </c>
      <c r="O42" s="123">
        <f>(('Energy Usage'!O20*'Retail Rates'!O$5*'Device Energy Use'!$E7+'Energy Usage'!O20*'Retail Rates'!O$6*(1-'Device Energy Use'!$E7)))/1000000</f>
        <v>3.4091849523238591</v>
      </c>
      <c r="P42" s="123">
        <f>(('Energy Usage'!P20*'Retail Rates'!P$5*'Device Energy Use'!$E7+'Energy Usage'!P20*'Retail Rates'!P$6*(1-'Device Energy Use'!$E7)))/1000000</f>
        <v>3.5883022133170299</v>
      </c>
      <c r="Q42" s="123">
        <f>(('Energy Usage'!Q20*'Retail Rates'!Q$5*'Device Energy Use'!$E7+'Energy Usage'!Q20*'Retail Rates'!Q$6*(1-'Device Energy Use'!$E7)))/1000000</f>
        <v>3.7525034357065077</v>
      </c>
      <c r="R42" s="123">
        <f>(('Energy Usage'!R20*'Retail Rates'!R$5*'Device Energy Use'!$E7+'Energy Usage'!R20*'Retail Rates'!R$6*(1-'Device Energy Use'!$E7)))/1000000</f>
        <v>3.9009453118121939</v>
      </c>
      <c r="S42" s="123">
        <f>(('Energy Usage'!S20*'Retail Rates'!S$5*'Device Energy Use'!$E7+'Energy Usage'!S20*'Retail Rates'!S$6*(1-'Device Energy Use'!$E7)))/1000000</f>
        <v>4.0329571152152814</v>
      </c>
      <c r="T42" s="123">
        <f>(('Energy Usage'!T20*'Retail Rates'!T$5*'Device Energy Use'!$E7+'Energy Usage'!T20*'Retail Rates'!T$6*(1-'Device Energy Use'!$E7)))/1000000</f>
        <v>4.148106887566497</v>
      </c>
      <c r="U42" s="123">
        <f>(('Energy Usage'!U20*'Retail Rates'!U$5*'Device Energy Use'!$E7+'Energy Usage'!U20*'Retail Rates'!U$6*(1-'Device Energy Use'!$E7)))/1000000</f>
        <v>4.2462441267665225</v>
      </c>
      <c r="V42" s="123">
        <f>(('Energy Usage'!V20*'Retail Rates'!V$5*'Device Energy Use'!$E7+'Energy Usage'!V20*'Retail Rates'!V$6*(1-'Device Energy Use'!$E7)))/1000000</f>
        <v>4.3275154586019271</v>
      </c>
      <c r="W42" s="123">
        <f>(('Energy Usage'!W20*'Retail Rates'!W$5*'Device Energy Use'!$E7+'Energy Usage'!W20*'Retail Rates'!W$6*(1-'Device Energy Use'!$E7)))/1000000</f>
        <v>4.3923544306781546</v>
      </c>
    </row>
    <row r="43" spans="1:23">
      <c r="A43" s="9" t="str">
        <f>'Energy Usage'!A30</f>
        <v>Instant Gas</v>
      </c>
      <c r="B43" s="123">
        <f>(('Energy Usage'!B21*'Retail Rates'!B$5*'Device Energy Use'!$E8+'Energy Usage'!B21*'Retail Rates'!B$6*(1-'Device Energy Use'!$E8)))/1000000</f>
        <v>0</v>
      </c>
      <c r="C43" s="123">
        <f>(('Energy Usage'!C21*'Retail Rates'!C$5*'Device Energy Use'!$E8+'Energy Usage'!C21*'Retail Rates'!C$6*(1-'Device Energy Use'!$E8)))/1000000</f>
        <v>2.4402941593689538E-5</v>
      </c>
      <c r="D43" s="123">
        <f>(('Energy Usage'!D21*'Retail Rates'!D$5*'Device Energy Use'!$E8+'Energy Usage'!D21*'Retail Rates'!D$6*(1-'Device Energy Use'!$E8)))/1000000</f>
        <v>7.2841827455657381E-5</v>
      </c>
      <c r="E43" s="123">
        <f>(('Energy Usage'!E21*'Retail Rates'!E$5*'Device Energy Use'!$E8+'Energy Usage'!E21*'Retail Rates'!E$6*(1-'Device Energy Use'!$E8)))/1000000</f>
        <v>1.6543671699515417E-4</v>
      </c>
      <c r="F43" s="123">
        <f>(('Energy Usage'!F21*'Retail Rates'!F$5*'Device Energy Use'!$E8+'Energy Usage'!F21*'Retail Rates'!F$6*(1-'Device Energy Use'!$E8)))/1000000</f>
        <v>3.3523529868058376E-4</v>
      </c>
      <c r="G43" s="123">
        <f>(('Energy Usage'!G21*'Retail Rates'!G$5*'Device Energy Use'!$E8+'Energy Usage'!G21*'Retail Rates'!G$6*(1-'Device Energy Use'!$E8)))/1000000</f>
        <v>6.3395813707248195E-4</v>
      </c>
      <c r="H43" s="123">
        <f>(('Energy Usage'!H21*'Retail Rates'!H$5*'Device Energy Use'!$E8+'Energy Usage'!H21*'Retail Rates'!H$6*(1-'Device Energy Use'!$E8)))/1000000</f>
        <v>1.1389134111852712E-3</v>
      </c>
      <c r="I43" s="123">
        <f>(('Energy Usage'!I21*'Retail Rates'!I$5*'Device Energy Use'!$E8+'Energy Usage'!I21*'Retail Rates'!I$6*(1-'Device Energy Use'!$E8)))/1000000</f>
        <v>1.9606638818577163E-3</v>
      </c>
      <c r="J43" s="123">
        <f>(('Energy Usage'!J21*'Retail Rates'!J$5*'Device Energy Use'!$E8+'Energy Usage'!J21*'Retail Rates'!J$6*(1-'Device Energy Use'!$E8)))/1000000</f>
        <v>3.2506791578116199E-3</v>
      </c>
      <c r="K43" s="123">
        <f>(('Energy Usage'!K21*'Retail Rates'!K$5*'Device Energy Use'!$E8+'Energy Usage'!K21*'Retail Rates'!K$6*(1-'Device Energy Use'!$E8)))/1000000</f>
        <v>5.2078441621065188E-3</v>
      </c>
      <c r="L43" s="123">
        <f>(('Energy Usage'!L21*'Retail Rates'!L$5*'Device Energy Use'!$E8+'Energy Usage'!L21*'Retail Rates'!L$6*(1-'Device Energy Use'!$E8)))/1000000</f>
        <v>8.0824051268231657E-3</v>
      </c>
      <c r="M43" s="123">
        <f>(('Energy Usage'!M21*'Retail Rates'!M$5*'Device Energy Use'!$E8+'Energy Usage'!M21*'Retail Rates'!M$6*(1-'Device Energy Use'!$E8)))/1000000</f>
        <v>1.217583309495382E-2</v>
      </c>
      <c r="N43" s="123">
        <f>(('Energy Usage'!N21*'Retail Rates'!N$5*'Device Energy Use'!$E8+'Energy Usage'!N21*'Retail Rates'!N$6*(1-'Device Energy Use'!$E8)))/1000000</f>
        <v>1.7835293739403051E-2</v>
      </c>
      <c r="O43" s="123">
        <f>(('Energy Usage'!O21*'Retail Rates'!O$5*'Device Energy Use'!$E8+'Energy Usage'!O21*'Retail Rates'!O$6*(1-'Device Energy Use'!$E8)))/1000000</f>
        <v>2.5442011169998814E-2</v>
      </c>
      <c r="P43" s="123">
        <f>(('Energy Usage'!P21*'Retail Rates'!P$5*'Device Energy Use'!$E8+'Energy Usage'!P21*'Retail Rates'!P$6*(1-'Device Energy Use'!$E8)))/1000000</f>
        <v>3.5393778530172469E-2</v>
      </c>
      <c r="Q43" s="123">
        <f>(('Energy Usage'!Q21*'Retail Rates'!Q$5*'Device Energy Use'!$E8+'Energy Usage'!Q21*'Retail Rates'!Q$6*(1-'Device Energy Use'!$E8)))/1000000</f>
        <v>4.8083029198896253E-2</v>
      </c>
      <c r="R43" s="123">
        <f>(('Energy Usage'!R21*'Retail Rates'!R$5*'Device Energy Use'!$E8+'Energy Usage'!R21*'Retail Rates'!R$6*(1-'Device Energy Use'!$E8)))/1000000</f>
        <v>6.3872938187820805E-2</v>
      </c>
      <c r="S43" s="123">
        <f>(('Energy Usage'!S21*'Retail Rates'!S$5*'Device Energy Use'!$E8+'Energy Usage'!S21*'Retail Rates'!S$6*(1-'Device Energy Use'!$E8)))/1000000</f>
        <v>8.3074636245939124E-2</v>
      </c>
      <c r="T43" s="123">
        <f>(('Energy Usage'!T21*'Retail Rates'!T$5*'Device Energy Use'!$E8+'Energy Usage'!T21*'Retail Rates'!T$6*(1-'Device Energy Use'!$E8)))/1000000</f>
        <v>0.10592855763181186</v>
      </c>
      <c r="U43" s="123">
        <f>(('Energy Usage'!U21*'Retail Rates'!U$5*'Device Energy Use'!$E8+'Energy Usage'!U21*'Retail Rates'!U$6*(1-'Device Energy Use'!$E8)))/1000000</f>
        <v>0.13259219612429607</v>
      </c>
      <c r="V43" s="123">
        <f>(('Energy Usage'!V21*'Retail Rates'!V$5*'Device Energy Use'!$E8+'Energy Usage'!V21*'Retail Rates'!V$6*(1-'Device Energy Use'!$E8)))/1000000</f>
        <v>0.16313533844039821</v>
      </c>
      <c r="W43" s="123">
        <f>(('Energy Usage'!W21*'Retail Rates'!W$5*'Device Energy Use'!$E8+'Energy Usage'!W21*'Retail Rates'!W$6*(1-'Device Energy Use'!$E8)))/1000000</f>
        <v>0.19754254247750916</v>
      </c>
    </row>
    <row r="44" spans="1:23">
      <c r="A44" s="9" t="str">
        <f>'Energy Usage'!A31</f>
        <v>Condensing Gas</v>
      </c>
      <c r="B44" s="123">
        <f>(('Energy Usage'!B22*'Retail Rates'!B$5*'Device Energy Use'!$E9+'Energy Usage'!B22*'Retail Rates'!B$6*(1-'Device Energy Use'!$E9)))/1000000</f>
        <v>0</v>
      </c>
      <c r="C44" s="123">
        <f>(('Energy Usage'!C22*'Retail Rates'!C$5*'Device Energy Use'!$E9+'Energy Usage'!C22*'Retail Rates'!C$6*(1-'Device Energy Use'!$E9)))/1000000</f>
        <v>6.9307502670329927E-5</v>
      </c>
      <c r="D44" s="123">
        <f>(('Energy Usage'!D22*'Retail Rates'!D$5*'Device Energy Use'!$E9+'Energy Usage'!D22*'Retail Rates'!D$6*(1-'Device Energy Use'!$E9)))/1000000</f>
        <v>2.0660886997961935E-4</v>
      </c>
      <c r="E44" s="123">
        <f>(('Energy Usage'!E22*'Retail Rates'!E$5*'Device Energy Use'!$E9+'Energy Usage'!E22*'Retail Rates'!E$6*(1-'Device Energy Use'!$E9)))/1000000</f>
        <v>4.6854892403902509E-4</v>
      </c>
      <c r="F44" s="123">
        <f>(('Energy Usage'!F22*'Retail Rates'!F$5*'Device Energy Use'!$E9+'Energy Usage'!F22*'Retail Rates'!F$6*(1-'Device Energy Use'!$E9)))/1000000</f>
        <v>9.4792778685220578E-4</v>
      </c>
      <c r="G44" s="123">
        <f>(('Energy Usage'!G22*'Retail Rates'!G$5*'Device Energy Use'!$E9+'Energy Usage'!G22*'Retail Rates'!G$6*(1-'Device Energy Use'!$E9)))/1000000</f>
        <v>1.7895911296178788E-3</v>
      </c>
      <c r="H44" s="123">
        <f>(('Energy Usage'!H22*'Retail Rates'!H$5*'Device Energy Use'!$E9+'Energy Usage'!H22*'Retail Rates'!H$6*(1-'Device Energy Use'!$E9)))/1000000</f>
        <v>3.2094396174743097E-3</v>
      </c>
      <c r="I44" s="123">
        <f>(('Energy Usage'!I22*'Retail Rates'!I$5*'Device Energy Use'!$E9+'Energy Usage'!I22*'Retail Rates'!I$6*(1-'Device Energy Use'!$E9)))/1000000</f>
        <v>5.5153421403974718E-3</v>
      </c>
      <c r="J44" s="123">
        <f>(('Energy Usage'!J22*'Retail Rates'!J$5*'Device Energy Use'!$E9+'Energy Usage'!J22*'Retail Rates'!J$6*(1-'Device Energy Use'!$E9)))/1000000</f>
        <v>9.1277734544553887E-3</v>
      </c>
      <c r="K44" s="123">
        <f>(('Energy Usage'!K22*'Retail Rates'!K$5*'Device Energy Use'!$E9+'Energy Usage'!K22*'Retail Rates'!K$6*(1-'Device Energy Use'!$E9)))/1000000</f>
        <v>1.4597014476735004E-2</v>
      </c>
      <c r="L44" s="123">
        <f>(('Energy Usage'!L22*'Retail Rates'!L$5*'Device Energy Use'!$E9+'Energy Usage'!L22*'Retail Rates'!L$6*(1-'Device Energy Use'!$E9)))/1000000</f>
        <v>2.2612991234072375E-2</v>
      </c>
      <c r="M44" s="123">
        <f>(('Energy Usage'!M22*'Retail Rates'!M$5*'Device Energy Use'!$E9+'Energy Usage'!M22*'Retail Rates'!M$6*(1-'Device Energy Use'!$E9)))/1000000</f>
        <v>3.400360502601011E-2</v>
      </c>
      <c r="N44" s="123">
        <f>(('Energy Usage'!N22*'Retail Rates'!N$5*'Device Energy Use'!$E9+'Energy Usage'!N22*'Retail Rates'!N$6*(1-'Device Energy Use'!$E9)))/1000000</f>
        <v>4.9718051108642795E-2</v>
      </c>
      <c r="O44" s="123">
        <f>(('Energy Usage'!O22*'Retail Rates'!O$5*'Device Energy Use'!$E9+'Energy Usage'!O22*'Retail Rates'!O$6*(1-'Device Energy Use'!$E9)))/1000000</f>
        <v>7.0793341329145859E-2</v>
      </c>
      <c r="P44" s="123">
        <f>(('Energy Usage'!P22*'Retail Rates'!P$5*'Device Energy Use'!$E9+'Energy Usage'!P22*'Retail Rates'!P$6*(1-'Device Energy Use'!$E9)))/1000000</f>
        <v>9.8304950948454817E-2</v>
      </c>
      <c r="Q44" s="123">
        <f>(('Energy Usage'!Q22*'Retail Rates'!Q$5*'Device Energy Use'!$E9+'Energy Usage'!Q22*'Retail Rates'!Q$6*(1-'Device Energy Use'!$E9)))/1000000</f>
        <v>0.13330571061950866</v>
      </c>
      <c r="R44" s="123">
        <f>(('Energy Usage'!R22*'Retail Rates'!R$5*'Device Energy Use'!$E9+'Energy Usage'!R22*'Retail Rates'!R$6*(1-'Device Energy Use'!$E9)))/1000000</f>
        <v>0.17675991970912178</v>
      </c>
      <c r="S44" s="123">
        <f>(('Energy Usage'!S22*'Retail Rates'!S$5*'Device Energy Use'!$E9+'Energy Usage'!S22*'Retail Rates'!S$6*(1-'Device Energy Use'!$E9)))/1000000</f>
        <v>0.22948124276986556</v>
      </c>
      <c r="T44" s="123">
        <f>(('Energy Usage'!T22*'Retail Rates'!T$5*'Device Energy Use'!$E9+'Energy Usage'!T22*'Retail Rates'!T$6*(1-'Device Energy Use'!$E9)))/1000000</f>
        <v>0.29208265406766371</v>
      </c>
      <c r="U44" s="123">
        <f>(('Energy Usage'!U22*'Retail Rates'!U$5*'Device Energy Use'!$E9+'Energy Usage'!U22*'Retail Rates'!U$6*(1-'Device Energy Use'!$E9)))/1000000</f>
        <v>0.36494452306123393</v>
      </c>
      <c r="V44" s="123">
        <f>(('Energy Usage'!V22*'Retail Rates'!V$5*'Device Energy Use'!$E9+'Energy Usage'!V22*'Retail Rates'!V$6*(1-'Device Energy Use'!$E9)))/1000000</f>
        <v>0.44820354082729152</v>
      </c>
      <c r="W44" s="123">
        <f>(('Energy Usage'!W22*'Retail Rates'!W$5*'Device Energy Use'!$E9+'Energy Usage'!W22*'Retail Rates'!W$6*(1-'Device Energy Use'!$E9)))/1000000</f>
        <v>0.54176158814189357</v>
      </c>
    </row>
    <row r="47" spans="1:23">
      <c r="A47" s="12" t="s">
        <v>120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8" t="str">
        <f t="shared" ref="A49:A54" si="12">A58</f>
        <v>Total</v>
      </c>
      <c r="B49" s="129">
        <f t="shared" ref="B49:W49" si="13">SUM(B50:B54)</f>
        <v>33.599760564915115</v>
      </c>
      <c r="C49" s="129">
        <f t="shared" si="13"/>
        <v>37.931380845043684</v>
      </c>
      <c r="D49" s="129">
        <f t="shared" si="13"/>
        <v>37.070141358229478</v>
      </c>
      <c r="E49" s="129">
        <f t="shared" si="13"/>
        <v>36.275853508408922</v>
      </c>
      <c r="F49" s="129">
        <f t="shared" si="13"/>
        <v>35.544744471850201</v>
      </c>
      <c r="G49" s="129">
        <f t="shared" si="13"/>
        <v>34.873269611147961</v>
      </c>
      <c r="H49" s="129">
        <f t="shared" si="13"/>
        <v>34.258098985389864</v>
      </c>
      <c r="I49" s="129">
        <f t="shared" si="13"/>
        <v>33.696104657992436</v>
      </c>
      <c r="J49" s="129">
        <f t="shared" si="13"/>
        <v>33.184348755348807</v>
      </c>
      <c r="K49" s="129">
        <f t="shared" si="13"/>
        <v>32.720072232166196</v>
      </c>
      <c r="L49" s="129">
        <f t="shared" si="13"/>
        <v>32.300684301948422</v>
      </c>
      <c r="M49" s="129">
        <f t="shared" si="13"/>
        <v>31.923752493506381</v>
      </c>
      <c r="N49" s="129">
        <f t="shared" si="13"/>
        <v>31.586993296666318</v>
      </c>
      <c r="O49" s="129">
        <f t="shared" si="13"/>
        <v>31.288263362500313</v>
      </c>
      <c r="P49" s="129">
        <f t="shared" si="13"/>
        <v>31.025551225432373</v>
      </c>
      <c r="Q49" s="129">
        <f t="shared" si="13"/>
        <v>30.796969516485326</v>
      </c>
      <c r="R49" s="129">
        <f t="shared" si="13"/>
        <v>30.600747638733719</v>
      </c>
      <c r="S49" s="129">
        <f t="shared" si="13"/>
        <v>30.435224877723762</v>
      </c>
      <c r="T49" s="129">
        <f t="shared" si="13"/>
        <v>30.298843921218378</v>
      </c>
      <c r="U49" s="129">
        <f t="shared" si="13"/>
        <v>30.190144764129375</v>
      </c>
      <c r="V49" s="129">
        <f t="shared" si="13"/>
        <v>30.107758975915274</v>
      </c>
      <c r="W49" s="129">
        <f t="shared" si="13"/>
        <v>30.050404309057271</v>
      </c>
    </row>
    <row r="50" spans="1:23" ht="16.5" thickTop="1">
      <c r="A50" s="9" t="str">
        <f t="shared" si="12"/>
        <v>Electric Resistance</v>
      </c>
      <c r="B50" s="123">
        <f t="shared" ref="B50:W50" si="14">B59+B68+B77</f>
        <v>33.599760564915115</v>
      </c>
      <c r="C50" s="123">
        <f t="shared" si="14"/>
        <v>31.600199540560414</v>
      </c>
      <c r="D50" s="123">
        <f t="shared" si="14"/>
        <v>29.719696405332563</v>
      </c>
      <c r="E50" s="123">
        <f t="shared" si="14"/>
        <v>27.951157818830353</v>
      </c>
      <c r="F50" s="123">
        <f t="shared" si="14"/>
        <v>26.287913367091232</v>
      </c>
      <c r="G50" s="123">
        <f t="shared" si="14"/>
        <v>24.723690324170647</v>
      </c>
      <c r="H50" s="123">
        <f t="shared" si="14"/>
        <v>23.252589921424423</v>
      </c>
      <c r="I50" s="123">
        <f t="shared" si="14"/>
        <v>21.869065034313959</v>
      </c>
      <c r="J50" s="123">
        <f t="shared" si="14"/>
        <v>20.567899201955978</v>
      </c>
      <c r="K50" s="123">
        <f t="shared" si="14"/>
        <v>19.344186899716107</v>
      </c>
      <c r="L50" s="123">
        <f t="shared" si="14"/>
        <v>18.193314989919049</v>
      </c>
      <c r="M50" s="123">
        <f t="shared" si="14"/>
        <v>17.110945280234613</v>
      </c>
      <c r="N50" s="123">
        <f t="shared" si="14"/>
        <v>16.09299812351664</v>
      </c>
      <c r="O50" s="123">
        <f t="shared" si="14"/>
        <v>15.135636996836602</v>
      </c>
      <c r="P50" s="123">
        <f t="shared" si="14"/>
        <v>14.235254001180406</v>
      </c>
      <c r="Q50" s="123">
        <f t="shared" si="14"/>
        <v>13.38845622678074</v>
      </c>
      <c r="R50" s="123">
        <f t="shared" si="14"/>
        <v>12.592052932350359</v>
      </c>
      <c r="S50" s="123">
        <f t="shared" si="14"/>
        <v>11.84304348957801</v>
      </c>
      <c r="T50" s="123">
        <f t="shared" si="14"/>
        <v>11.138606047158939</v>
      </c>
      <c r="U50" s="123">
        <f t="shared" si="14"/>
        <v>10.476086871368089</v>
      </c>
      <c r="V50" s="123">
        <f t="shared" si="14"/>
        <v>9.8529903227559803</v>
      </c>
      <c r="W50" s="123">
        <f t="shared" si="14"/>
        <v>9.2669694309653856</v>
      </c>
    </row>
    <row r="51" spans="1:23">
      <c r="A51" s="9" t="str">
        <f t="shared" si="12"/>
        <v>HPWH</v>
      </c>
      <c r="B51" s="123">
        <f t="shared" ref="B51:W51" si="15">B60+B69+B78</f>
        <v>0</v>
      </c>
      <c r="C51" s="123">
        <f t="shared" si="15"/>
        <v>0</v>
      </c>
      <c r="D51" s="123">
        <f t="shared" si="15"/>
        <v>0</v>
      </c>
      <c r="E51" s="123">
        <f t="shared" si="15"/>
        <v>0</v>
      </c>
      <c r="F51" s="123">
        <f t="shared" si="15"/>
        <v>0</v>
      </c>
      <c r="G51" s="123">
        <f t="shared" si="15"/>
        <v>0</v>
      </c>
      <c r="H51" s="123">
        <f t="shared" si="15"/>
        <v>0</v>
      </c>
      <c r="I51" s="123">
        <f t="shared" si="15"/>
        <v>0</v>
      </c>
      <c r="J51" s="123">
        <f t="shared" si="15"/>
        <v>0</v>
      </c>
      <c r="K51" s="123">
        <f t="shared" si="15"/>
        <v>0</v>
      </c>
      <c r="L51" s="123">
        <f t="shared" si="15"/>
        <v>0</v>
      </c>
      <c r="M51" s="123">
        <f t="shared" si="15"/>
        <v>0</v>
      </c>
      <c r="N51" s="123">
        <f t="shared" si="15"/>
        <v>0</v>
      </c>
      <c r="O51" s="123">
        <f t="shared" si="15"/>
        <v>0</v>
      </c>
      <c r="P51" s="123">
        <f t="shared" si="15"/>
        <v>0</v>
      </c>
      <c r="Q51" s="123">
        <f t="shared" si="15"/>
        <v>0</v>
      </c>
      <c r="R51" s="123">
        <f t="shared" si="15"/>
        <v>0</v>
      </c>
      <c r="S51" s="123">
        <f t="shared" si="15"/>
        <v>0</v>
      </c>
      <c r="T51" s="123">
        <f t="shared" si="15"/>
        <v>0</v>
      </c>
      <c r="U51" s="123">
        <f t="shared" si="15"/>
        <v>0</v>
      </c>
      <c r="V51" s="123">
        <f t="shared" si="15"/>
        <v>0</v>
      </c>
      <c r="W51" s="123">
        <f t="shared" si="15"/>
        <v>0</v>
      </c>
    </row>
    <row r="52" spans="1:23">
      <c r="A52" s="9" t="str">
        <f t="shared" si="12"/>
        <v>Gas Tank</v>
      </c>
      <c r="B52" s="123">
        <f t="shared" ref="B52:W52" si="16">B61+B70+B79</f>
        <v>0</v>
      </c>
      <c r="C52" s="123">
        <f t="shared" si="16"/>
        <v>6.3311813044832714</v>
      </c>
      <c r="D52" s="123">
        <f t="shared" si="16"/>
        <v>7.3504449528969173</v>
      </c>
      <c r="E52" s="123">
        <f t="shared" si="16"/>
        <v>8.3246956895785686</v>
      </c>
      <c r="F52" s="123">
        <f t="shared" si="16"/>
        <v>9.2568311047589713</v>
      </c>
      <c r="G52" s="123">
        <f t="shared" si="16"/>
        <v>10.149579286977316</v>
      </c>
      <c r="H52" s="123">
        <f t="shared" si="16"/>
        <v>11.005509063965441</v>
      </c>
      <c r="I52" s="123">
        <f t="shared" si="16"/>
        <v>11.827039623678473</v>
      </c>
      <c r="J52" s="123">
        <f t="shared" si="16"/>
        <v>12.616449553392831</v>
      </c>
      <c r="K52" s="123">
        <f t="shared" si="16"/>
        <v>13.375885332450089</v>
      </c>
      <c r="L52" s="123">
        <f t="shared" si="16"/>
        <v>14.107369312029375</v>
      </c>
      <c r="M52" s="123">
        <f t="shared" si="16"/>
        <v>14.812807213271768</v>
      </c>
      <c r="N52" s="123">
        <f t="shared" si="16"/>
        <v>15.493995173149678</v>
      </c>
      <c r="O52" s="123">
        <f t="shared" si="16"/>
        <v>16.152626365663711</v>
      </c>
      <c r="P52" s="123">
        <f t="shared" si="16"/>
        <v>16.790297224251965</v>
      </c>
      <c r="Q52" s="123">
        <f t="shared" si="16"/>
        <v>17.408513289704587</v>
      </c>
      <c r="R52" s="123">
        <f t="shared" si="16"/>
        <v>18.008694706383359</v>
      </c>
      <c r="S52" s="123">
        <f t="shared" si="16"/>
        <v>18.59218138814575</v>
      </c>
      <c r="T52" s="123">
        <f t="shared" si="16"/>
        <v>19.160237874059437</v>
      </c>
      <c r="U52" s="123">
        <f t="shared" si="16"/>
        <v>19.714057892761286</v>
      </c>
      <c r="V52" s="123">
        <f t="shared" si="16"/>
        <v>20.254768653159292</v>
      </c>
      <c r="W52" s="123">
        <f t="shared" si="16"/>
        <v>20.783434878091885</v>
      </c>
    </row>
    <row r="53" spans="1:23">
      <c r="A53" s="9" t="str">
        <f t="shared" si="12"/>
        <v>Instant Gas</v>
      </c>
      <c r="B53" s="123">
        <f t="shared" ref="B53:W53" si="17">B62+B71+B80</f>
        <v>0</v>
      </c>
      <c r="C53" s="123">
        <f t="shared" si="17"/>
        <v>0</v>
      </c>
      <c r="D53" s="123">
        <f t="shared" si="17"/>
        <v>0</v>
      </c>
      <c r="E53" s="123">
        <f t="shared" si="17"/>
        <v>0</v>
      </c>
      <c r="F53" s="123">
        <f t="shared" si="17"/>
        <v>0</v>
      </c>
      <c r="G53" s="123">
        <f t="shared" si="17"/>
        <v>0</v>
      </c>
      <c r="H53" s="123">
        <f t="shared" si="17"/>
        <v>0</v>
      </c>
      <c r="I53" s="123">
        <f t="shared" si="17"/>
        <v>0</v>
      </c>
      <c r="J53" s="123">
        <f t="shared" si="17"/>
        <v>0</v>
      </c>
      <c r="K53" s="123">
        <f t="shared" si="17"/>
        <v>0</v>
      </c>
      <c r="L53" s="123">
        <f t="shared" si="17"/>
        <v>0</v>
      </c>
      <c r="M53" s="123">
        <f t="shared" si="17"/>
        <v>0</v>
      </c>
      <c r="N53" s="123">
        <f t="shared" si="17"/>
        <v>0</v>
      </c>
      <c r="O53" s="123">
        <f t="shared" si="17"/>
        <v>0</v>
      </c>
      <c r="P53" s="123">
        <f t="shared" si="17"/>
        <v>0</v>
      </c>
      <c r="Q53" s="123">
        <f t="shared" si="17"/>
        <v>0</v>
      </c>
      <c r="R53" s="123">
        <f t="shared" si="17"/>
        <v>0</v>
      </c>
      <c r="S53" s="123">
        <f t="shared" si="17"/>
        <v>0</v>
      </c>
      <c r="T53" s="123">
        <f t="shared" si="17"/>
        <v>0</v>
      </c>
      <c r="U53" s="123">
        <f t="shared" si="17"/>
        <v>0</v>
      </c>
      <c r="V53" s="123">
        <f t="shared" si="17"/>
        <v>0</v>
      </c>
      <c r="W53" s="123">
        <f t="shared" si="17"/>
        <v>0</v>
      </c>
    </row>
    <row r="54" spans="1:23">
      <c r="A54" s="9" t="str">
        <f t="shared" si="12"/>
        <v>Condensing Gas</v>
      </c>
      <c r="B54" s="123">
        <f t="shared" ref="B54:W54" si="18">B63+B72+B81</f>
        <v>0</v>
      </c>
      <c r="C54" s="123">
        <f t="shared" si="18"/>
        <v>0</v>
      </c>
      <c r="D54" s="123">
        <f t="shared" si="18"/>
        <v>0</v>
      </c>
      <c r="E54" s="123">
        <f t="shared" si="18"/>
        <v>0</v>
      </c>
      <c r="F54" s="123">
        <f t="shared" si="18"/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  <c r="T54" s="123">
        <f t="shared" si="18"/>
        <v>0</v>
      </c>
      <c r="U54" s="123">
        <f t="shared" si="18"/>
        <v>0</v>
      </c>
      <c r="V54" s="123">
        <f t="shared" si="18"/>
        <v>0</v>
      </c>
      <c r="W54" s="123">
        <f t="shared" si="18"/>
        <v>0</v>
      </c>
    </row>
    <row r="55" spans="1:23">
      <c r="A55" s="12"/>
    </row>
    <row r="56" spans="1:23">
      <c r="A56" s="12" t="s">
        <v>121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8" t="s">
        <v>48</v>
      </c>
      <c r="B58" s="129">
        <f t="shared" ref="B58" si="19">SUM(B59:B63)</f>
        <v>0</v>
      </c>
      <c r="C58" s="129">
        <f t="shared" ref="C58:D58" si="20">SUM(C59:C63)</f>
        <v>5.2638267512582724</v>
      </c>
      <c r="D58" s="129">
        <f t="shared" si="20"/>
        <v>5.2638267512582724</v>
      </c>
      <c r="E58" s="129">
        <f t="shared" ref="E58:W58" si="21">SUM(E59:E63)</f>
        <v>5.2638267512582724</v>
      </c>
      <c r="F58" s="129">
        <f t="shared" si="21"/>
        <v>5.2638267512582724</v>
      </c>
      <c r="G58" s="129">
        <f t="shared" si="21"/>
        <v>5.2638267512582724</v>
      </c>
      <c r="H58" s="129">
        <f t="shared" si="21"/>
        <v>5.2638267512582724</v>
      </c>
      <c r="I58" s="129">
        <f t="shared" si="21"/>
        <v>5.2638267512582724</v>
      </c>
      <c r="J58" s="129">
        <f t="shared" si="21"/>
        <v>5.2638267512582724</v>
      </c>
      <c r="K58" s="129">
        <f t="shared" si="21"/>
        <v>5.2638267512582724</v>
      </c>
      <c r="L58" s="129">
        <f t="shared" si="21"/>
        <v>5.2638267512582733</v>
      </c>
      <c r="M58" s="129">
        <f t="shared" si="21"/>
        <v>5.2638267512582733</v>
      </c>
      <c r="N58" s="129">
        <f t="shared" si="21"/>
        <v>5.2638267512582724</v>
      </c>
      <c r="O58" s="129">
        <f t="shared" si="21"/>
        <v>5.2638267512582733</v>
      </c>
      <c r="P58" s="129">
        <f t="shared" si="21"/>
        <v>5.2638267512582724</v>
      </c>
      <c r="Q58" s="129">
        <f t="shared" si="21"/>
        <v>5.2638267512582724</v>
      </c>
      <c r="R58" s="129">
        <f t="shared" si="21"/>
        <v>5.2638267512582742</v>
      </c>
      <c r="S58" s="129">
        <f t="shared" si="21"/>
        <v>5.2638267512582742</v>
      </c>
      <c r="T58" s="129">
        <f t="shared" si="21"/>
        <v>5.2638267512582724</v>
      </c>
      <c r="U58" s="129">
        <f t="shared" si="21"/>
        <v>5.2638267512582724</v>
      </c>
      <c r="V58" s="129">
        <f t="shared" si="21"/>
        <v>5.2638267512582724</v>
      </c>
      <c r="W58" s="129">
        <f t="shared" si="21"/>
        <v>5.2638267512582724</v>
      </c>
    </row>
    <row r="59" spans="1:23" ht="16.5" thickTop="1">
      <c r="A59" s="38" t="str">
        <f>'Water Heaters Purchased'!A15</f>
        <v>Electric Resistance</v>
      </c>
      <c r="B59" s="123">
        <f>'Water Heaters Purchased'!B15*'Capital Cost'!$E5/1000000</f>
        <v>0</v>
      </c>
      <c r="C59" s="123">
        <f>'Water Heaters Purchased'!C15*'Capital Cost'!$E5/1000000</f>
        <v>0</v>
      </c>
      <c r="D59" s="123">
        <f>'Water Heaters Purchased'!D15*'Capital Cost'!$E5/1000000</f>
        <v>0</v>
      </c>
      <c r="E59" s="123">
        <f>'Water Heaters Purchased'!E15*'Capital Cost'!$E5/1000000</f>
        <v>0</v>
      </c>
      <c r="F59" s="123">
        <f>'Water Heaters Purchased'!F15*'Capital Cost'!$E5/1000000</f>
        <v>0</v>
      </c>
      <c r="G59" s="123">
        <f>'Water Heaters Purchased'!G15*'Capital Cost'!$E5/1000000</f>
        <v>0</v>
      </c>
      <c r="H59" s="123">
        <f>'Water Heaters Purchased'!H15*'Capital Cost'!$E5/1000000</f>
        <v>0</v>
      </c>
      <c r="I59" s="123">
        <f>'Water Heaters Purchased'!I15*'Capital Cost'!$E5/1000000</f>
        <v>0</v>
      </c>
      <c r="J59" s="123">
        <f>'Water Heaters Purchased'!J15*'Capital Cost'!$E5/1000000</f>
        <v>0</v>
      </c>
      <c r="K59" s="123">
        <f>'Water Heaters Purchased'!K15*'Capital Cost'!$E5/1000000</f>
        <v>0</v>
      </c>
      <c r="L59" s="123">
        <f>'Water Heaters Purchased'!L15*'Capital Cost'!$E5/1000000</f>
        <v>0</v>
      </c>
      <c r="M59" s="123">
        <f>'Water Heaters Purchased'!M15*'Capital Cost'!$E5/1000000</f>
        <v>0</v>
      </c>
      <c r="N59" s="123">
        <f>'Water Heaters Purchased'!N15*'Capital Cost'!$E5/1000000</f>
        <v>0</v>
      </c>
      <c r="O59" s="123">
        <f>'Water Heaters Purchased'!O15*'Capital Cost'!$E5/1000000</f>
        <v>0</v>
      </c>
      <c r="P59" s="123">
        <f>'Water Heaters Purchased'!P15*'Capital Cost'!$E5/1000000</f>
        <v>0</v>
      </c>
      <c r="Q59" s="123">
        <f>'Water Heaters Purchased'!Q15*'Capital Cost'!$E5/1000000</f>
        <v>0</v>
      </c>
      <c r="R59" s="123">
        <f>'Water Heaters Purchased'!R15*'Capital Cost'!$E5/1000000</f>
        <v>0</v>
      </c>
      <c r="S59" s="123">
        <f>'Water Heaters Purchased'!S15*'Capital Cost'!$E5/1000000</f>
        <v>0</v>
      </c>
      <c r="T59" s="123">
        <f>'Water Heaters Purchased'!T15*'Capital Cost'!$E5/1000000</f>
        <v>0</v>
      </c>
      <c r="U59" s="123">
        <f>'Water Heaters Purchased'!U15*'Capital Cost'!$E5/1000000</f>
        <v>0</v>
      </c>
      <c r="V59" s="123">
        <f>'Water Heaters Purchased'!V15*'Capital Cost'!$E5/1000000</f>
        <v>0</v>
      </c>
      <c r="W59" s="123">
        <f>'Water Heaters Purchased'!W15*'Capital Cost'!$E5/1000000</f>
        <v>0</v>
      </c>
    </row>
    <row r="60" spans="1:23">
      <c r="A60" s="38" t="str">
        <f>'Water Heaters Purchased'!A16</f>
        <v>HPWH</v>
      </c>
      <c r="B60" s="123">
        <f>'Water Heaters Purchased'!B16*'Capital Cost'!$E6/1000000</f>
        <v>0</v>
      </c>
      <c r="C60" s="123">
        <f>'Water Heaters Purchased'!C16*'Capital Cost'!$E6/1000000</f>
        <v>0</v>
      </c>
      <c r="D60" s="123">
        <f>'Water Heaters Purchased'!D16*'Capital Cost'!$E6/1000000</f>
        <v>0</v>
      </c>
      <c r="E60" s="123">
        <f>'Water Heaters Purchased'!E16*'Capital Cost'!$E6/1000000</f>
        <v>0</v>
      </c>
      <c r="F60" s="123">
        <f>'Water Heaters Purchased'!F16*'Capital Cost'!$E6/1000000</f>
        <v>0</v>
      </c>
      <c r="G60" s="123">
        <f>'Water Heaters Purchased'!G16*'Capital Cost'!$E6/1000000</f>
        <v>0</v>
      </c>
      <c r="H60" s="123">
        <f>'Water Heaters Purchased'!H16*'Capital Cost'!$E6/1000000</f>
        <v>0</v>
      </c>
      <c r="I60" s="123">
        <f>'Water Heaters Purchased'!I16*'Capital Cost'!$E6/1000000</f>
        <v>0</v>
      </c>
      <c r="J60" s="123">
        <f>'Water Heaters Purchased'!J16*'Capital Cost'!$E6/1000000</f>
        <v>0</v>
      </c>
      <c r="K60" s="123">
        <f>'Water Heaters Purchased'!K16*'Capital Cost'!$E6/1000000</f>
        <v>0</v>
      </c>
      <c r="L60" s="123">
        <f>'Water Heaters Purchased'!L16*'Capital Cost'!$E6/1000000</f>
        <v>0</v>
      </c>
      <c r="M60" s="123">
        <f>'Water Heaters Purchased'!M16*'Capital Cost'!$E6/1000000</f>
        <v>0</v>
      </c>
      <c r="N60" s="123">
        <f>'Water Heaters Purchased'!N16*'Capital Cost'!$E6/1000000</f>
        <v>0</v>
      </c>
      <c r="O60" s="123">
        <f>'Water Heaters Purchased'!O16*'Capital Cost'!$E6/1000000</f>
        <v>0</v>
      </c>
      <c r="P60" s="123">
        <f>'Water Heaters Purchased'!P16*'Capital Cost'!$E6/1000000</f>
        <v>0</v>
      </c>
      <c r="Q60" s="123">
        <f>'Water Heaters Purchased'!Q16*'Capital Cost'!$E6/1000000</f>
        <v>0</v>
      </c>
      <c r="R60" s="123">
        <f>'Water Heaters Purchased'!R16*'Capital Cost'!$E6/1000000</f>
        <v>0</v>
      </c>
      <c r="S60" s="123">
        <f>'Water Heaters Purchased'!S16*'Capital Cost'!$E6/1000000</f>
        <v>0</v>
      </c>
      <c r="T60" s="123">
        <f>'Water Heaters Purchased'!T16*'Capital Cost'!$E6/1000000</f>
        <v>0</v>
      </c>
      <c r="U60" s="123">
        <f>'Water Heaters Purchased'!U16*'Capital Cost'!$E6/1000000</f>
        <v>0</v>
      </c>
      <c r="V60" s="123">
        <f>'Water Heaters Purchased'!V16*'Capital Cost'!$E6/1000000</f>
        <v>0</v>
      </c>
      <c r="W60" s="123">
        <f>'Water Heaters Purchased'!W16*'Capital Cost'!$E6/1000000</f>
        <v>0</v>
      </c>
    </row>
    <row r="61" spans="1:23">
      <c r="A61" s="38" t="str">
        <f>'Water Heaters Purchased'!A17</f>
        <v>Gas Tank</v>
      </c>
      <c r="B61" s="123">
        <f>'Water Heaters Purchased'!B17*'Capital Cost'!$E7/1000000</f>
        <v>0</v>
      </c>
      <c r="C61" s="123">
        <f>'Water Heaters Purchased'!C17*'Capital Cost'!$E7/1000000</f>
        <v>5.2638267512582724</v>
      </c>
      <c r="D61" s="123">
        <f>'Water Heaters Purchased'!D17*'Capital Cost'!$E7/1000000</f>
        <v>5.2638267512582724</v>
      </c>
      <c r="E61" s="123">
        <f>'Water Heaters Purchased'!E17*'Capital Cost'!$E7/1000000</f>
        <v>5.2638267512582724</v>
      </c>
      <c r="F61" s="123">
        <f>'Water Heaters Purchased'!F17*'Capital Cost'!$E7/1000000</f>
        <v>5.2638267512582724</v>
      </c>
      <c r="G61" s="123">
        <f>'Water Heaters Purchased'!G17*'Capital Cost'!$E7/1000000</f>
        <v>5.2638267512582724</v>
      </c>
      <c r="H61" s="123">
        <f>'Water Heaters Purchased'!H17*'Capital Cost'!$E7/1000000</f>
        <v>5.2638267512582724</v>
      </c>
      <c r="I61" s="123">
        <f>'Water Heaters Purchased'!I17*'Capital Cost'!$E7/1000000</f>
        <v>5.2638267512582724</v>
      </c>
      <c r="J61" s="123">
        <f>'Water Heaters Purchased'!J17*'Capital Cost'!$E7/1000000</f>
        <v>5.2638267512582724</v>
      </c>
      <c r="K61" s="123">
        <f>'Water Heaters Purchased'!K17*'Capital Cost'!$E7/1000000</f>
        <v>5.2638267512582724</v>
      </c>
      <c r="L61" s="123">
        <f>'Water Heaters Purchased'!L17*'Capital Cost'!$E7/1000000</f>
        <v>5.2638267512582733</v>
      </c>
      <c r="M61" s="123">
        <f>'Water Heaters Purchased'!M17*'Capital Cost'!$E7/1000000</f>
        <v>5.2638267512582733</v>
      </c>
      <c r="N61" s="123">
        <f>'Water Heaters Purchased'!N17*'Capital Cost'!$E7/1000000</f>
        <v>5.2638267512582724</v>
      </c>
      <c r="O61" s="123">
        <f>'Water Heaters Purchased'!O17*'Capital Cost'!$E7/1000000</f>
        <v>5.2638267512582733</v>
      </c>
      <c r="P61" s="123">
        <f>'Water Heaters Purchased'!P17*'Capital Cost'!$E7/1000000</f>
        <v>5.2638267512582724</v>
      </c>
      <c r="Q61" s="123">
        <f>'Water Heaters Purchased'!Q17*'Capital Cost'!$E7/1000000</f>
        <v>5.2638267512582724</v>
      </c>
      <c r="R61" s="123">
        <f>'Water Heaters Purchased'!R17*'Capital Cost'!$E7/1000000</f>
        <v>5.2638267512582742</v>
      </c>
      <c r="S61" s="123">
        <f>'Water Heaters Purchased'!S17*'Capital Cost'!$E7/1000000</f>
        <v>5.2638267512582742</v>
      </c>
      <c r="T61" s="123">
        <f>'Water Heaters Purchased'!T17*'Capital Cost'!$E7/1000000</f>
        <v>5.2638267512582724</v>
      </c>
      <c r="U61" s="123">
        <f>'Water Heaters Purchased'!U17*'Capital Cost'!$E7/1000000</f>
        <v>5.2638267512582724</v>
      </c>
      <c r="V61" s="123">
        <f>'Water Heaters Purchased'!V17*'Capital Cost'!$E7/1000000</f>
        <v>5.2638267512582724</v>
      </c>
      <c r="W61" s="123">
        <f>'Water Heaters Purchased'!W17*'Capital Cost'!$E7/1000000</f>
        <v>5.2638267512582724</v>
      </c>
    </row>
    <row r="62" spans="1:23">
      <c r="A62" s="38" t="str">
        <f>'Water Heaters Purchased'!A18</f>
        <v>Instant Gas</v>
      </c>
      <c r="B62" s="123">
        <f>'Water Heaters Purchased'!B18*'Capital Cost'!$E8/1000000</f>
        <v>0</v>
      </c>
      <c r="C62" s="123">
        <f>'Water Heaters Purchased'!C18*'Capital Cost'!$E8/1000000</f>
        <v>0</v>
      </c>
      <c r="D62" s="123">
        <f>'Water Heaters Purchased'!D18*'Capital Cost'!$E8/1000000</f>
        <v>0</v>
      </c>
      <c r="E62" s="123">
        <f>'Water Heaters Purchased'!E18*'Capital Cost'!$E8/1000000</f>
        <v>0</v>
      </c>
      <c r="F62" s="123">
        <f>'Water Heaters Purchased'!F18*'Capital Cost'!$E8/1000000</f>
        <v>0</v>
      </c>
      <c r="G62" s="123">
        <f>'Water Heaters Purchased'!G18*'Capital Cost'!$E8/1000000</f>
        <v>0</v>
      </c>
      <c r="H62" s="123">
        <f>'Water Heaters Purchased'!H18*'Capital Cost'!$E8/1000000</f>
        <v>0</v>
      </c>
      <c r="I62" s="123">
        <f>'Water Heaters Purchased'!I18*'Capital Cost'!$E8/1000000</f>
        <v>0</v>
      </c>
      <c r="J62" s="123">
        <f>'Water Heaters Purchased'!J18*'Capital Cost'!$E8/1000000</f>
        <v>0</v>
      </c>
      <c r="K62" s="123">
        <f>'Water Heaters Purchased'!K18*'Capital Cost'!$E8/1000000</f>
        <v>0</v>
      </c>
      <c r="L62" s="123">
        <f>'Water Heaters Purchased'!L18*'Capital Cost'!$E8/1000000</f>
        <v>0</v>
      </c>
      <c r="M62" s="123">
        <f>'Water Heaters Purchased'!M18*'Capital Cost'!$E8/1000000</f>
        <v>0</v>
      </c>
      <c r="N62" s="123">
        <f>'Water Heaters Purchased'!N18*'Capital Cost'!$E8/1000000</f>
        <v>0</v>
      </c>
      <c r="O62" s="123">
        <f>'Water Heaters Purchased'!O18*'Capital Cost'!$E8/1000000</f>
        <v>0</v>
      </c>
      <c r="P62" s="123">
        <f>'Water Heaters Purchased'!P18*'Capital Cost'!$E8/1000000</f>
        <v>0</v>
      </c>
      <c r="Q62" s="123">
        <f>'Water Heaters Purchased'!Q18*'Capital Cost'!$E8/1000000</f>
        <v>0</v>
      </c>
      <c r="R62" s="123">
        <f>'Water Heaters Purchased'!R18*'Capital Cost'!$E8/1000000</f>
        <v>0</v>
      </c>
      <c r="S62" s="123">
        <f>'Water Heaters Purchased'!S18*'Capital Cost'!$E8/1000000</f>
        <v>0</v>
      </c>
      <c r="T62" s="123">
        <f>'Water Heaters Purchased'!T18*'Capital Cost'!$E8/1000000</f>
        <v>0</v>
      </c>
      <c r="U62" s="123">
        <f>'Water Heaters Purchased'!U18*'Capital Cost'!$E8/1000000</f>
        <v>0</v>
      </c>
      <c r="V62" s="123">
        <f>'Water Heaters Purchased'!V18*'Capital Cost'!$E8/1000000</f>
        <v>0</v>
      </c>
      <c r="W62" s="123">
        <f>'Water Heaters Purchased'!W18*'Capital Cost'!$E8/1000000</f>
        <v>0</v>
      </c>
    </row>
    <row r="63" spans="1:23">
      <c r="A63" s="38" t="str">
        <f>'Water Heaters Purchased'!A19</f>
        <v>Condensing Gas</v>
      </c>
      <c r="B63" s="123">
        <f>'Water Heaters Purchased'!B19*'Capital Cost'!$E9/1000000</f>
        <v>0</v>
      </c>
      <c r="C63" s="123">
        <f>'Water Heaters Purchased'!C19*'Capital Cost'!$E9/1000000</f>
        <v>0</v>
      </c>
      <c r="D63" s="123">
        <f>'Water Heaters Purchased'!D19*'Capital Cost'!$E9/1000000</f>
        <v>0</v>
      </c>
      <c r="E63" s="123">
        <f>'Water Heaters Purchased'!E19*'Capital Cost'!$E9/1000000</f>
        <v>0</v>
      </c>
      <c r="F63" s="123">
        <f>'Water Heaters Purchased'!F19*'Capital Cost'!$E9/1000000</f>
        <v>0</v>
      </c>
      <c r="G63" s="123">
        <f>'Water Heaters Purchased'!G19*'Capital Cost'!$E9/1000000</f>
        <v>0</v>
      </c>
      <c r="H63" s="123">
        <f>'Water Heaters Purchased'!H19*'Capital Cost'!$E9/1000000</f>
        <v>0</v>
      </c>
      <c r="I63" s="123">
        <f>'Water Heaters Purchased'!I19*'Capital Cost'!$E9/1000000</f>
        <v>0</v>
      </c>
      <c r="J63" s="123">
        <f>'Water Heaters Purchased'!J19*'Capital Cost'!$E9/1000000</f>
        <v>0</v>
      </c>
      <c r="K63" s="123">
        <f>'Water Heaters Purchased'!K19*'Capital Cost'!$E9/1000000</f>
        <v>0</v>
      </c>
      <c r="L63" s="123">
        <f>'Water Heaters Purchased'!L19*'Capital Cost'!$E9/1000000</f>
        <v>0</v>
      </c>
      <c r="M63" s="123">
        <f>'Water Heaters Purchased'!M19*'Capital Cost'!$E9/1000000</f>
        <v>0</v>
      </c>
      <c r="N63" s="123">
        <f>'Water Heaters Purchased'!N19*'Capital Cost'!$E9/1000000</f>
        <v>0</v>
      </c>
      <c r="O63" s="123">
        <f>'Water Heaters Purchased'!O19*'Capital Cost'!$E9/1000000</f>
        <v>0</v>
      </c>
      <c r="P63" s="123">
        <f>'Water Heaters Purchased'!P19*'Capital Cost'!$E9/1000000</f>
        <v>0</v>
      </c>
      <c r="Q63" s="123">
        <f>'Water Heaters Purchased'!Q19*'Capital Cost'!$E9/1000000</f>
        <v>0</v>
      </c>
      <c r="R63" s="123">
        <f>'Water Heaters Purchased'!R19*'Capital Cost'!$E9/1000000</f>
        <v>0</v>
      </c>
      <c r="S63" s="123">
        <f>'Water Heaters Purchased'!S19*'Capital Cost'!$E9/1000000</f>
        <v>0</v>
      </c>
      <c r="T63" s="123">
        <f>'Water Heaters Purchased'!T19*'Capital Cost'!$E9/1000000</f>
        <v>0</v>
      </c>
      <c r="U63" s="123">
        <f>'Water Heaters Purchased'!U19*'Capital Cost'!$E9/1000000</f>
        <v>0</v>
      </c>
      <c r="V63" s="123">
        <f>'Water Heaters Purchased'!V19*'Capital Cost'!$E9/1000000</f>
        <v>0</v>
      </c>
      <c r="W63" s="123">
        <f>'Water Heaters Purchased'!W19*'Capital Cost'!$E9/1000000</f>
        <v>0</v>
      </c>
    </row>
    <row r="64" spans="1:23">
      <c r="A64" s="12"/>
    </row>
    <row r="65" spans="1:23">
      <c r="A65" s="12" t="s">
        <v>122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8" t="str">
        <f t="shared" ref="A67" si="22">A68</f>
        <v>Electric Resistance</v>
      </c>
      <c r="B67" s="129">
        <f t="shared" ref="B67" si="23">SUM(B68:B72)</f>
        <v>0.42871781965315436</v>
      </c>
      <c r="C67" s="129">
        <f t="shared" ref="C67:W67" si="24">SUM(C68:C72)</f>
        <v>0.49240797797793562</v>
      </c>
      <c r="D67" s="129">
        <f t="shared" si="24"/>
        <v>0.55154883927951814</v>
      </c>
      <c r="E67" s="129">
        <f t="shared" si="24"/>
        <v>0.60646535334527352</v>
      </c>
      <c r="F67" s="129">
        <f t="shared" si="24"/>
        <v>0.65745925926347482</v>
      </c>
      <c r="G67" s="129">
        <f t="shared" si="24"/>
        <v>0.70481074333037608</v>
      </c>
      <c r="H67" s="129">
        <f t="shared" si="24"/>
        <v>0.74877997853535572</v>
      </c>
      <c r="I67" s="129">
        <f t="shared" si="24"/>
        <v>0.78960855408283681</v>
      </c>
      <c r="J67" s="129">
        <f t="shared" si="24"/>
        <v>0.827520802805498</v>
      </c>
      <c r="K67" s="129">
        <f t="shared" si="24"/>
        <v>0.86272503376225473</v>
      </c>
      <c r="L67" s="129">
        <f t="shared" si="24"/>
        <v>0.89541467679352893</v>
      </c>
      <c r="M67" s="129">
        <f t="shared" si="24"/>
        <v>0.92576934532256905</v>
      </c>
      <c r="N67" s="129">
        <f t="shared" si="24"/>
        <v>0.95395582324239214</v>
      </c>
      <c r="O67" s="129">
        <f t="shared" si="24"/>
        <v>0.9801289813107994</v>
      </c>
      <c r="P67" s="129">
        <f t="shared" si="24"/>
        <v>1.004432628088606</v>
      </c>
      <c r="Q67" s="129">
        <f t="shared" si="24"/>
        <v>1.0270003000965693</v>
      </c>
      <c r="R67" s="129">
        <f t="shared" si="24"/>
        <v>1.0479559955325353</v>
      </c>
      <c r="S67" s="129">
        <f t="shared" si="24"/>
        <v>1.0674148555802176</v>
      </c>
      <c r="T67" s="129">
        <f t="shared" si="24"/>
        <v>1.085483797053066</v>
      </c>
      <c r="U67" s="129">
        <f t="shared" si="24"/>
        <v>1.102262099849282</v>
      </c>
      <c r="V67" s="129">
        <f t="shared" si="24"/>
        <v>1.1178419524457686</v>
      </c>
      <c r="W67" s="129">
        <f t="shared" si="24"/>
        <v>1.13230895842822</v>
      </c>
    </row>
    <row r="68" spans="1:23" ht="16.5" thickTop="1">
      <c r="A68" s="38" t="str">
        <f>'Water Heater Stock'!A15</f>
        <v>Electric Resistance</v>
      </c>
      <c r="B68" s="123">
        <f>'Water Heater Stock'!B15*'O&amp;M Cost'!$D5/1000000</f>
        <v>0.42871781965315436</v>
      </c>
      <c r="C68" s="123">
        <f>'Water Heater Stock'!C15*'O&amp;M Cost'!$D5/1000000</f>
        <v>0.39809511824935762</v>
      </c>
      <c r="D68" s="123">
        <f>'Water Heater Stock'!D15*'O&amp;M Cost'!$D5/1000000</f>
        <v>0.36965975266011775</v>
      </c>
      <c r="E68" s="123">
        <f>'Water Heater Stock'!E15*'O&amp;M Cost'!$D5/1000000</f>
        <v>0.34325548461296657</v>
      </c>
      <c r="F68" s="123">
        <f>'Water Heater Stock'!F15*'O&amp;M Cost'!$D5/1000000</f>
        <v>0.31873723571204038</v>
      </c>
      <c r="G68" s="123">
        <f>'Water Heater Stock'!G15*'O&amp;M Cost'!$D5/1000000</f>
        <v>0.29597029030403749</v>
      </c>
      <c r="H68" s="123">
        <f>'Water Heater Stock'!H15*'O&amp;M Cost'!$D5/1000000</f>
        <v>0.27482955528232056</v>
      </c>
      <c r="I68" s="123">
        <f>'Water Heater Stock'!I15*'O&amp;M Cost'!$D5/1000000</f>
        <v>0.25519887276215475</v>
      </c>
      <c r="J68" s="123">
        <f>'Water Heater Stock'!J15*'O&amp;M Cost'!$D5/1000000</f>
        <v>0.23697038185057229</v>
      </c>
      <c r="K68" s="123">
        <f>'Water Heater Stock'!K15*'O&amp;M Cost'!$D5/1000000</f>
        <v>0.22004392600410283</v>
      </c>
      <c r="L68" s="123">
        <f>'Water Heater Stock'!L15*'O&amp;M Cost'!$D5/1000000</f>
        <v>0.20432650271809549</v>
      </c>
      <c r="M68" s="123">
        <f>'Water Heater Stock'!M15*'O&amp;M Cost'!$D5/1000000</f>
        <v>0.18973175252394581</v>
      </c>
      <c r="N68" s="123">
        <f>'Water Heater Stock'!N15*'O&amp;M Cost'!$D5/1000000</f>
        <v>0.1761794844865211</v>
      </c>
      <c r="O68" s="123">
        <f>'Water Heater Stock'!O15*'O&amp;M Cost'!$D5/1000000</f>
        <v>0.16359523559462674</v>
      </c>
      <c r="P68" s="123">
        <f>'Water Heater Stock'!P15*'O&amp;M Cost'!$D5/1000000</f>
        <v>0.15190986162358197</v>
      </c>
      <c r="Q68" s="123">
        <f>'Water Heater Stock'!Q15*'O&amp;M Cost'!$D5/1000000</f>
        <v>0.14105915722189755</v>
      </c>
      <c r="R68" s="123">
        <f>'Water Heater Stock'!R15*'O&amp;M Cost'!$D5/1000000</f>
        <v>0.13098350313461915</v>
      </c>
      <c r="S68" s="123">
        <f>'Water Heater Stock'!S15*'O&amp;M Cost'!$D5/1000000</f>
        <v>0.12162753862500349</v>
      </c>
      <c r="T68" s="123">
        <f>'Water Heater Stock'!T15*'O&amp;M Cost'!$D5/1000000</f>
        <v>0.11293985729464609</v>
      </c>
      <c r="U68" s="123">
        <f>'Water Heater Stock'!U15*'O&amp;M Cost'!$D5/1000000</f>
        <v>0.10487272463074281</v>
      </c>
      <c r="V68" s="123">
        <f>'Water Heater Stock'!V15*'O&amp;M Cost'!$D5/1000000</f>
        <v>9.7381815728546872E-2</v>
      </c>
      <c r="W68" s="123">
        <f>'Water Heater Stock'!W15*'O&amp;M Cost'!$D5/1000000</f>
        <v>9.0425971747936401E-2</v>
      </c>
    </row>
    <row r="69" spans="1:23">
      <c r="A69" s="38" t="str">
        <f>'Water Heater Stock'!A16</f>
        <v>HPWH</v>
      </c>
      <c r="B69" s="123">
        <f>'Water Heater Stock'!B16*'O&amp;M Cost'!$D6/1000000</f>
        <v>0</v>
      </c>
      <c r="C69" s="123">
        <f>'Water Heater Stock'!C16*'O&amp;M Cost'!$D6/1000000</f>
        <v>0</v>
      </c>
      <c r="D69" s="123">
        <f>'Water Heater Stock'!D16*'O&amp;M Cost'!$D6/1000000</f>
        <v>0</v>
      </c>
      <c r="E69" s="123">
        <f>'Water Heater Stock'!E16*'O&amp;M Cost'!$D6/1000000</f>
        <v>0</v>
      </c>
      <c r="F69" s="123">
        <f>'Water Heater Stock'!F16*'O&amp;M Cost'!$D6/1000000</f>
        <v>0</v>
      </c>
      <c r="G69" s="123">
        <f>'Water Heater Stock'!G16*'O&amp;M Cost'!$D6/1000000</f>
        <v>0</v>
      </c>
      <c r="H69" s="123">
        <f>'Water Heater Stock'!H16*'O&amp;M Cost'!$D6/1000000</f>
        <v>0</v>
      </c>
      <c r="I69" s="123">
        <f>'Water Heater Stock'!I16*'O&amp;M Cost'!$D6/1000000</f>
        <v>0</v>
      </c>
      <c r="J69" s="123">
        <f>'Water Heater Stock'!J16*'O&amp;M Cost'!$D6/1000000</f>
        <v>0</v>
      </c>
      <c r="K69" s="123">
        <f>'Water Heater Stock'!K16*'O&amp;M Cost'!$D6/1000000</f>
        <v>0</v>
      </c>
      <c r="L69" s="123">
        <f>'Water Heater Stock'!L16*'O&amp;M Cost'!$D6/1000000</f>
        <v>0</v>
      </c>
      <c r="M69" s="123">
        <f>'Water Heater Stock'!M16*'O&amp;M Cost'!$D6/1000000</f>
        <v>0</v>
      </c>
      <c r="N69" s="123">
        <f>'Water Heater Stock'!N16*'O&amp;M Cost'!$D6/1000000</f>
        <v>0</v>
      </c>
      <c r="O69" s="123">
        <f>'Water Heater Stock'!O16*'O&amp;M Cost'!$D6/1000000</f>
        <v>0</v>
      </c>
      <c r="P69" s="123">
        <f>'Water Heater Stock'!P16*'O&amp;M Cost'!$D6/1000000</f>
        <v>0</v>
      </c>
      <c r="Q69" s="123">
        <f>'Water Heater Stock'!Q16*'O&amp;M Cost'!$D6/1000000</f>
        <v>0</v>
      </c>
      <c r="R69" s="123">
        <f>'Water Heater Stock'!R16*'O&amp;M Cost'!$D6/1000000</f>
        <v>0</v>
      </c>
      <c r="S69" s="123">
        <f>'Water Heater Stock'!S16*'O&amp;M Cost'!$D6/1000000</f>
        <v>0</v>
      </c>
      <c r="T69" s="123">
        <f>'Water Heater Stock'!T16*'O&amp;M Cost'!$D6/1000000</f>
        <v>0</v>
      </c>
      <c r="U69" s="123">
        <f>'Water Heater Stock'!U16*'O&amp;M Cost'!$D6/1000000</f>
        <v>0</v>
      </c>
      <c r="V69" s="123">
        <f>'Water Heater Stock'!V16*'O&amp;M Cost'!$D6/1000000</f>
        <v>0</v>
      </c>
      <c r="W69" s="123">
        <f>'Water Heater Stock'!W16*'O&amp;M Cost'!$D6/1000000</f>
        <v>0</v>
      </c>
    </row>
    <row r="70" spans="1:23">
      <c r="A70" s="38" t="str">
        <f>'Water Heater Stock'!A17</f>
        <v>Gas Tank</v>
      </c>
      <c r="B70" s="123">
        <f>'Water Heater Stock'!B17*'O&amp;M Cost'!$D7/1000000</f>
        <v>0</v>
      </c>
      <c r="C70" s="123">
        <f>'Water Heater Stock'!C17*'O&amp;M Cost'!$D7/1000000</f>
        <v>9.4312859728578002E-2</v>
      </c>
      <c r="D70" s="123">
        <f>'Water Heater Stock'!D17*'O&amp;M Cost'!$D7/1000000</f>
        <v>0.18188908661940043</v>
      </c>
      <c r="E70" s="123">
        <f>'Water Heater Stock'!E17*'O&amp;M Cost'!$D7/1000000</f>
        <v>0.26320986873230695</v>
      </c>
      <c r="F70" s="123">
        <f>'Water Heater Stock'!F17*'O&amp;M Cost'!$D7/1000000</f>
        <v>0.33872202355143444</v>
      </c>
      <c r="G70" s="123">
        <f>'Water Heater Stock'!G17*'O&amp;M Cost'!$D7/1000000</f>
        <v>0.40884045302633854</v>
      </c>
      <c r="H70" s="123">
        <f>'Water Heater Stock'!H17*'O&amp;M Cost'!$D7/1000000</f>
        <v>0.47395042325303521</v>
      </c>
      <c r="I70" s="123">
        <f>'Water Heater Stock'!I17*'O&amp;M Cost'!$D7/1000000</f>
        <v>0.53440968132068212</v>
      </c>
      <c r="J70" s="123">
        <f>'Water Heater Stock'!J17*'O&amp;M Cost'!$D7/1000000</f>
        <v>0.59055042095492571</v>
      </c>
      <c r="K70" s="123">
        <f>'Water Heater Stock'!K17*'O&amp;M Cost'!$D7/1000000</f>
        <v>0.6426811077581519</v>
      </c>
      <c r="L70" s="123">
        <f>'Water Heater Stock'!L17*'O&amp;M Cost'!$D7/1000000</f>
        <v>0.69108817407543344</v>
      </c>
      <c r="M70" s="123">
        <f>'Water Heater Stock'!M17*'O&amp;M Cost'!$D7/1000000</f>
        <v>0.73603759279862324</v>
      </c>
      <c r="N70" s="123">
        <f>'Water Heater Stock'!N17*'O&amp;M Cost'!$D7/1000000</f>
        <v>0.77777633875587104</v>
      </c>
      <c r="O70" s="123">
        <f>'Water Heater Stock'!O17*'O&amp;M Cost'!$D7/1000000</f>
        <v>0.81653374571617265</v>
      </c>
      <c r="P70" s="123">
        <f>'Water Heater Stock'!P17*'O&amp;M Cost'!$D7/1000000</f>
        <v>0.85252276646502401</v>
      </c>
      <c r="Q70" s="123">
        <f>'Water Heater Stock'!Q17*'O&amp;M Cost'!$D7/1000000</f>
        <v>0.88594114287467174</v>
      </c>
      <c r="R70" s="123">
        <f>'Water Heater Stock'!R17*'O&amp;M Cost'!$D7/1000000</f>
        <v>0.91697249239791612</v>
      </c>
      <c r="S70" s="123">
        <f>'Water Heater Stock'!S17*'O&amp;M Cost'!$D7/1000000</f>
        <v>0.94578731695521423</v>
      </c>
      <c r="T70" s="123">
        <f>'Water Heater Stock'!T17*'O&amp;M Cost'!$D7/1000000</f>
        <v>0.9725439397584198</v>
      </c>
      <c r="U70" s="123">
        <f>'Water Heater Stock'!U17*'O&amp;M Cost'!$D7/1000000</f>
        <v>0.99738937521853932</v>
      </c>
      <c r="V70" s="123">
        <f>'Water Heater Stock'!V17*'O&amp;M Cost'!$D7/1000000</f>
        <v>1.0204601367172217</v>
      </c>
      <c r="W70" s="123">
        <f>'Water Heater Stock'!W17*'O&amp;M Cost'!$D7/1000000</f>
        <v>1.0418829866802837</v>
      </c>
    </row>
    <row r="71" spans="1:23">
      <c r="A71" s="38" t="str">
        <f>'Water Heater Stock'!A18</f>
        <v>Instant Gas</v>
      </c>
      <c r="B71" s="123">
        <f>'Water Heater Stock'!B18*'O&amp;M Cost'!$D8/1000000</f>
        <v>0</v>
      </c>
      <c r="C71" s="123">
        <f>'Water Heater Stock'!C18*'O&amp;M Cost'!$D8/1000000</f>
        <v>0</v>
      </c>
      <c r="D71" s="123">
        <f>'Water Heater Stock'!D18*'O&amp;M Cost'!$D8/1000000</f>
        <v>0</v>
      </c>
      <c r="E71" s="123">
        <f>'Water Heater Stock'!E18*'O&amp;M Cost'!$D8/1000000</f>
        <v>0</v>
      </c>
      <c r="F71" s="123">
        <f>'Water Heater Stock'!F18*'O&amp;M Cost'!$D8/1000000</f>
        <v>0</v>
      </c>
      <c r="G71" s="123">
        <f>'Water Heater Stock'!G18*'O&amp;M Cost'!$D8/1000000</f>
        <v>0</v>
      </c>
      <c r="H71" s="123">
        <f>'Water Heater Stock'!H18*'O&amp;M Cost'!$D8/1000000</f>
        <v>0</v>
      </c>
      <c r="I71" s="123">
        <f>'Water Heater Stock'!I18*'O&amp;M Cost'!$D8/1000000</f>
        <v>0</v>
      </c>
      <c r="J71" s="123">
        <f>'Water Heater Stock'!J18*'O&amp;M Cost'!$D8/1000000</f>
        <v>0</v>
      </c>
      <c r="K71" s="123">
        <f>'Water Heater Stock'!K18*'O&amp;M Cost'!$D8/1000000</f>
        <v>0</v>
      </c>
      <c r="L71" s="123">
        <f>'Water Heater Stock'!L18*'O&amp;M Cost'!$D8/1000000</f>
        <v>0</v>
      </c>
      <c r="M71" s="123">
        <f>'Water Heater Stock'!M18*'O&amp;M Cost'!$D8/1000000</f>
        <v>0</v>
      </c>
      <c r="N71" s="123">
        <f>'Water Heater Stock'!N18*'O&amp;M Cost'!$D8/1000000</f>
        <v>0</v>
      </c>
      <c r="O71" s="123">
        <f>'Water Heater Stock'!O18*'O&amp;M Cost'!$D8/1000000</f>
        <v>0</v>
      </c>
      <c r="P71" s="123">
        <f>'Water Heater Stock'!P18*'O&amp;M Cost'!$D8/1000000</f>
        <v>0</v>
      </c>
      <c r="Q71" s="123">
        <f>'Water Heater Stock'!Q18*'O&amp;M Cost'!$D8/1000000</f>
        <v>0</v>
      </c>
      <c r="R71" s="123">
        <f>'Water Heater Stock'!R18*'O&amp;M Cost'!$D8/1000000</f>
        <v>0</v>
      </c>
      <c r="S71" s="123">
        <f>'Water Heater Stock'!S18*'O&amp;M Cost'!$D8/1000000</f>
        <v>0</v>
      </c>
      <c r="T71" s="123">
        <f>'Water Heater Stock'!T18*'O&amp;M Cost'!$D8/1000000</f>
        <v>0</v>
      </c>
      <c r="U71" s="123">
        <f>'Water Heater Stock'!U18*'O&amp;M Cost'!$D8/1000000</f>
        <v>0</v>
      </c>
      <c r="V71" s="123">
        <f>'Water Heater Stock'!V18*'O&amp;M Cost'!$D8/1000000</f>
        <v>0</v>
      </c>
      <c r="W71" s="123">
        <f>'Water Heater Stock'!W18*'O&amp;M Cost'!$D8/1000000</f>
        <v>0</v>
      </c>
    </row>
    <row r="72" spans="1:23">
      <c r="A72" s="38" t="str">
        <f>'Water Heater Stock'!A19</f>
        <v>Condensing Gas</v>
      </c>
      <c r="B72" s="123">
        <f>'Water Heater Stock'!B19*'O&amp;M Cost'!$D9/1000000</f>
        <v>0</v>
      </c>
      <c r="C72" s="123">
        <f>'Water Heater Stock'!C19*'O&amp;M Cost'!$D9/1000000</f>
        <v>0</v>
      </c>
      <c r="D72" s="123">
        <f>'Water Heater Stock'!D19*'O&amp;M Cost'!$D9/1000000</f>
        <v>0</v>
      </c>
      <c r="E72" s="123">
        <f>'Water Heater Stock'!E19*'O&amp;M Cost'!$D9/1000000</f>
        <v>0</v>
      </c>
      <c r="F72" s="123">
        <f>'Water Heater Stock'!F19*'O&amp;M Cost'!$D9/1000000</f>
        <v>0</v>
      </c>
      <c r="G72" s="123">
        <f>'Water Heater Stock'!G19*'O&amp;M Cost'!$D9/1000000</f>
        <v>0</v>
      </c>
      <c r="H72" s="123">
        <f>'Water Heater Stock'!H19*'O&amp;M Cost'!$D9/1000000</f>
        <v>0</v>
      </c>
      <c r="I72" s="123">
        <f>'Water Heater Stock'!I19*'O&amp;M Cost'!$D9/1000000</f>
        <v>0</v>
      </c>
      <c r="J72" s="123">
        <f>'Water Heater Stock'!J19*'O&amp;M Cost'!$D9/1000000</f>
        <v>0</v>
      </c>
      <c r="K72" s="123">
        <f>'Water Heater Stock'!K19*'O&amp;M Cost'!$D9/1000000</f>
        <v>0</v>
      </c>
      <c r="L72" s="123">
        <f>'Water Heater Stock'!L19*'O&amp;M Cost'!$D9/1000000</f>
        <v>0</v>
      </c>
      <c r="M72" s="123">
        <f>'Water Heater Stock'!M19*'O&amp;M Cost'!$D9/1000000</f>
        <v>0</v>
      </c>
      <c r="N72" s="123">
        <f>'Water Heater Stock'!N19*'O&amp;M Cost'!$D9/1000000</f>
        <v>0</v>
      </c>
      <c r="O72" s="123">
        <f>'Water Heater Stock'!O19*'O&amp;M Cost'!$D9/1000000</f>
        <v>0</v>
      </c>
      <c r="P72" s="123">
        <f>'Water Heater Stock'!P19*'O&amp;M Cost'!$D9/1000000</f>
        <v>0</v>
      </c>
      <c r="Q72" s="123">
        <f>'Water Heater Stock'!Q19*'O&amp;M Cost'!$D9/1000000</f>
        <v>0</v>
      </c>
      <c r="R72" s="123">
        <f>'Water Heater Stock'!R19*'O&amp;M Cost'!$D9/1000000</f>
        <v>0</v>
      </c>
      <c r="S72" s="123">
        <f>'Water Heater Stock'!S19*'O&amp;M Cost'!$D9/1000000</f>
        <v>0</v>
      </c>
      <c r="T72" s="123">
        <f>'Water Heater Stock'!T19*'O&amp;M Cost'!$D9/1000000</f>
        <v>0</v>
      </c>
      <c r="U72" s="123">
        <f>'Water Heater Stock'!U19*'O&amp;M Cost'!$D9/1000000</f>
        <v>0</v>
      </c>
      <c r="V72" s="123">
        <f>'Water Heater Stock'!V19*'O&amp;M Cost'!$D9/1000000</f>
        <v>0</v>
      </c>
      <c r="W72" s="123">
        <f>'Water Heater Stock'!W19*'O&amp;M Cost'!$D9/1000000</f>
        <v>0</v>
      </c>
    </row>
    <row r="74" spans="1:23">
      <c r="A74" s="12" t="s">
        <v>123</v>
      </c>
    </row>
    <row r="75" spans="1:23">
      <c r="A75" s="14" t="str">
        <f>'Energy Usage'!A25</f>
        <v>Water Heat Ending</v>
      </c>
      <c r="B75" s="56">
        <f>'Energy Usage'!B25</f>
        <v>2014</v>
      </c>
      <c r="C75" s="56">
        <f>'Energy Usage'!C25</f>
        <v>2015</v>
      </c>
      <c r="D75" s="56">
        <f>'Energy Usage'!D25</f>
        <v>2016</v>
      </c>
      <c r="E75" s="56">
        <f>'Energy Usage'!E25</f>
        <v>2017</v>
      </c>
      <c r="F75" s="56">
        <f>'Energy Usage'!F25</f>
        <v>2018</v>
      </c>
      <c r="G75" s="56">
        <f>'Energy Usage'!G25</f>
        <v>2019</v>
      </c>
      <c r="H75" s="56">
        <f>'Energy Usage'!H25</f>
        <v>2020</v>
      </c>
      <c r="I75" s="56">
        <f>'Energy Usage'!I25</f>
        <v>2021</v>
      </c>
      <c r="J75" s="56">
        <f>'Energy Usage'!J25</f>
        <v>2022</v>
      </c>
      <c r="K75" s="56">
        <f>'Energy Usage'!K25</f>
        <v>2023</v>
      </c>
      <c r="L75" s="56">
        <f>'Energy Usage'!L25</f>
        <v>2024</v>
      </c>
      <c r="M75" s="56">
        <f>'Energy Usage'!M25</f>
        <v>2025</v>
      </c>
      <c r="N75" s="56">
        <f>'Energy Usage'!N25</f>
        <v>2026</v>
      </c>
      <c r="O75" s="56">
        <f>'Energy Usage'!O25</f>
        <v>2027</v>
      </c>
      <c r="P75" s="56">
        <f>'Energy Usage'!P25</f>
        <v>2028</v>
      </c>
      <c r="Q75" s="56">
        <f>'Energy Usage'!Q25</f>
        <v>2029</v>
      </c>
      <c r="R75" s="56">
        <f>'Energy Usage'!R25</f>
        <v>2030</v>
      </c>
      <c r="S75" s="56">
        <f>'Energy Usage'!S25</f>
        <v>2031</v>
      </c>
      <c r="T75" s="56">
        <f>'Energy Usage'!T25</f>
        <v>2032</v>
      </c>
      <c r="U75" s="56">
        <f>'Energy Usage'!U25</f>
        <v>2033</v>
      </c>
      <c r="V75" s="56">
        <f>'Energy Usage'!V25</f>
        <v>2034</v>
      </c>
      <c r="W75" s="56">
        <f>'Energy Usage'!W25</f>
        <v>2035</v>
      </c>
    </row>
    <row r="76" spans="1:23" ht="16.5" thickBot="1">
      <c r="A76" s="49" t="s">
        <v>48</v>
      </c>
      <c r="B76" s="129">
        <f t="shared" ref="B76:W76" si="25">SUM(B77:B81)</f>
        <v>33.171042745261964</v>
      </c>
      <c r="C76" s="129">
        <f t="shared" si="25"/>
        <v>32.175146115807479</v>
      </c>
      <c r="D76" s="129">
        <f t="shared" si="25"/>
        <v>31.254765767691687</v>
      </c>
      <c r="E76" s="129">
        <f t="shared" si="25"/>
        <v>30.405561403805372</v>
      </c>
      <c r="F76" s="129">
        <f t="shared" si="25"/>
        <v>29.623458461328458</v>
      </c>
      <c r="G76" s="129">
        <f t="shared" si="25"/>
        <v>28.904632116559313</v>
      </c>
      <c r="H76" s="129">
        <f t="shared" si="25"/>
        <v>28.245492255596236</v>
      </c>
      <c r="I76" s="129">
        <f t="shared" si="25"/>
        <v>27.642669352651325</v>
      </c>
      <c r="J76" s="129">
        <f t="shared" si="25"/>
        <v>27.093001201285041</v>
      </c>
      <c r="K76" s="129">
        <f t="shared" si="25"/>
        <v>26.593520447145671</v>
      </c>
      <c r="L76" s="129">
        <f t="shared" si="25"/>
        <v>26.141442873896622</v>
      </c>
      <c r="M76" s="129">
        <f t="shared" si="25"/>
        <v>25.734156396925538</v>
      </c>
      <c r="N76" s="129">
        <f t="shared" si="25"/>
        <v>25.369210722165654</v>
      </c>
      <c r="O76" s="129">
        <f t="shared" si="25"/>
        <v>25.044307629931239</v>
      </c>
      <c r="P76" s="129">
        <f t="shared" si="25"/>
        <v>24.757291846085494</v>
      </c>
      <c r="Q76" s="129">
        <f t="shared" si="25"/>
        <v>24.506142465130484</v>
      </c>
      <c r="R76" s="129">
        <f t="shared" si="25"/>
        <v>24.288964891942911</v>
      </c>
      <c r="S76" s="129">
        <f t="shared" si="25"/>
        <v>24.103983270885266</v>
      </c>
      <c r="T76" s="129">
        <f t="shared" si="25"/>
        <v>23.949533372907037</v>
      </c>
      <c r="U76" s="129">
        <f t="shared" si="25"/>
        <v>23.824055913021819</v>
      </c>
      <c r="V76" s="129">
        <f t="shared" si="25"/>
        <v>23.726090272211231</v>
      </c>
      <c r="W76" s="129">
        <f t="shared" si="25"/>
        <v>23.654268599370781</v>
      </c>
    </row>
    <row r="77" spans="1:23" ht="16.5" thickTop="1">
      <c r="A77" s="38" t="str">
        <f>'Energy Usage'!A27</f>
        <v>Electric Resistance</v>
      </c>
      <c r="B77" s="123">
        <f>(('Energy Usage'!B27*'Retail Rates'!B$5*'Device Energy Use'!$E5+'Energy Usage'!B27*'Retail Rates'!B$6*(1-'Device Energy Use'!$E5)))/1000000</f>
        <v>33.171042745261964</v>
      </c>
      <c r="C77" s="123">
        <f>(('Energy Usage'!C27*'Retail Rates'!C$5*'Device Energy Use'!$E5+'Energy Usage'!C27*'Retail Rates'!C$6*(1-'Device Energy Use'!$E5)))/1000000</f>
        <v>31.202104422311056</v>
      </c>
      <c r="D77" s="123">
        <f>(('Energy Usage'!D27*'Retail Rates'!D$5*'Device Energy Use'!$E5+'Energy Usage'!D27*'Retail Rates'!D$6*(1-'Device Energy Use'!$E5)))/1000000</f>
        <v>29.350036652672443</v>
      </c>
      <c r="E77" s="123">
        <f>(('Energy Usage'!E27*'Retail Rates'!E$5*'Device Energy Use'!$E5+'Energy Usage'!E27*'Retail Rates'!E$6*(1-'Device Energy Use'!$E5)))/1000000</f>
        <v>27.607902334217385</v>
      </c>
      <c r="F77" s="123">
        <f>(('Energy Usage'!F27*'Retail Rates'!F$5*'Device Energy Use'!$E5+'Energy Usage'!F27*'Retail Rates'!F$6*(1-'Device Energy Use'!$E5)))/1000000</f>
        <v>25.969176131379193</v>
      </c>
      <c r="G77" s="123">
        <f>(('Energy Usage'!G27*'Retail Rates'!G$5*'Device Energy Use'!$E5+'Energy Usage'!G27*'Retail Rates'!G$6*(1-'Device Energy Use'!$E5)))/1000000</f>
        <v>24.42772003386661</v>
      </c>
      <c r="H77" s="123">
        <f>(('Energy Usage'!H27*'Retail Rates'!H$5*'Device Energy Use'!$E5+'Energy Usage'!H27*'Retail Rates'!H$6*(1-'Device Energy Use'!$E5)))/1000000</f>
        <v>22.977760366142103</v>
      </c>
      <c r="I77" s="123">
        <f>(('Energy Usage'!I27*'Retail Rates'!I$5*'Device Energy Use'!$E5+'Energy Usage'!I27*'Retail Rates'!I$6*(1-'Device Energy Use'!$E5)))/1000000</f>
        <v>21.613866161551805</v>
      </c>
      <c r="J77" s="123">
        <f>(('Energy Usage'!J27*'Retail Rates'!J$5*'Device Energy Use'!$E5+'Energy Usage'!J27*'Retail Rates'!J$6*(1-'Device Energy Use'!$E5)))/1000000</f>
        <v>20.330928820105406</v>
      </c>
      <c r="K77" s="123">
        <f>(('Energy Usage'!K27*'Retail Rates'!K$5*'Device Energy Use'!$E5+'Energy Usage'!K27*'Retail Rates'!K$6*(1-'Device Energy Use'!$E5)))/1000000</f>
        <v>19.124142973712004</v>
      </c>
      <c r="L77" s="123">
        <f>(('Energy Usage'!L27*'Retail Rates'!L$5*'Device Energy Use'!$E5+'Energy Usage'!L27*'Retail Rates'!L$6*(1-'Device Energy Use'!$E5)))/1000000</f>
        <v>17.988988487200952</v>
      </c>
      <c r="M77" s="123">
        <f>(('Energy Usage'!M27*'Retail Rates'!M$5*'Device Energy Use'!$E5+'Energy Usage'!M27*'Retail Rates'!M$6*(1-'Device Energy Use'!$E5)))/1000000</f>
        <v>16.921213527710666</v>
      </c>
      <c r="N77" s="123">
        <f>(('Energy Usage'!N27*'Retail Rates'!N$5*'Device Energy Use'!$E5+'Energy Usage'!N27*'Retail Rates'!N$6*(1-'Device Energy Use'!$E5)))/1000000</f>
        <v>15.916818639030121</v>
      </c>
      <c r="O77" s="123">
        <f>(('Energy Usage'!O27*'Retail Rates'!O$5*'Device Energy Use'!$E5+'Energy Usage'!O27*'Retail Rates'!O$6*(1-'Device Energy Use'!$E5)))/1000000</f>
        <v>14.972041761241975</v>
      </c>
      <c r="P77" s="123">
        <f>(('Energy Usage'!P27*'Retail Rates'!P$5*'Device Energy Use'!$E5+'Energy Usage'!P27*'Retail Rates'!P$6*(1-'Device Energy Use'!$E5)))/1000000</f>
        <v>14.083344139556825</v>
      </c>
      <c r="Q77" s="123">
        <f>(('Energy Usage'!Q27*'Retail Rates'!Q$5*'Device Energy Use'!$E5+'Energy Usage'!Q27*'Retail Rates'!Q$6*(1-'Device Energy Use'!$E5)))/1000000</f>
        <v>13.247397069558842</v>
      </c>
      <c r="R77" s="123">
        <f>(('Energy Usage'!R27*'Retail Rates'!R$5*'Device Energy Use'!$E5+'Energy Usage'!R27*'Retail Rates'!R$6*(1-'Device Energy Use'!$E5)))/1000000</f>
        <v>12.46106942921574</v>
      </c>
      <c r="S77" s="123">
        <f>(('Energy Usage'!S27*'Retail Rates'!S$5*'Device Energy Use'!$E5+'Energy Usage'!S27*'Retail Rates'!S$6*(1-'Device Energy Use'!$E5)))/1000000</f>
        <v>11.721415950953006</v>
      </c>
      <c r="T77" s="123">
        <f>(('Energy Usage'!T27*'Retail Rates'!T$5*'Device Energy Use'!$E5+'Energy Usage'!T27*'Retail Rates'!T$6*(1-'Device Energy Use'!$E5)))/1000000</f>
        <v>11.025666189864292</v>
      </c>
      <c r="U77" s="123">
        <f>(('Energy Usage'!U27*'Retail Rates'!U$5*'Device Energy Use'!$E5+'Energy Usage'!U27*'Retail Rates'!U$6*(1-'Device Energy Use'!$E5)))/1000000</f>
        <v>10.371214146737346</v>
      </c>
      <c r="V77" s="123">
        <f>(('Energy Usage'!V27*'Retail Rates'!V$5*'Device Energy Use'!$E5+'Energy Usage'!V27*'Retail Rates'!V$6*(1-'Device Energy Use'!$E5)))/1000000</f>
        <v>9.7556085070274339</v>
      </c>
      <c r="W77" s="123">
        <f>(('Energy Usage'!W27*'Retail Rates'!W$5*'Device Energy Use'!$E5+'Energy Usage'!W27*'Retail Rates'!W$6*(1-'Device Energy Use'!$E5)))/1000000</f>
        <v>9.1765434592174486</v>
      </c>
    </row>
    <row r="78" spans="1:23">
      <c r="A78" s="38" t="str">
        <f>'Energy Usage'!A28</f>
        <v>HPWH</v>
      </c>
      <c r="B78" s="123">
        <f>(('Energy Usage'!B28*'Retail Rates'!B$5*'Device Energy Use'!$E6+'Energy Usage'!B28*'Retail Rates'!B$6*(1-'Device Energy Use'!$E6)))/1000000</f>
        <v>0</v>
      </c>
      <c r="C78" s="123">
        <f>(('Energy Usage'!C28*'Retail Rates'!C$5*'Device Energy Use'!$E6+'Energy Usage'!C28*'Retail Rates'!C$6*(1-'Device Energy Use'!$E6)))/1000000</f>
        <v>0</v>
      </c>
      <c r="D78" s="123">
        <f>(('Energy Usage'!D28*'Retail Rates'!D$5*'Device Energy Use'!$E6+'Energy Usage'!D28*'Retail Rates'!D$6*(1-'Device Energy Use'!$E6)))/1000000</f>
        <v>0</v>
      </c>
      <c r="E78" s="123">
        <f>(('Energy Usage'!E28*'Retail Rates'!E$5*'Device Energy Use'!$E6+'Energy Usage'!E28*'Retail Rates'!E$6*(1-'Device Energy Use'!$E6)))/1000000</f>
        <v>0</v>
      </c>
      <c r="F78" s="123">
        <f>(('Energy Usage'!F28*'Retail Rates'!F$5*'Device Energy Use'!$E6+'Energy Usage'!F28*'Retail Rates'!F$6*(1-'Device Energy Use'!$E6)))/1000000</f>
        <v>0</v>
      </c>
      <c r="G78" s="123">
        <f>(('Energy Usage'!G28*'Retail Rates'!G$5*'Device Energy Use'!$E6+'Energy Usage'!G28*'Retail Rates'!G$6*(1-'Device Energy Use'!$E6)))/1000000</f>
        <v>0</v>
      </c>
      <c r="H78" s="123">
        <f>(('Energy Usage'!H28*'Retail Rates'!H$5*'Device Energy Use'!$E6+'Energy Usage'!H28*'Retail Rates'!H$6*(1-'Device Energy Use'!$E6)))/1000000</f>
        <v>0</v>
      </c>
      <c r="I78" s="123">
        <f>(('Energy Usage'!I28*'Retail Rates'!I$5*'Device Energy Use'!$E6+'Energy Usage'!I28*'Retail Rates'!I$6*(1-'Device Energy Use'!$E6)))/1000000</f>
        <v>0</v>
      </c>
      <c r="J78" s="123">
        <f>(('Energy Usage'!J28*'Retail Rates'!J$5*'Device Energy Use'!$E6+'Energy Usage'!J28*'Retail Rates'!J$6*(1-'Device Energy Use'!$E6)))/1000000</f>
        <v>0</v>
      </c>
      <c r="K78" s="123">
        <f>(('Energy Usage'!K28*'Retail Rates'!K$5*'Device Energy Use'!$E6+'Energy Usage'!K28*'Retail Rates'!K$6*(1-'Device Energy Use'!$E6)))/1000000</f>
        <v>0</v>
      </c>
      <c r="L78" s="123">
        <f>(('Energy Usage'!L28*'Retail Rates'!L$5*'Device Energy Use'!$E6+'Energy Usage'!L28*'Retail Rates'!L$6*(1-'Device Energy Use'!$E6)))/1000000</f>
        <v>0</v>
      </c>
      <c r="M78" s="123">
        <f>(('Energy Usage'!M28*'Retail Rates'!M$5*'Device Energy Use'!$E6+'Energy Usage'!M28*'Retail Rates'!M$6*(1-'Device Energy Use'!$E6)))/1000000</f>
        <v>0</v>
      </c>
      <c r="N78" s="123">
        <f>(('Energy Usage'!N28*'Retail Rates'!N$5*'Device Energy Use'!$E6+'Energy Usage'!N28*'Retail Rates'!N$6*(1-'Device Energy Use'!$E6)))/1000000</f>
        <v>0</v>
      </c>
      <c r="O78" s="123">
        <f>(('Energy Usage'!O28*'Retail Rates'!O$5*'Device Energy Use'!$E6+'Energy Usage'!O28*'Retail Rates'!O$6*(1-'Device Energy Use'!$E6)))/1000000</f>
        <v>0</v>
      </c>
      <c r="P78" s="123">
        <f>(('Energy Usage'!P28*'Retail Rates'!P$5*'Device Energy Use'!$E6+'Energy Usage'!P28*'Retail Rates'!P$6*(1-'Device Energy Use'!$E6)))/1000000</f>
        <v>0</v>
      </c>
      <c r="Q78" s="123">
        <f>(('Energy Usage'!Q28*'Retail Rates'!Q$5*'Device Energy Use'!$E6+'Energy Usage'!Q28*'Retail Rates'!Q$6*(1-'Device Energy Use'!$E6)))/1000000</f>
        <v>0</v>
      </c>
      <c r="R78" s="123">
        <f>(('Energy Usage'!R28*'Retail Rates'!R$5*'Device Energy Use'!$E6+'Energy Usage'!R28*'Retail Rates'!R$6*(1-'Device Energy Use'!$E6)))/1000000</f>
        <v>0</v>
      </c>
      <c r="S78" s="123">
        <f>(('Energy Usage'!S28*'Retail Rates'!S$5*'Device Energy Use'!$E6+'Energy Usage'!S28*'Retail Rates'!S$6*(1-'Device Energy Use'!$E6)))/1000000</f>
        <v>0</v>
      </c>
      <c r="T78" s="123">
        <f>(('Energy Usage'!T28*'Retail Rates'!T$5*'Device Energy Use'!$E6+'Energy Usage'!T28*'Retail Rates'!T$6*(1-'Device Energy Use'!$E6)))/1000000</f>
        <v>0</v>
      </c>
      <c r="U78" s="123">
        <f>(('Energy Usage'!U28*'Retail Rates'!U$5*'Device Energy Use'!$E6+'Energy Usage'!U28*'Retail Rates'!U$6*(1-'Device Energy Use'!$E6)))/1000000</f>
        <v>0</v>
      </c>
      <c r="V78" s="123">
        <f>(('Energy Usage'!V28*'Retail Rates'!V$5*'Device Energy Use'!$E6+'Energy Usage'!V28*'Retail Rates'!V$6*(1-'Device Energy Use'!$E6)))/1000000</f>
        <v>0</v>
      </c>
      <c r="W78" s="123">
        <f>(('Energy Usage'!W28*'Retail Rates'!W$5*'Device Energy Use'!$E6+'Energy Usage'!W28*'Retail Rates'!W$6*(1-'Device Energy Use'!$E6)))/1000000</f>
        <v>0</v>
      </c>
    </row>
    <row r="79" spans="1:23">
      <c r="A79" s="38" t="str">
        <f>'Energy Usage'!A29</f>
        <v>Gas Tank</v>
      </c>
      <c r="B79" s="123">
        <f>(('Energy Usage'!B29*'Retail Rates'!B$5*'Device Energy Use'!$E7+'Energy Usage'!B29*'Retail Rates'!B$6*(1-'Device Energy Use'!$E7)))/1000000</f>
        <v>0</v>
      </c>
      <c r="C79" s="123">
        <f>(('Energy Usage'!C29*'Retail Rates'!C$5*'Device Energy Use'!$E7+'Energy Usage'!C29*'Retail Rates'!C$6*(1-'Device Energy Use'!$E7)))/1000000</f>
        <v>0.97304169349642133</v>
      </c>
      <c r="D79" s="123">
        <f>(('Energy Usage'!D29*'Retail Rates'!D$5*'Device Energy Use'!$E7+'Energy Usage'!D29*'Retail Rates'!D$6*(1-'Device Energy Use'!$E7)))/1000000</f>
        <v>1.9047291150192447</v>
      </c>
      <c r="E79" s="123">
        <f>(('Energy Usage'!E29*'Retail Rates'!E$5*'Device Energy Use'!$E7+'Energy Usage'!E29*'Retail Rates'!E$6*(1-'Device Energy Use'!$E7)))/1000000</f>
        <v>2.7976590695879882</v>
      </c>
      <c r="F79" s="123">
        <f>(('Energy Usage'!F29*'Retail Rates'!F$5*'Device Energy Use'!$E7+'Energy Usage'!F29*'Retail Rates'!F$6*(1-'Device Energy Use'!$E7)))/1000000</f>
        <v>3.6542823299492646</v>
      </c>
      <c r="G79" s="123">
        <f>(('Energy Usage'!G29*'Retail Rates'!G$5*'Device Energy Use'!$E7+'Energy Usage'!G29*'Retail Rates'!G$6*(1-'Device Energy Use'!$E7)))/1000000</f>
        <v>4.4769120826927047</v>
      </c>
      <c r="H79" s="123">
        <f>(('Energy Usage'!H29*'Retail Rates'!H$5*'Device Energy Use'!$E7+'Energy Usage'!H29*'Retail Rates'!H$6*(1-'Device Energy Use'!$E7)))/1000000</f>
        <v>5.2677318894541321</v>
      </c>
      <c r="I79" s="123">
        <f>(('Energy Usage'!I29*'Retail Rates'!I$5*'Device Energy Use'!$E7+'Energy Usage'!I29*'Retail Rates'!I$6*(1-'Device Energy Use'!$E7)))/1000000</f>
        <v>6.0288031910995201</v>
      </c>
      <c r="J79" s="123">
        <f>(('Energy Usage'!J29*'Retail Rates'!J$5*'Device Energy Use'!$E7+'Energy Usage'!J29*'Retail Rates'!J$6*(1-'Device Energy Use'!$E7)))/1000000</f>
        <v>6.7620723811796335</v>
      </c>
      <c r="K79" s="123">
        <f>(('Energy Usage'!K29*'Retail Rates'!K$5*'Device Energy Use'!$E7+'Energy Usage'!K29*'Retail Rates'!K$6*(1-'Device Energy Use'!$E7)))/1000000</f>
        <v>7.4693774734336653</v>
      </c>
      <c r="L79" s="123">
        <f>(('Energy Usage'!L29*'Retail Rates'!L$5*'Device Energy Use'!$E7+'Energy Usage'!L29*'Retail Rates'!L$6*(1-'Device Energy Use'!$E7)))/1000000</f>
        <v>8.152454386695668</v>
      </c>
      <c r="M79" s="123">
        <f>(('Energy Usage'!M29*'Retail Rates'!M$5*'Device Energy Use'!$E7+'Energy Usage'!M29*'Retail Rates'!M$6*(1-'Device Energy Use'!$E7)))/1000000</f>
        <v>8.8129428692148721</v>
      </c>
      <c r="N79" s="123">
        <f>(('Energy Usage'!N29*'Retail Rates'!N$5*'Device Energy Use'!$E7+'Energy Usage'!N29*'Retail Rates'!N$6*(1-'Device Energy Use'!$E7)))/1000000</f>
        <v>9.4523920831355337</v>
      </c>
      <c r="O79" s="123">
        <f>(('Energy Usage'!O29*'Retail Rates'!O$5*'Device Energy Use'!$E7+'Energy Usage'!O29*'Retail Rates'!O$6*(1-'Device Energy Use'!$E7)))/1000000</f>
        <v>10.072265868689264</v>
      </c>
      <c r="P79" s="123">
        <f>(('Energy Usage'!P29*'Retail Rates'!P$5*'Device Energy Use'!$E7+'Energy Usage'!P29*'Retail Rates'!P$6*(1-'Device Energy Use'!$E7)))/1000000</f>
        <v>10.673947706528669</v>
      </c>
      <c r="Q79" s="123">
        <f>(('Energy Usage'!Q29*'Retail Rates'!Q$5*'Device Energy Use'!$E7+'Energy Usage'!Q29*'Retail Rates'!Q$6*(1-'Device Energy Use'!$E7)))/1000000</f>
        <v>11.258745395571642</v>
      </c>
      <c r="R79" s="123">
        <f>(('Energy Usage'!R29*'Retail Rates'!R$5*'Device Energy Use'!$E7+'Energy Usage'!R29*'Retail Rates'!R$6*(1-'Device Energy Use'!$E7)))/1000000</f>
        <v>11.827895462727168</v>
      </c>
      <c r="S79" s="123">
        <f>(('Energy Usage'!S29*'Retail Rates'!S$5*'Device Energy Use'!$E7+'Energy Usage'!S29*'Retail Rates'!S$6*(1-'Device Energy Use'!$E7)))/1000000</f>
        <v>12.382567319932262</v>
      </c>
      <c r="T79" s="123">
        <f>(('Energy Usage'!T29*'Retail Rates'!T$5*'Device Energy Use'!$E7+'Energy Usage'!T29*'Retail Rates'!T$6*(1-'Device Energy Use'!$E7)))/1000000</f>
        <v>12.923867183042745</v>
      </c>
      <c r="U79" s="123">
        <f>(('Energy Usage'!U29*'Retail Rates'!U$5*'Device Energy Use'!$E7+'Energy Usage'!U29*'Retail Rates'!U$6*(1-'Device Energy Use'!$E7)))/1000000</f>
        <v>13.452841766284473</v>
      </c>
      <c r="V79" s="123">
        <f>(('Energy Usage'!V29*'Retail Rates'!V$5*'Device Energy Use'!$E7+'Energy Usage'!V29*'Retail Rates'!V$6*(1-'Device Energy Use'!$E7)))/1000000</f>
        <v>13.970481765183798</v>
      </c>
      <c r="W79" s="123">
        <f>(('Energy Usage'!W29*'Retail Rates'!W$5*'Device Energy Use'!$E7+'Energy Usage'!W29*'Retail Rates'!W$6*(1-'Device Energy Use'!$E7)))/1000000</f>
        <v>14.47772514015333</v>
      </c>
    </row>
    <row r="80" spans="1:23">
      <c r="A80" s="38" t="str">
        <f>'Energy Usage'!A30</f>
        <v>Instant Gas</v>
      </c>
      <c r="B80" s="123">
        <f>(('Energy Usage'!B30*'Retail Rates'!B$5*'Device Energy Use'!$E8+'Energy Usage'!B30*'Retail Rates'!B$6*(1-'Device Energy Use'!$E8)))/1000000</f>
        <v>0</v>
      </c>
      <c r="C80" s="123">
        <f>(('Energy Usage'!C30*'Retail Rates'!C$5*'Device Energy Use'!$E8+'Energy Usage'!C30*'Retail Rates'!C$6*(1-'Device Energy Use'!$E8)))/1000000</f>
        <v>0</v>
      </c>
      <c r="D80" s="123">
        <f>(('Energy Usage'!D30*'Retail Rates'!D$5*'Device Energy Use'!$E8+'Energy Usage'!D30*'Retail Rates'!D$6*(1-'Device Energy Use'!$E8)))/1000000</f>
        <v>0</v>
      </c>
      <c r="E80" s="123">
        <f>(('Energy Usage'!E30*'Retail Rates'!E$5*'Device Energy Use'!$E8+'Energy Usage'!E30*'Retail Rates'!E$6*(1-'Device Energy Use'!$E8)))/1000000</f>
        <v>0</v>
      </c>
      <c r="F80" s="123">
        <f>(('Energy Usage'!F30*'Retail Rates'!F$5*'Device Energy Use'!$E8+'Energy Usage'!F30*'Retail Rates'!F$6*(1-'Device Energy Use'!$E8)))/1000000</f>
        <v>0</v>
      </c>
      <c r="G80" s="123">
        <f>(('Energy Usage'!G30*'Retail Rates'!G$5*'Device Energy Use'!$E8+'Energy Usage'!G30*'Retail Rates'!G$6*(1-'Device Energy Use'!$E8)))/1000000</f>
        <v>0</v>
      </c>
      <c r="H80" s="123">
        <f>(('Energy Usage'!H30*'Retail Rates'!H$5*'Device Energy Use'!$E8+'Energy Usage'!H30*'Retail Rates'!H$6*(1-'Device Energy Use'!$E8)))/1000000</f>
        <v>0</v>
      </c>
      <c r="I80" s="123">
        <f>(('Energy Usage'!I30*'Retail Rates'!I$5*'Device Energy Use'!$E8+'Energy Usage'!I30*'Retail Rates'!I$6*(1-'Device Energy Use'!$E8)))/1000000</f>
        <v>0</v>
      </c>
      <c r="J80" s="123">
        <f>(('Energy Usage'!J30*'Retail Rates'!J$5*'Device Energy Use'!$E8+'Energy Usage'!J30*'Retail Rates'!J$6*(1-'Device Energy Use'!$E8)))/1000000</f>
        <v>0</v>
      </c>
      <c r="K80" s="123">
        <f>(('Energy Usage'!K30*'Retail Rates'!K$5*'Device Energy Use'!$E8+'Energy Usage'!K30*'Retail Rates'!K$6*(1-'Device Energy Use'!$E8)))/1000000</f>
        <v>0</v>
      </c>
      <c r="L80" s="123">
        <f>(('Energy Usage'!L30*'Retail Rates'!L$5*'Device Energy Use'!$E8+'Energy Usage'!L30*'Retail Rates'!L$6*(1-'Device Energy Use'!$E8)))/1000000</f>
        <v>0</v>
      </c>
      <c r="M80" s="123">
        <f>(('Energy Usage'!M30*'Retail Rates'!M$5*'Device Energy Use'!$E8+'Energy Usage'!M30*'Retail Rates'!M$6*(1-'Device Energy Use'!$E8)))/1000000</f>
        <v>0</v>
      </c>
      <c r="N80" s="123">
        <f>(('Energy Usage'!N30*'Retail Rates'!N$5*'Device Energy Use'!$E8+'Energy Usage'!N30*'Retail Rates'!N$6*(1-'Device Energy Use'!$E8)))/1000000</f>
        <v>0</v>
      </c>
      <c r="O80" s="123">
        <f>(('Energy Usage'!O30*'Retail Rates'!O$5*'Device Energy Use'!$E8+'Energy Usage'!O30*'Retail Rates'!O$6*(1-'Device Energy Use'!$E8)))/1000000</f>
        <v>0</v>
      </c>
      <c r="P80" s="123">
        <f>(('Energy Usage'!P30*'Retail Rates'!P$5*'Device Energy Use'!$E8+'Energy Usage'!P30*'Retail Rates'!P$6*(1-'Device Energy Use'!$E8)))/1000000</f>
        <v>0</v>
      </c>
      <c r="Q80" s="123">
        <f>(('Energy Usage'!Q30*'Retail Rates'!Q$5*'Device Energy Use'!$E8+'Energy Usage'!Q30*'Retail Rates'!Q$6*(1-'Device Energy Use'!$E8)))/1000000</f>
        <v>0</v>
      </c>
      <c r="R80" s="123">
        <f>(('Energy Usage'!R30*'Retail Rates'!R$5*'Device Energy Use'!$E8+'Energy Usage'!R30*'Retail Rates'!R$6*(1-'Device Energy Use'!$E8)))/1000000</f>
        <v>0</v>
      </c>
      <c r="S80" s="123">
        <f>(('Energy Usage'!S30*'Retail Rates'!S$5*'Device Energy Use'!$E8+'Energy Usage'!S30*'Retail Rates'!S$6*(1-'Device Energy Use'!$E8)))/1000000</f>
        <v>0</v>
      </c>
      <c r="T80" s="123">
        <f>(('Energy Usage'!T30*'Retail Rates'!T$5*'Device Energy Use'!$E8+'Energy Usage'!T30*'Retail Rates'!T$6*(1-'Device Energy Use'!$E8)))/1000000</f>
        <v>0</v>
      </c>
      <c r="U80" s="123">
        <f>(('Energy Usage'!U30*'Retail Rates'!U$5*'Device Energy Use'!$E8+'Energy Usage'!U30*'Retail Rates'!U$6*(1-'Device Energy Use'!$E8)))/1000000</f>
        <v>0</v>
      </c>
      <c r="V80" s="123">
        <f>(('Energy Usage'!V30*'Retail Rates'!V$5*'Device Energy Use'!$E8+'Energy Usage'!V30*'Retail Rates'!V$6*(1-'Device Energy Use'!$E8)))/1000000</f>
        <v>0</v>
      </c>
      <c r="W80" s="123">
        <f>(('Energy Usage'!W30*'Retail Rates'!W$5*'Device Energy Use'!$E8+'Energy Usage'!W30*'Retail Rates'!W$6*(1-'Device Energy Use'!$E8)))/1000000</f>
        <v>0</v>
      </c>
    </row>
    <row r="81" spans="1:23">
      <c r="A81" s="38" t="str">
        <f>'Energy Usage'!A31</f>
        <v>Condensing Gas</v>
      </c>
      <c r="B81" s="123">
        <f>(('Energy Usage'!B31*'Retail Rates'!B$5*'Device Energy Use'!$E9+'Energy Usage'!B31*'Retail Rates'!B$6*(1-'Device Energy Use'!$E9)))/1000000</f>
        <v>0</v>
      </c>
      <c r="C81" s="123">
        <f>(('Energy Usage'!C31*'Retail Rates'!C$5*'Device Energy Use'!$E9+'Energy Usage'!C31*'Retail Rates'!C$6*(1-'Device Energy Use'!$E9)))/1000000</f>
        <v>0</v>
      </c>
      <c r="D81" s="123">
        <f>(('Energy Usage'!D31*'Retail Rates'!D$5*'Device Energy Use'!$E9+'Energy Usage'!D31*'Retail Rates'!D$6*(1-'Device Energy Use'!$E9)))/1000000</f>
        <v>0</v>
      </c>
      <c r="E81" s="123">
        <f>(('Energy Usage'!E31*'Retail Rates'!E$5*'Device Energy Use'!$E9+'Energy Usage'!E31*'Retail Rates'!E$6*(1-'Device Energy Use'!$E9)))/1000000</f>
        <v>0</v>
      </c>
      <c r="F81" s="123">
        <f>(('Energy Usage'!F31*'Retail Rates'!F$5*'Device Energy Use'!$E9+'Energy Usage'!F31*'Retail Rates'!F$6*(1-'Device Energy Use'!$E9)))/1000000</f>
        <v>0</v>
      </c>
      <c r="G81" s="123">
        <f>(('Energy Usage'!G31*'Retail Rates'!G$5*'Device Energy Use'!$E9+'Energy Usage'!G31*'Retail Rates'!G$6*(1-'Device Energy Use'!$E9)))/1000000</f>
        <v>0</v>
      </c>
      <c r="H81" s="123">
        <f>(('Energy Usage'!H31*'Retail Rates'!H$5*'Device Energy Use'!$E9+'Energy Usage'!H31*'Retail Rates'!H$6*(1-'Device Energy Use'!$E9)))/1000000</f>
        <v>0</v>
      </c>
      <c r="I81" s="123">
        <f>(('Energy Usage'!I31*'Retail Rates'!I$5*'Device Energy Use'!$E9+'Energy Usage'!I31*'Retail Rates'!I$6*(1-'Device Energy Use'!$E9)))/1000000</f>
        <v>0</v>
      </c>
      <c r="J81" s="123">
        <f>(('Energy Usage'!J31*'Retail Rates'!J$5*'Device Energy Use'!$E9+'Energy Usage'!J31*'Retail Rates'!J$6*(1-'Device Energy Use'!$E9)))/1000000</f>
        <v>0</v>
      </c>
      <c r="K81" s="123">
        <f>(('Energy Usage'!K31*'Retail Rates'!K$5*'Device Energy Use'!$E9+'Energy Usage'!K31*'Retail Rates'!K$6*(1-'Device Energy Use'!$E9)))/1000000</f>
        <v>0</v>
      </c>
      <c r="L81" s="123">
        <f>(('Energy Usage'!L31*'Retail Rates'!L$5*'Device Energy Use'!$E9+'Energy Usage'!L31*'Retail Rates'!L$6*(1-'Device Energy Use'!$E9)))/1000000</f>
        <v>0</v>
      </c>
      <c r="M81" s="123">
        <f>(('Energy Usage'!M31*'Retail Rates'!M$5*'Device Energy Use'!$E9+'Energy Usage'!M31*'Retail Rates'!M$6*(1-'Device Energy Use'!$E9)))/1000000</f>
        <v>0</v>
      </c>
      <c r="N81" s="123">
        <f>(('Energy Usage'!N31*'Retail Rates'!N$5*'Device Energy Use'!$E9+'Energy Usage'!N31*'Retail Rates'!N$6*(1-'Device Energy Use'!$E9)))/1000000</f>
        <v>0</v>
      </c>
      <c r="O81" s="123">
        <f>(('Energy Usage'!O31*'Retail Rates'!O$5*'Device Energy Use'!$E9+'Energy Usage'!O31*'Retail Rates'!O$6*(1-'Device Energy Use'!$E9)))/1000000</f>
        <v>0</v>
      </c>
      <c r="P81" s="123">
        <f>(('Energy Usage'!P31*'Retail Rates'!P$5*'Device Energy Use'!$E9+'Energy Usage'!P31*'Retail Rates'!P$6*(1-'Device Energy Use'!$E9)))/1000000</f>
        <v>0</v>
      </c>
      <c r="Q81" s="123">
        <f>(('Energy Usage'!Q31*'Retail Rates'!Q$5*'Device Energy Use'!$E9+'Energy Usage'!Q31*'Retail Rates'!Q$6*(1-'Device Energy Use'!$E9)))/1000000</f>
        <v>0</v>
      </c>
      <c r="R81" s="123">
        <f>(('Energy Usage'!R31*'Retail Rates'!R$5*'Device Energy Use'!$E9+'Energy Usage'!R31*'Retail Rates'!R$6*(1-'Device Energy Use'!$E9)))/1000000</f>
        <v>0</v>
      </c>
      <c r="S81" s="123">
        <f>(('Energy Usage'!S31*'Retail Rates'!S$5*'Device Energy Use'!$E9+'Energy Usage'!S31*'Retail Rates'!S$6*(1-'Device Energy Use'!$E9)))/1000000</f>
        <v>0</v>
      </c>
      <c r="T81" s="123">
        <f>(('Energy Usage'!T31*'Retail Rates'!T$5*'Device Energy Use'!$E9+'Energy Usage'!T31*'Retail Rates'!T$6*(1-'Device Energy Use'!$E9)))/1000000</f>
        <v>0</v>
      </c>
      <c r="U81" s="123">
        <f>(('Energy Usage'!U31*'Retail Rates'!U$5*'Device Energy Use'!$E9+'Energy Usage'!U31*'Retail Rates'!U$6*(1-'Device Energy Use'!$E9)))/1000000</f>
        <v>0</v>
      </c>
      <c r="V81" s="123">
        <f>(('Energy Usage'!V31*'Retail Rates'!V$5*'Device Energy Use'!$E9+'Energy Usage'!V31*'Retail Rates'!V$6*(1-'Device Energy Use'!$E9)))/1000000</f>
        <v>0</v>
      </c>
      <c r="W81" s="123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C2" sqref="C2"/>
    </sheetView>
  </sheetViews>
  <sheetFormatPr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5"/>
    <col min="26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2" spans="1:25" s="149" customFormat="1">
      <c r="X2" s="150"/>
      <c r="Y2" s="150"/>
    </row>
    <row r="3" spans="1:25">
      <c r="A3" s="12" t="s">
        <v>155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148</v>
      </c>
      <c r="B5" s="131">
        <f>'Energy Usage'!B13</f>
        <v>0</v>
      </c>
      <c r="C5" s="131">
        <f>'Energy Usage'!C13</f>
        <v>7.7945295131418568E-2</v>
      </c>
      <c r="D5" s="131">
        <f>'Energy Usage'!D13</f>
        <v>0.15021589223852647</v>
      </c>
      <c r="E5" s="131">
        <f>'Energy Usage'!E13</f>
        <v>0.21721836405726033</v>
      </c>
      <c r="F5" s="131">
        <f>'Energy Usage'!F13</f>
        <v>0.27932994893753216</v>
      </c>
      <c r="G5" s="131">
        <f>'Energy Usage'!G13</f>
        <v>0.33690051687034461</v>
      </c>
      <c r="H5" s="131">
        <f>'Energy Usage'!H13</f>
        <v>0.39025437050561473</v>
      </c>
      <c r="I5" s="131">
        <f>'Energy Usage'!I13</f>
        <v>0.43969190198395858</v>
      </c>
      <c r="J5" s="131">
        <f>'Energy Usage'!J13</f>
        <v>0.48549113179774778</v>
      </c>
      <c r="K5" s="131">
        <f>'Energy Usage'!K13</f>
        <v>0.52790916094235563</v>
      </c>
      <c r="L5" s="131">
        <f>'Energy Usage'!L13</f>
        <v>0.56718357069390546</v>
      </c>
      <c r="M5" s="131">
        <f>'Energy Usage'!M13</f>
        <v>0.60353380342435137</v>
      </c>
      <c r="N5" s="131">
        <f>'Energy Usage'!N13</f>
        <v>0.6371625510117247</v>
      </c>
      <c r="O5" s="131">
        <f>'Energy Usage'!O13</f>
        <v>0.66825716371103683</v>
      </c>
      <c r="P5" s="131">
        <f>'Energy Usage'!P13</f>
        <v>0.69699107296716489</v>
      </c>
      <c r="Q5" s="131">
        <f>'Energy Usage'!Q13</f>
        <v>0.72352520034845691</v>
      </c>
      <c r="R5" s="131">
        <f>'Energy Usage'!R13</f>
        <v>0.74800930735694027</v>
      </c>
      <c r="S5" s="131">
        <f>'Energy Usage'!S13</f>
        <v>0.7705832331791207</v>
      </c>
      <c r="T5" s="131">
        <f>'Energy Usage'!T13</f>
        <v>0.79137797277424493</v>
      </c>
      <c r="U5" s="131">
        <f>'Energy Usage'!U13</f>
        <v>0.81051656499273306</v>
      </c>
      <c r="V5" s="131">
        <f>'Energy Usage'!V13</f>
        <v>0.82811478448120002</v>
      </c>
      <c r="W5" s="131">
        <f>'Energy Usage'!W13</f>
        <v>0.84428165486306939</v>
      </c>
      <c r="X5" s="9"/>
      <c r="Y5" s="9"/>
    </row>
    <row r="6" spans="1:25">
      <c r="A6" s="42" t="s">
        <v>149</v>
      </c>
      <c r="B6" s="132">
        <f t="shared" ref="B6" si="0">B13*ConvertMMBTU/1000</f>
        <v>0</v>
      </c>
      <c r="C6" s="132">
        <f>C13</f>
        <v>9.7532112931798698E-2</v>
      </c>
      <c r="D6" s="132">
        <f t="shared" ref="D6:W6" si="1">D13</f>
        <v>0.18794514747385255</v>
      </c>
      <c r="E6" s="132">
        <f t="shared" si="1"/>
        <v>0.27173434639802496</v>
      </c>
      <c r="F6" s="132">
        <f t="shared" si="1"/>
        <v>0.34935010517480286</v>
      </c>
      <c r="G6" s="132">
        <f t="shared" si="1"/>
        <v>0.42119723291591926</v>
      </c>
      <c r="H6" s="132">
        <f t="shared" si="1"/>
        <v>0.48763360722317745</v>
      </c>
      <c r="I6" s="132">
        <f t="shared" si="1"/>
        <v>0.54896860506687739</v>
      </c>
      <c r="J6" s="132">
        <f t="shared" si="1"/>
        <v>0.6054618802381192</v>
      </c>
      <c r="K6" s="132">
        <f t="shared" si="1"/>
        <v>0.65732321931090432</v>
      </c>
      <c r="L6" s="132">
        <f t="shared" si="1"/>
        <v>0.70471428848905271</v>
      </c>
      <c r="M6" s="132">
        <f t="shared" si="1"/>
        <v>0.74775302082956618</v>
      </c>
      <c r="N6" s="132">
        <f t="shared" si="1"/>
        <v>0.78652113467249063</v>
      </c>
      <c r="O6" s="132">
        <f t="shared" si="1"/>
        <v>0.82107480641390351</v>
      </c>
      <c r="P6" s="132">
        <f t="shared" si="1"/>
        <v>0.85145790007367084</v>
      </c>
      <c r="Q6" s="132">
        <f t="shared" si="1"/>
        <v>0.87771651871300338</v>
      </c>
      <c r="R6" s="132">
        <f t="shared" si="1"/>
        <v>0.89991317724147923</v>
      </c>
      <c r="S6" s="132">
        <f t="shared" si="1"/>
        <v>0.91813877497556673</v>
      </c>
      <c r="T6" s="132">
        <f t="shared" si="1"/>
        <v>0.93252084490750087</v>
      </c>
      <c r="U6" s="132">
        <f t="shared" si="1"/>
        <v>0.94322720701030771</v>
      </c>
      <c r="V6" s="132">
        <f t="shared" si="1"/>
        <v>0.95046496496267108</v>
      </c>
      <c r="W6" s="132">
        <f t="shared" si="1"/>
        <v>0.95447552801420565</v>
      </c>
      <c r="X6" s="9"/>
      <c r="Y6" s="9"/>
    </row>
    <row r="7" spans="1:25">
      <c r="A7" s="9" t="s">
        <v>151</v>
      </c>
      <c r="B7" s="131">
        <f t="shared" ref="B7:W7" si="2">B5-B6</f>
        <v>0</v>
      </c>
      <c r="C7" s="131">
        <f t="shared" si="2"/>
        <v>-1.958681780038013E-2</v>
      </c>
      <c r="D7" s="131">
        <f t="shared" si="2"/>
        <v>-3.7729255235326081E-2</v>
      </c>
      <c r="E7" s="131">
        <f t="shared" si="2"/>
        <v>-5.4515982340764629E-2</v>
      </c>
      <c r="F7" s="131">
        <f t="shared" si="2"/>
        <v>-7.0020156237270703E-2</v>
      </c>
      <c r="G7" s="131">
        <f t="shared" si="2"/>
        <v>-8.4296716045574649E-2</v>
      </c>
      <c r="H7" s="131">
        <f t="shared" si="2"/>
        <v>-9.7379236717562712E-2</v>
      </c>
      <c r="I7" s="131">
        <f t="shared" si="2"/>
        <v>-0.10927670308291881</v>
      </c>
      <c r="J7" s="131">
        <f t="shared" si="2"/>
        <v>-0.11997074844037142</v>
      </c>
      <c r="K7" s="131">
        <f t="shared" si="2"/>
        <v>-0.12941405836854869</v>
      </c>
      <c r="L7" s="131">
        <f t="shared" si="2"/>
        <v>-0.13753071779514725</v>
      </c>
      <c r="M7" s="131">
        <f t="shared" si="2"/>
        <v>-0.14421921740521482</v>
      </c>
      <c r="N7" s="131">
        <f t="shared" si="2"/>
        <v>-0.14935858366076593</v>
      </c>
      <c r="O7" s="131">
        <f t="shared" si="2"/>
        <v>-0.15281764270286669</v>
      </c>
      <c r="P7" s="131">
        <f t="shared" si="2"/>
        <v>-0.15446682710650594</v>
      </c>
      <c r="Q7" s="131">
        <f t="shared" si="2"/>
        <v>-0.15419131836454647</v>
      </c>
      <c r="R7" s="131">
        <f t="shared" si="2"/>
        <v>-0.15190386988453897</v>
      </c>
      <c r="S7" s="131">
        <f t="shared" si="2"/>
        <v>-0.14755554179644603</v>
      </c>
      <c r="T7" s="131">
        <f t="shared" si="2"/>
        <v>-0.14114287213325594</v>
      </c>
      <c r="U7" s="131">
        <f t="shared" si="2"/>
        <v>-0.13271064201757465</v>
      </c>
      <c r="V7" s="131">
        <f t="shared" si="2"/>
        <v>-0.12235018048147106</v>
      </c>
      <c r="W7" s="131">
        <f t="shared" si="2"/>
        <v>-0.11019387315113627</v>
      </c>
      <c r="X7" s="9"/>
      <c r="Y7" s="9"/>
    </row>
    <row r="8" spans="1: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9"/>
      <c r="Y8" s="9"/>
    </row>
    <row r="9" spans="1:25" s="149" customFormat="1" ht="23.25" customHeight="1">
      <c r="A9" s="43" t="s">
        <v>153</v>
      </c>
      <c r="X9" s="150"/>
      <c r="Y9" s="150"/>
    </row>
    <row r="10" spans="1:25" s="149" customFormat="1">
      <c r="B10" s="149">
        <f>'Energy Usage'!B5</f>
        <v>2014</v>
      </c>
      <c r="C10" s="149">
        <f>'Energy Usage'!C5</f>
        <v>2015</v>
      </c>
      <c r="D10" s="149">
        <f>'Energy Usage'!D5</f>
        <v>2016</v>
      </c>
      <c r="E10" s="149">
        <f>'Energy Usage'!E5</f>
        <v>2017</v>
      </c>
      <c r="F10" s="149">
        <f>'Energy Usage'!F5</f>
        <v>2018</v>
      </c>
      <c r="G10" s="149">
        <f>'Energy Usage'!G5</f>
        <v>2019</v>
      </c>
      <c r="H10" s="149">
        <f>'Energy Usage'!H5</f>
        <v>2020</v>
      </c>
      <c r="I10" s="149">
        <f>'Energy Usage'!I5</f>
        <v>2021</v>
      </c>
      <c r="J10" s="149">
        <f>'Energy Usage'!J5</f>
        <v>2022</v>
      </c>
      <c r="K10" s="149">
        <f>'Energy Usage'!K5</f>
        <v>2023</v>
      </c>
      <c r="L10" s="149">
        <f>'Energy Usage'!L5</f>
        <v>2024</v>
      </c>
      <c r="M10" s="149">
        <f>'Energy Usage'!M5</f>
        <v>2025</v>
      </c>
      <c r="N10" s="149">
        <f>'Energy Usage'!N5</f>
        <v>2026</v>
      </c>
      <c r="O10" s="149">
        <f>'Energy Usage'!O5</f>
        <v>2027</v>
      </c>
      <c r="P10" s="149">
        <f>'Energy Usage'!P5</f>
        <v>2028</v>
      </c>
      <c r="Q10" s="149">
        <f>'Energy Usage'!Q5</f>
        <v>2029</v>
      </c>
      <c r="R10" s="149">
        <f>'Energy Usage'!R5</f>
        <v>2030</v>
      </c>
      <c r="S10" s="149">
        <f>'Energy Usage'!S5</f>
        <v>2031</v>
      </c>
      <c r="T10" s="149">
        <f>'Energy Usage'!T5</f>
        <v>2032</v>
      </c>
      <c r="U10" s="149">
        <f>'Energy Usage'!U5</f>
        <v>2033</v>
      </c>
      <c r="V10" s="149">
        <f>'Energy Usage'!V5</f>
        <v>2034</v>
      </c>
      <c r="W10" s="149">
        <f>'Energy Usage'!W5</f>
        <v>2035</v>
      </c>
      <c r="X10" s="150"/>
      <c r="Y10" s="150"/>
    </row>
    <row r="11" spans="1:25" s="149" customFormat="1">
      <c r="A11" s="149" t="s">
        <v>167</v>
      </c>
      <c r="B11" s="152">
        <f>-'Energy Usage'!B8/3412*1000000</f>
        <v>0</v>
      </c>
      <c r="C11" s="152">
        <f>-'Energy Usage'!C8/3412*1000000</f>
        <v>15.074515136290371</v>
      </c>
      <c r="D11" s="152">
        <f>-'Energy Usage'!D8/3412*1000000</f>
        <v>29.048709037689733</v>
      </c>
      <c r="E11" s="152">
        <f>-'Energy Usage'!E8/3412*1000000</f>
        <v>41.999126182074953</v>
      </c>
      <c r="F11" s="152">
        <f>-'Energy Usage'!F8/3412*1000000</f>
        <v>53.995379470603226</v>
      </c>
      <c r="G11" s="152">
        <f>-'Energy Usage'!G8/3412*1000000</f>
        <v>65.100035999369283</v>
      </c>
      <c r="H11" s="152">
        <f>-'Energy Usage'!H8/3412*1000000</f>
        <v>75.368409153505013</v>
      </c>
      <c r="I11" s="152">
        <f>-'Energy Usage'!I8/3412*1000000</f>
        <v>84.848316084525109</v>
      </c>
      <c r="J11" s="152">
        <f>-'Energy Usage'!J8/3412*1000000</f>
        <v>93.579888753959693</v>
      </c>
      <c r="K11" s="152">
        <f>-'Energy Usage'!K8/3412*1000000</f>
        <v>101.59555167092802</v>
      </c>
      <c r="L11" s="152">
        <f>-'Energy Usage'!L8/3412*1000000</f>
        <v>108.92029188393396</v>
      </c>
      <c r="M11" s="152">
        <f>-'Energy Usage'!M8/3412*1000000</f>
        <v>115.57233706793913</v>
      </c>
      <c r="N11" s="152">
        <f>-'Energy Usage'!N8/3412*1000000</f>
        <v>121.56431756916393</v>
      </c>
      <c r="O11" s="152">
        <f>-'Energy Usage'!O8/3412*1000000</f>
        <v>126.90491598360177</v>
      </c>
      <c r="P11" s="152">
        <f>-'Energy Usage'!P8/3412*1000000</f>
        <v>131.60091191246843</v>
      </c>
      <c r="Q11" s="152">
        <f>-'Energy Usage'!Q8/3412*1000000</f>
        <v>135.65943102210252</v>
      </c>
      <c r="R11" s="152">
        <f>-'Energy Usage'!R8/3412*1000000</f>
        <v>139.09013558600915</v>
      </c>
      <c r="S11" s="152">
        <f>-'Energy Usage'!S8/3412*1000000</f>
        <v>141.90707495758375</v>
      </c>
      <c r="T11" s="152">
        <f>-'Energy Usage'!T8/3412*1000000</f>
        <v>144.12996057302951</v>
      </c>
      <c r="U11" s="152">
        <f>-'Energy Usage'!U8/3412*1000000</f>
        <v>145.78473060437523</v>
      </c>
      <c r="V11" s="152">
        <f>-'Energy Usage'!V8/3412*1000000</f>
        <v>146.90339489376677</v>
      </c>
      <c r="W11" s="152">
        <f>-'Energy Usage'!W8/3412*1000000</f>
        <v>147.52326553542591</v>
      </c>
      <c r="X11" s="150"/>
      <c r="Y11" s="150"/>
    </row>
    <row r="12" spans="1:25" s="149" customFormat="1">
      <c r="A12" s="153" t="s">
        <v>152</v>
      </c>
      <c r="B12" s="153">
        <f t="shared" ref="B12:W12" si="3">HeatRate</f>
        <v>6470</v>
      </c>
      <c r="C12" s="153">
        <f t="shared" si="3"/>
        <v>6470</v>
      </c>
      <c r="D12" s="153">
        <f t="shared" si="3"/>
        <v>6470</v>
      </c>
      <c r="E12" s="153">
        <f t="shared" si="3"/>
        <v>6470</v>
      </c>
      <c r="F12" s="153">
        <f t="shared" si="3"/>
        <v>6470</v>
      </c>
      <c r="G12" s="153">
        <f t="shared" si="3"/>
        <v>6470</v>
      </c>
      <c r="H12" s="153">
        <f t="shared" si="3"/>
        <v>6470</v>
      </c>
      <c r="I12" s="153">
        <f t="shared" si="3"/>
        <v>6470</v>
      </c>
      <c r="J12" s="153">
        <f t="shared" si="3"/>
        <v>6470</v>
      </c>
      <c r="K12" s="153">
        <f t="shared" si="3"/>
        <v>6470</v>
      </c>
      <c r="L12" s="153">
        <f t="shared" si="3"/>
        <v>6470</v>
      </c>
      <c r="M12" s="153">
        <f t="shared" si="3"/>
        <v>6470</v>
      </c>
      <c r="N12" s="153">
        <f t="shared" si="3"/>
        <v>6470</v>
      </c>
      <c r="O12" s="153">
        <f t="shared" si="3"/>
        <v>6470</v>
      </c>
      <c r="P12" s="153">
        <f t="shared" si="3"/>
        <v>6470</v>
      </c>
      <c r="Q12" s="153">
        <f t="shared" si="3"/>
        <v>6470</v>
      </c>
      <c r="R12" s="153">
        <f t="shared" si="3"/>
        <v>6470</v>
      </c>
      <c r="S12" s="153">
        <f t="shared" si="3"/>
        <v>6470</v>
      </c>
      <c r="T12" s="153">
        <f t="shared" si="3"/>
        <v>6470</v>
      </c>
      <c r="U12" s="153">
        <f t="shared" si="3"/>
        <v>6470</v>
      </c>
      <c r="V12" s="153">
        <f t="shared" si="3"/>
        <v>6470</v>
      </c>
      <c r="W12" s="153">
        <f t="shared" si="3"/>
        <v>6470</v>
      </c>
      <c r="X12" s="150"/>
      <c r="Y12" s="150"/>
    </row>
    <row r="13" spans="1:25" s="149" customFormat="1">
      <c r="A13" s="149" t="s">
        <v>168</v>
      </c>
      <c r="B13" s="151">
        <f t="shared" ref="B13" si="4">B11*1000000000/HeatRate/1000</f>
        <v>0</v>
      </c>
      <c r="C13" s="151">
        <f t="shared" ref="C13:W13" si="5">C11*HeatRate/1000000</f>
        <v>9.7532112931798698E-2</v>
      </c>
      <c r="D13" s="151">
        <f t="shared" si="5"/>
        <v>0.18794514747385255</v>
      </c>
      <c r="E13" s="151">
        <f t="shared" si="5"/>
        <v>0.27173434639802496</v>
      </c>
      <c r="F13" s="151">
        <f t="shared" si="5"/>
        <v>0.34935010517480286</v>
      </c>
      <c r="G13" s="151">
        <f t="shared" si="5"/>
        <v>0.42119723291591926</v>
      </c>
      <c r="H13" s="151">
        <f t="shared" si="5"/>
        <v>0.48763360722317745</v>
      </c>
      <c r="I13" s="151">
        <f t="shared" si="5"/>
        <v>0.54896860506687739</v>
      </c>
      <c r="J13" s="151">
        <f t="shared" si="5"/>
        <v>0.6054618802381192</v>
      </c>
      <c r="K13" s="151">
        <f t="shared" si="5"/>
        <v>0.65732321931090432</v>
      </c>
      <c r="L13" s="151">
        <f t="shared" si="5"/>
        <v>0.70471428848905271</v>
      </c>
      <c r="M13" s="151">
        <f t="shared" si="5"/>
        <v>0.74775302082956618</v>
      </c>
      <c r="N13" s="151">
        <f t="shared" si="5"/>
        <v>0.78652113467249063</v>
      </c>
      <c r="O13" s="151">
        <f t="shared" si="5"/>
        <v>0.82107480641390351</v>
      </c>
      <c r="P13" s="151">
        <f t="shared" si="5"/>
        <v>0.85145790007367084</v>
      </c>
      <c r="Q13" s="151">
        <f t="shared" si="5"/>
        <v>0.87771651871300338</v>
      </c>
      <c r="R13" s="151">
        <f t="shared" si="5"/>
        <v>0.89991317724147923</v>
      </c>
      <c r="S13" s="151">
        <f t="shared" si="5"/>
        <v>0.91813877497556673</v>
      </c>
      <c r="T13" s="151">
        <f t="shared" si="5"/>
        <v>0.93252084490750087</v>
      </c>
      <c r="U13" s="151">
        <f t="shared" si="5"/>
        <v>0.94322720701030771</v>
      </c>
      <c r="V13" s="151">
        <f t="shared" si="5"/>
        <v>0.95046496496267108</v>
      </c>
      <c r="W13" s="151">
        <f t="shared" si="5"/>
        <v>0.95447552801420565</v>
      </c>
      <c r="X13" s="150"/>
      <c r="Y13" s="150"/>
    </row>
    <row r="14" spans="1:25" s="149" customFormat="1">
      <c r="X14" s="150"/>
      <c r="Y14" s="150"/>
    </row>
    <row r="16" spans="1:25">
      <c r="B16" s="17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/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33" ht="24" customHeight="1">
      <c r="A3" s="26" t="s">
        <v>51</v>
      </c>
      <c r="AG3" s="12"/>
    </row>
    <row r="4" spans="1:33">
      <c r="A4" s="42"/>
      <c r="B4" s="42">
        <f t="shared" ref="B4:W4" si="0">B16</f>
        <v>2014</v>
      </c>
      <c r="C4" s="42">
        <f t="shared" si="0"/>
        <v>2015</v>
      </c>
      <c r="D4" s="42">
        <f t="shared" si="0"/>
        <v>2016</v>
      </c>
      <c r="E4" s="42">
        <f t="shared" si="0"/>
        <v>2017</v>
      </c>
      <c r="F4" s="42">
        <f t="shared" si="0"/>
        <v>2018</v>
      </c>
      <c r="G4" s="42">
        <f t="shared" si="0"/>
        <v>2019</v>
      </c>
      <c r="H4" s="42">
        <f t="shared" si="0"/>
        <v>2020</v>
      </c>
      <c r="I4" s="42">
        <f t="shared" si="0"/>
        <v>2021</v>
      </c>
      <c r="J4" s="42">
        <f t="shared" si="0"/>
        <v>2022</v>
      </c>
      <c r="K4" s="42">
        <f t="shared" si="0"/>
        <v>2023</v>
      </c>
      <c r="L4" s="42">
        <f t="shared" si="0"/>
        <v>2024</v>
      </c>
      <c r="M4" s="42">
        <f t="shared" si="0"/>
        <v>2025</v>
      </c>
      <c r="N4" s="42">
        <f t="shared" si="0"/>
        <v>2026</v>
      </c>
      <c r="O4" s="42">
        <f t="shared" si="0"/>
        <v>2027</v>
      </c>
      <c r="P4" s="42">
        <f t="shared" si="0"/>
        <v>2028</v>
      </c>
      <c r="Q4" s="42">
        <f t="shared" si="0"/>
        <v>2029</v>
      </c>
      <c r="R4" s="42">
        <f t="shared" si="0"/>
        <v>2030</v>
      </c>
      <c r="S4" s="42">
        <f t="shared" si="0"/>
        <v>2031</v>
      </c>
      <c r="T4" s="42">
        <f t="shared" si="0"/>
        <v>2032</v>
      </c>
      <c r="U4" s="42">
        <f t="shared" si="0"/>
        <v>2033</v>
      </c>
      <c r="V4" s="42">
        <f t="shared" si="0"/>
        <v>2034</v>
      </c>
      <c r="W4" s="42">
        <f t="shared" si="0"/>
        <v>2035</v>
      </c>
      <c r="X4" s="45"/>
    </row>
    <row r="5" spans="1:33">
      <c r="A5" s="75" t="s">
        <v>78</v>
      </c>
      <c r="B5" s="91">
        <f t="shared" ref="B5:W5" si="1">B4</f>
        <v>2014</v>
      </c>
      <c r="C5" s="91">
        <f t="shared" si="1"/>
        <v>2015</v>
      </c>
      <c r="D5" s="91">
        <f t="shared" si="1"/>
        <v>2016</v>
      </c>
      <c r="E5" s="91">
        <f t="shared" si="1"/>
        <v>2017</v>
      </c>
      <c r="F5" s="91">
        <f t="shared" si="1"/>
        <v>2018</v>
      </c>
      <c r="G5" s="91">
        <f t="shared" si="1"/>
        <v>2019</v>
      </c>
      <c r="H5" s="91">
        <f t="shared" si="1"/>
        <v>2020</v>
      </c>
      <c r="I5" s="91">
        <f t="shared" si="1"/>
        <v>2021</v>
      </c>
      <c r="J5" s="91">
        <f t="shared" si="1"/>
        <v>2022</v>
      </c>
      <c r="K5" s="91">
        <f t="shared" si="1"/>
        <v>2023</v>
      </c>
      <c r="L5" s="91">
        <f t="shared" si="1"/>
        <v>2024</v>
      </c>
      <c r="M5" s="91">
        <f t="shared" si="1"/>
        <v>2025</v>
      </c>
      <c r="N5" s="91">
        <f t="shared" si="1"/>
        <v>2026</v>
      </c>
      <c r="O5" s="91">
        <f t="shared" si="1"/>
        <v>2027</v>
      </c>
      <c r="P5" s="91">
        <f t="shared" si="1"/>
        <v>2028</v>
      </c>
      <c r="Q5" s="91">
        <f t="shared" si="1"/>
        <v>2029</v>
      </c>
      <c r="R5" s="91">
        <f t="shared" si="1"/>
        <v>2030</v>
      </c>
      <c r="S5" s="91">
        <f t="shared" si="1"/>
        <v>2031</v>
      </c>
      <c r="T5" s="91">
        <f t="shared" si="1"/>
        <v>2032</v>
      </c>
      <c r="U5" s="91">
        <f t="shared" si="1"/>
        <v>2033</v>
      </c>
      <c r="V5" s="91">
        <f t="shared" si="1"/>
        <v>2034</v>
      </c>
      <c r="W5" s="91">
        <f t="shared" si="1"/>
        <v>2035</v>
      </c>
      <c r="X5" s="45"/>
      <c r="Y5" s="45"/>
    </row>
    <row r="6" spans="1:33">
      <c r="A6" s="51" t="s">
        <v>85</v>
      </c>
      <c r="B6" s="90">
        <f>(B$18*'Device Energy Use'!$E$5+B$19*'Device Energy Use'!$E$6+'Energy Usage'!B$20*'Device Energy Use'!$E$7+'Energy Usage'!B$21*'Device Energy Use'!$E$8+'Energy Usage'!B$22*'Device Energy Use'!$E$9)/1000000</f>
        <v>1.0939129106474255</v>
      </c>
      <c r="C6" s="90">
        <f>(C$18*'Device Energy Use'!$E$5+C$19*'Device Energy Use'!$E$6+'Energy Usage'!C$20*'Device Energy Use'!$E$7+'Energy Usage'!C$21*'Device Energy Use'!$E$8+'Energy Usage'!C$22*'Device Energy Use'!$E$9)/1000000</f>
        <v>1.0672105198176323</v>
      </c>
      <c r="D6" s="90">
        <f>(D$18*'Device Energy Use'!$E$5+D$19*'Device Energy Use'!$E$6+'Energy Usage'!D$20*'Device Energy Use'!$E$7+'Energy Usage'!D$21*'Device Energy Use'!$E$8+'Energy Usage'!D$22*'Device Energy Use'!$E$9)/1000000</f>
        <v>1.0423350212540203</v>
      </c>
      <c r="E6" s="90">
        <f>(E$18*'Device Energy Use'!$E$5+E$19*'Device Energy Use'!$E$6+'Energy Usage'!E$20*'Device Energy Use'!$E$7+'Energy Usage'!E$21*'Device Energy Use'!$E$8+'Energy Usage'!E$22*'Device Energy Use'!$E$9)/1000000</f>
        <v>1.0191489284065611</v>
      </c>
      <c r="F6" s="90">
        <f>(F$18*'Device Energy Use'!$E$5+F$19*'Device Energy Use'!$E$6+'Energy Usage'!F$20*'Device Energy Use'!$E$7+'Energy Usage'!F$21*'Device Energy Use'!$E$8+'Energy Usage'!F$22*'Device Energy Use'!$E$9)/1000000</f>
        <v>0.99751957963606819</v>
      </c>
      <c r="G6" s="90">
        <f>(G$18*'Device Energy Use'!$E$5+G$19*'Device Energy Use'!$E$6+'Energy Usage'!G$20*'Device Energy Use'!$E$7+'Energy Usage'!G$21*'Device Energy Use'!$E$8+'Energy Usage'!G$22*'Device Energy Use'!$E$9)/1000000</f>
        <v>0.97731671450633428</v>
      </c>
      <c r="H6" s="90">
        <f>(H$18*'Device Energy Use'!$E$5+H$19*'Device Energy Use'!$E$6+'Energy Usage'!H$20*'Device Energy Use'!$E$7+'Energy Usage'!H$21*'Device Energy Use'!$E$8+'Energy Usage'!H$22*'Device Energy Use'!$E$9)/1000000</f>
        <v>0.95840987573135361</v>
      </c>
      <c r="I6" s="90">
        <f>(I$18*'Device Energy Use'!$E$5+I$19*'Device Energy Use'!$E$6+'Energy Usage'!I$20*'Device Energy Use'!$E$7+'Energy Usage'!I$21*'Device Energy Use'!$E$8+'Energy Usage'!I$22*'Device Energy Use'!$E$9)/1000000</f>
        <v>0.94066582791573738</v>
      </c>
      <c r="J6" s="90">
        <f>(J$18*'Device Energy Use'!$E$5+J$19*'Device Energy Use'!$E$6+'Energy Usage'!J$20*'Device Energy Use'!$E$7+'Energy Usage'!J$21*'Device Energy Use'!$E$8+'Energy Usage'!J$22*'Device Energy Use'!$E$9)/1000000</f>
        <v>0.92394628433275261</v>
      </c>
      <c r="K6" s="90">
        <f>(K$18*'Device Energy Use'!$E$5+K$19*'Device Energy Use'!$E$6+'Energy Usage'!K$20*'Device Energy Use'!$E$7+'Energy Usage'!K$21*'Device Energy Use'!$E$8+'Energy Usage'!K$22*'Device Energy Use'!$E$9)/1000000</f>
        <v>0.90810631878371706</v>
      </c>
      <c r="L6" s="90">
        <f>(L$18*'Device Energy Use'!$E$5+L$19*'Device Energy Use'!$E$6+'Energy Usage'!L$20*'Device Energy Use'!$E$7+'Energy Usage'!L$21*'Device Energy Use'!$E$8+'Energy Usage'!L$22*'Device Energy Use'!$E$9)/1000000</f>
        <v>0.89299388264174251</v>
      </c>
      <c r="M6" s="90">
        <f>(M$18*'Device Energy Use'!$E$5+M$19*'Device Energy Use'!$E$6+'Energy Usage'!M$20*'Device Energy Use'!$E$7+'Energy Usage'!M$21*'Device Energy Use'!$E$8+'Energy Usage'!M$22*'Device Energy Use'!$E$9)/1000000</f>
        <v>0.87845081461429964</v>
      </c>
      <c r="N6" s="90">
        <f>(N$18*'Device Energy Use'!$E$5+N$19*'Device Energy Use'!$E$6+'Energy Usage'!N$20*'Device Energy Use'!$E$7+'Energy Usage'!N$21*'Device Energy Use'!$E$8+'Energy Usage'!N$22*'Device Energy Use'!$E$9)/1000000</f>
        <v>0.86431559490315779</v>
      </c>
      <c r="O6" s="90">
        <f>(O$18*'Device Energy Use'!$E$5+O$19*'Device Energy Use'!$E$6+'Energy Usage'!O$20*'Device Energy Use'!$E$7+'Energy Usage'!O$21*'Device Energy Use'!$E$8+'Energy Usage'!O$22*'Device Energy Use'!$E$9)/1000000</f>
        <v>0.8504278493105647</v>
      </c>
      <c r="P6" s="90">
        <f>(P$18*'Device Energy Use'!$E$5+P$19*'Device Energy Use'!$E$6+'Energy Usage'!P$20*'Device Energy Use'!$E$7+'Energy Usage'!P$21*'Device Energy Use'!$E$8+'Energy Usage'!P$22*'Device Energy Use'!$E$9)/1000000</f>
        <v>0.83663428199310663</v>
      </c>
      <c r="Q6" s="90">
        <f>(Q$18*'Device Energy Use'!$E$5+Q$19*'Device Energy Use'!$E$6+'Energy Usage'!Q$20*'Device Energy Use'!$E$7+'Energy Usage'!Q$21*'Device Energy Use'!$E$8+'Energy Usage'!Q$22*'Device Energy Use'!$E$9)/1000000</f>
        <v>0.8227953798703378</v>
      </c>
      <c r="R6" s="90">
        <f>(R$18*'Device Energy Use'!$E$5+R$19*'Device Energy Use'!$E$6+'Energy Usage'!R$20*'Device Energy Use'!$E$7+'Energy Usage'!R$21*'Device Energy Use'!$E$8+'Energy Usage'!R$22*'Device Energy Use'!$E$9)/1000000</f>
        <v>0.80879198661217844</v>
      </c>
      <c r="S6" s="90">
        <f>(S$18*'Device Energy Use'!$E$5+S$19*'Device Energy Use'!$E$6+'Energy Usage'!S$20*'Device Energy Use'!$E$7+'Energy Usage'!S$21*'Device Energy Use'!$E$8+'Energy Usage'!S$22*'Device Energy Use'!$E$9)/1000000</f>
        <v>0.79453078060565407</v>
      </c>
      <c r="T6" s="90">
        <f>(T$18*'Device Energy Use'!$E$5+T$19*'Device Energy Use'!$E$6+'Energy Usage'!T$20*'Device Energy Use'!$E$7+'Energy Usage'!T$21*'Device Energy Use'!$E$8+'Energy Usage'!T$22*'Device Energy Use'!$E$9)/1000000</f>
        <v>0.77994784912195658</v>
      </c>
      <c r="U6" s="90">
        <f>(U$18*'Device Energy Use'!$E$5+U$19*'Device Energy Use'!$E$6+'Energy Usage'!U$20*'Device Energy Use'!$E$7+'Energy Usage'!U$21*'Device Energy Use'!$E$8+'Energy Usage'!U$22*'Device Energy Use'!$E$9)/1000000</f>
        <v>0.7650098942084238</v>
      </c>
      <c r="V6" s="90">
        <f>(V$18*'Device Energy Use'!$E$5+V$19*'Device Energy Use'!$E$6+'Energy Usage'!V$20*'Device Energy Use'!$E$7+'Energy Usage'!V$21*'Device Energy Use'!$E$8+'Energy Usage'!V$22*'Device Energy Use'!$E$9)/1000000</f>
        <v>0.74971303437909242</v>
      </c>
      <c r="W6" s="90">
        <f>(W$18*'Device Energy Use'!$E$5+W$19*'Device Energy Use'!$E$6+'Energy Usage'!W$20*'Device Energy Use'!$E$7+'Energy Usage'!W$21*'Device Energy Use'!$E$8+'Energy Usage'!W$22*'Device Energy Use'!$E$9)/1000000</f>
        <v>0.73407955793689339</v>
      </c>
      <c r="X6" s="45"/>
    </row>
    <row r="7" spans="1:33">
      <c r="A7" s="53" t="s">
        <v>100</v>
      </c>
      <c r="B7" s="92">
        <f>(B$27*'Device Energy Use'!$E$5+B$28*'Device Energy Use'!$E$6+'Energy Usage'!B$29*'Device Energy Use'!$E$7+'Energy Usage'!B$30*'Device Energy Use'!$E$8+'Energy Usage'!B$31*'Device Energy Use'!$E$9)/1000000</f>
        <v>1.0939129106474255</v>
      </c>
      <c r="C7" s="92">
        <f>(C$27*'Device Energy Use'!$E$5+C$28*'Device Energy Use'!$E$6+'Energy Usage'!C$29*'Device Energy Use'!$E$7+'Energy Usage'!C$30*'Device Energy Use'!$E$8+'Energy Usage'!C$31*'Device Energy Use'!$E$9)/1000000</f>
        <v>1.0157762741726095</v>
      </c>
      <c r="D7" s="92">
        <f>(D$27*'Device Energy Use'!$E$5+D$28*'Device Energy Use'!$E$6+'Energy Usage'!D$29*'Device Energy Use'!$E$7+'Energy Usage'!D$30*'Device Energy Use'!$E$8+'Energy Usage'!D$31*'Device Energy Use'!$E$9)/1000000</f>
        <v>0.94322082601742296</v>
      </c>
      <c r="E7" s="92">
        <f>(E$27*'Device Energy Use'!$E$5+E$28*'Device Energy Use'!$E$6+'Energy Usage'!E$29*'Device Energy Use'!$E$7+'Energy Usage'!E$30*'Device Energy Use'!$E$8+'Energy Usage'!E$31*'Device Energy Use'!$E$9)/1000000</f>
        <v>0.8758479098733214</v>
      </c>
      <c r="F7" s="92">
        <f>(F$27*'Device Energy Use'!$E$5+F$28*'Device Energy Use'!$E$6+'Energy Usage'!F$29*'Device Energy Use'!$E$7+'Energy Usage'!F$30*'Device Energy Use'!$E$8+'Energy Usage'!F$31*'Device Energy Use'!$E$9)/1000000</f>
        <v>0.81328734488236998</v>
      </c>
      <c r="G7" s="92">
        <f>(G$27*'Device Energy Use'!$E$5+G$28*'Device Energy Use'!$E$6+'Energy Usage'!G$29*'Device Energy Use'!$E$7+'Energy Usage'!G$30*'Device Energy Use'!$E$8+'Energy Usage'!G$31*'Device Energy Use'!$E$9)/1000000</f>
        <v>0.75519539167648631</v>
      </c>
      <c r="H7" s="92">
        <f>(H$27*'Device Energy Use'!$E$5+H$28*'Device Energy Use'!$E$6+'Energy Usage'!H$29*'Device Energy Use'!$E$7+'Energy Usage'!H$30*'Device Energy Use'!$E$8+'Energy Usage'!H$31*'Device Energy Use'!$E$9)/1000000</f>
        <v>0.7012528636995945</v>
      </c>
      <c r="I7" s="92">
        <f>(I$27*'Device Energy Use'!$E$5+I$28*'Device Energy Use'!$E$6+'Energy Usage'!I$29*'Device Energy Use'!$E$7+'Energy Usage'!I$30*'Device Energy Use'!$E$8+'Energy Usage'!I$31*'Device Energy Use'!$E$9)/1000000</f>
        <v>0.6511633734353377</v>
      </c>
      <c r="J7" s="92">
        <f>(J$27*'Device Energy Use'!$E$5+J$28*'Device Energy Use'!$E$6+'Energy Usage'!J$29*'Device Energy Use'!$E$7+'Energy Usage'!J$30*'Device Energy Use'!$E$8+'Energy Usage'!J$31*'Device Energy Use'!$E$9)/1000000</f>
        <v>0.60465170390424217</v>
      </c>
      <c r="K7" s="92">
        <f>(K$27*'Device Energy Use'!$E$5+K$28*'Device Energy Use'!$E$6+'Energy Usage'!K$29*'Device Energy Use'!$E$7+'Energy Usage'!K$30*'Device Energy Use'!$E$8+'Energy Usage'!K$31*'Device Energy Use'!$E$9)/1000000</f>
        <v>0.56146229648251067</v>
      </c>
      <c r="L7" s="92">
        <f>(L$27*'Device Energy Use'!$E$5+L$28*'Device Energy Use'!$E$6+'Energy Usage'!L$29*'Device Energy Use'!$E$7+'Energy Usage'!L$30*'Device Energy Use'!$E$8+'Energy Usage'!L$31*'Device Energy Use'!$E$9)/1000000</f>
        <v>0.52135784673375984</v>
      </c>
      <c r="M7" s="92">
        <f>(M$27*'Device Energy Use'!$E$5+M$28*'Device Energy Use'!$E$6+'Energy Usage'!M$29*'Device Energy Use'!$E$7+'Energy Usage'!M$30*'Device Energy Use'!$E$8+'Energy Usage'!M$31*'Device Energy Use'!$E$9)/1000000</f>
        <v>0.4841180005384913</v>
      </c>
      <c r="N7" s="92">
        <f>(N$27*'Device Energy Use'!$E$5+N$28*'Device Energy Use'!$E$6+'Energy Usage'!N$29*'Device Energy Use'!$E$7+'Energy Usage'!N$30*'Device Energy Use'!$E$8+'Energy Usage'!N$31*'Device Energy Use'!$E$9)/1000000</f>
        <v>0.44953814335717046</v>
      </c>
      <c r="O7" s="92">
        <f>(O$27*'Device Energy Use'!$E$5+O$28*'Device Energy Use'!$E$6+'Energy Usage'!O$29*'Device Energy Use'!$E$7+'Energy Usage'!O$30*'Device Energy Use'!$E$8+'Energy Usage'!O$31*'Device Energy Use'!$E$9)/1000000</f>
        <v>0.41742827597451543</v>
      </c>
      <c r="P7" s="92">
        <f>(P$27*'Device Energy Use'!$E$5+P$28*'Device Energy Use'!$E$6+'Energy Usage'!P$29*'Device Energy Use'!$E$7+'Energy Usage'!P$30*'Device Energy Use'!$E$8+'Energy Usage'!P$31*'Device Energy Use'!$E$9)/1000000</f>
        <v>0.38761197054776431</v>
      </c>
      <c r="Q7" s="92">
        <f>(Q$27*'Device Energy Use'!$E$5+Q$28*'Device Energy Use'!$E$6+'Energy Usage'!Q$29*'Device Energy Use'!$E$7+'Energy Usage'!Q$30*'Device Energy Use'!$E$8+'Energy Usage'!Q$31*'Device Energy Use'!$E$9)/1000000</f>
        <v>0.35992540122292399</v>
      </c>
      <c r="R7" s="92">
        <f>(R$27*'Device Energy Use'!$E$5+R$28*'Device Energy Use'!$E$6+'Energy Usage'!R$29*'Device Energy Use'!$E$7+'Energy Usage'!R$30*'Device Energy Use'!$E$8+'Energy Usage'!R$31*'Device Energy Use'!$E$9)/1000000</f>
        <v>0.33421644399271516</v>
      </c>
      <c r="S7" s="92">
        <f>(S$27*'Device Energy Use'!$E$5+S$28*'Device Energy Use'!$E$6+'Energy Usage'!S$29*'Device Energy Use'!$E$7+'Energy Usage'!S$30*'Device Energy Use'!$E$8+'Energy Usage'!S$31*'Device Energy Use'!$E$9)/1000000</f>
        <v>0.31034384085037831</v>
      </c>
      <c r="T7" s="92">
        <f>(T$27*'Device Energy Use'!$E$5+T$28*'Device Energy Use'!$E$6+'Energy Usage'!T$29*'Device Energy Use'!$E$7+'Energy Usage'!T$30*'Device Energy Use'!$E$8+'Energy Usage'!T$31*'Device Energy Use'!$E$9)/1000000</f>
        <v>0.28817642364677992</v>
      </c>
      <c r="U7" s="92">
        <f>(U$27*'Device Energy Use'!$E$5+U$28*'Device Energy Use'!$E$6+'Energy Usage'!U$29*'Device Energy Use'!$E$7+'Energy Usage'!U$30*'Device Energy Use'!$E$8+'Energy Usage'!U$31*'Device Energy Use'!$E$9)/1000000</f>
        <v>0.26759239338629559</v>
      </c>
      <c r="V7" s="92">
        <f>(V$27*'Device Energy Use'!$E$5+V$28*'Device Energy Use'!$E$6+'Energy Usage'!V$29*'Device Energy Use'!$E$7+'Energy Usage'!V$30*'Device Energy Use'!$E$8+'Energy Usage'!V$31*'Device Energy Use'!$E$9)/1000000</f>
        <v>0.24847865100156019</v>
      </c>
      <c r="W7" s="92">
        <f>(W$27*'Device Energy Use'!$E$5+W$28*'Device Energy Use'!$E$6+'Energy Usage'!W$29*'Device Energy Use'!$E$7+'Energy Usage'!W$30*'Device Energy Use'!$E$8+'Energy Usage'!W$31*'Device Energy Use'!$E$9)/1000000</f>
        <v>0.23073017593002021</v>
      </c>
      <c r="X7" s="45"/>
    </row>
    <row r="8" spans="1:33">
      <c r="A8" s="35" t="s">
        <v>80</v>
      </c>
      <c r="B8" s="90">
        <f t="shared" ref="B8:W8" si="2">B7-B6</f>
        <v>0</v>
      </c>
      <c r="C8" s="90">
        <f t="shared" si="2"/>
        <v>-5.1434245645022747E-2</v>
      </c>
      <c r="D8" s="90">
        <f t="shared" si="2"/>
        <v>-9.9114195236597369E-2</v>
      </c>
      <c r="E8" s="90">
        <f t="shared" si="2"/>
        <v>-0.14330101853323973</v>
      </c>
      <c r="F8" s="90">
        <f t="shared" si="2"/>
        <v>-0.18423223475369821</v>
      </c>
      <c r="G8" s="90">
        <f t="shared" si="2"/>
        <v>-0.22212132282984798</v>
      </c>
      <c r="H8" s="90">
        <f t="shared" si="2"/>
        <v>-0.25715701203175911</v>
      </c>
      <c r="I8" s="90">
        <f t="shared" si="2"/>
        <v>-0.28950245448039968</v>
      </c>
      <c r="J8" s="90">
        <f t="shared" si="2"/>
        <v>-0.31929458042851044</v>
      </c>
      <c r="K8" s="90">
        <f t="shared" si="2"/>
        <v>-0.34664402230120639</v>
      </c>
      <c r="L8" s="90">
        <f t="shared" si="2"/>
        <v>-0.37163603590798266</v>
      </c>
      <c r="M8" s="90">
        <f t="shared" si="2"/>
        <v>-0.39433281407580834</v>
      </c>
      <c r="N8" s="90">
        <f t="shared" si="2"/>
        <v>-0.41477745154598733</v>
      </c>
      <c r="O8" s="90">
        <f t="shared" si="2"/>
        <v>-0.43299957333604927</v>
      </c>
      <c r="P8" s="90">
        <f t="shared" si="2"/>
        <v>-0.44902231144534233</v>
      </c>
      <c r="Q8" s="90">
        <f t="shared" si="2"/>
        <v>-0.4628699786474138</v>
      </c>
      <c r="R8" s="90">
        <f t="shared" si="2"/>
        <v>-0.47457554261946328</v>
      </c>
      <c r="S8" s="90">
        <f t="shared" si="2"/>
        <v>-0.48418693975527577</v>
      </c>
      <c r="T8" s="90">
        <f t="shared" si="2"/>
        <v>-0.49177142547517666</v>
      </c>
      <c r="U8" s="90">
        <f t="shared" si="2"/>
        <v>-0.49741750082212821</v>
      </c>
      <c r="V8" s="90">
        <f t="shared" si="2"/>
        <v>-0.50123438337753223</v>
      </c>
      <c r="W8" s="90">
        <f t="shared" si="2"/>
        <v>-0.50334938200687318</v>
      </c>
      <c r="X8" s="45"/>
    </row>
    <row r="9" spans="1:33">
      <c r="A9" s="5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5"/>
    </row>
    <row r="10" spans="1:33">
      <c r="A10" s="75" t="s">
        <v>79</v>
      </c>
      <c r="B10" s="45">
        <f t="shared" ref="B10:W10" si="3">B4</f>
        <v>2014</v>
      </c>
      <c r="C10" s="45">
        <f t="shared" si="3"/>
        <v>2015</v>
      </c>
      <c r="D10" s="45">
        <f t="shared" si="3"/>
        <v>2016</v>
      </c>
      <c r="E10" s="45">
        <f t="shared" si="3"/>
        <v>2017</v>
      </c>
      <c r="F10" s="45">
        <f t="shared" si="3"/>
        <v>2018</v>
      </c>
      <c r="G10" s="45">
        <f t="shared" si="3"/>
        <v>2019</v>
      </c>
      <c r="H10" s="45">
        <f t="shared" si="3"/>
        <v>2020</v>
      </c>
      <c r="I10" s="45">
        <f t="shared" si="3"/>
        <v>2021</v>
      </c>
      <c r="J10" s="45">
        <f t="shared" si="3"/>
        <v>2022</v>
      </c>
      <c r="K10" s="45">
        <f t="shared" si="3"/>
        <v>2023</v>
      </c>
      <c r="L10" s="45">
        <f t="shared" si="3"/>
        <v>2024</v>
      </c>
      <c r="M10" s="45">
        <f t="shared" si="3"/>
        <v>2025</v>
      </c>
      <c r="N10" s="45">
        <f t="shared" si="3"/>
        <v>2026</v>
      </c>
      <c r="O10" s="45">
        <f t="shared" si="3"/>
        <v>2027</v>
      </c>
      <c r="P10" s="45">
        <f t="shared" si="3"/>
        <v>2028</v>
      </c>
      <c r="Q10" s="45">
        <f t="shared" si="3"/>
        <v>2029</v>
      </c>
      <c r="R10" s="45">
        <f t="shared" si="3"/>
        <v>2030</v>
      </c>
      <c r="S10" s="45">
        <f t="shared" si="3"/>
        <v>2031</v>
      </c>
      <c r="T10" s="45">
        <f t="shared" si="3"/>
        <v>2032</v>
      </c>
      <c r="U10" s="45">
        <f t="shared" si="3"/>
        <v>2033</v>
      </c>
      <c r="V10" s="45">
        <f t="shared" si="3"/>
        <v>2034</v>
      </c>
      <c r="W10" s="45">
        <f t="shared" si="3"/>
        <v>2035</v>
      </c>
      <c r="X10" s="45"/>
    </row>
    <row r="11" spans="1:33">
      <c r="A11" s="51" t="s">
        <v>86</v>
      </c>
      <c r="B11" s="90">
        <f t="shared" ref="B11:W11" si="4">B54/1000000</f>
        <v>0</v>
      </c>
      <c r="C11" s="90">
        <f t="shared" si="4"/>
        <v>4.0443548012242175E-2</v>
      </c>
      <c r="D11" s="90">
        <f t="shared" si="4"/>
        <v>7.8105448109962117E-2</v>
      </c>
      <c r="E11" s="90">
        <f t="shared" si="4"/>
        <v>0.11318315226713979</v>
      </c>
      <c r="F11" s="90">
        <f t="shared" si="4"/>
        <v>0.14586030222164306</v>
      </c>
      <c r="G11" s="90">
        <f t="shared" si="4"/>
        <v>0.17630784520683598</v>
      </c>
      <c r="H11" s="90">
        <f t="shared" si="4"/>
        <v>0.20468509456685657</v>
      </c>
      <c r="I11" s="90">
        <f t="shared" si="4"/>
        <v>0.23114073015556849</v>
      </c>
      <c r="J11" s="90">
        <f t="shared" si="4"/>
        <v>0.25581372690404519</v>
      </c>
      <c r="K11" s="90">
        <f t="shared" si="4"/>
        <v>0.2788341938529702</v>
      </c>
      <c r="L11" s="90">
        <f t="shared" si="4"/>
        <v>0.30032410190255782</v>
      </c>
      <c r="M11" s="90">
        <f t="shared" si="4"/>
        <v>0.32039787855888247</v>
      </c>
      <c r="N11" s="90">
        <f t="shared" si="4"/>
        <v>0.33916285397351015</v>
      </c>
      <c r="O11" s="90">
        <f t="shared" si="4"/>
        <v>0.35671955549034218</v>
      </c>
      <c r="P11" s="90">
        <f t="shared" si="4"/>
        <v>0.37316186657777656</v>
      </c>
      <c r="Q11" s="90">
        <f t="shared" si="4"/>
        <v>0.38857708665836349</v>
      </c>
      <c r="R11" s="90">
        <f t="shared" si="4"/>
        <v>0.40304594515019693</v>
      </c>
      <c r="S11" s="90">
        <f t="shared" si="4"/>
        <v>0.41664263014973862</v>
      </c>
      <c r="T11" s="90">
        <f t="shared" si="4"/>
        <v>0.42943488631764221</v>
      </c>
      <c r="U11" s="90">
        <f t="shared" si="4"/>
        <v>0.4414842187362516</v>
      </c>
      <c r="V11" s="90">
        <f t="shared" si="4"/>
        <v>0.45284621498223182</v>
      </c>
      <c r="W11" s="90">
        <f t="shared" si="4"/>
        <v>0.46357097349663556</v>
      </c>
      <c r="X11" s="45"/>
    </row>
    <row r="12" spans="1:33">
      <c r="A12" s="53" t="s">
        <v>102</v>
      </c>
      <c r="B12" s="92">
        <f t="shared" ref="B12:W12" si="5">B63/1000000</f>
        <v>0</v>
      </c>
      <c r="C12" s="92">
        <f t="shared" si="5"/>
        <v>0.11838884314366074</v>
      </c>
      <c r="D12" s="92">
        <f t="shared" si="5"/>
        <v>0.22832134034848858</v>
      </c>
      <c r="E12" s="92">
        <f t="shared" si="5"/>
        <v>0.33040151632440012</v>
      </c>
      <c r="F12" s="92">
        <f t="shared" si="5"/>
        <v>0.42519025115917519</v>
      </c>
      <c r="G12" s="92">
        <f t="shared" si="5"/>
        <v>0.51320836207718057</v>
      </c>
      <c r="H12" s="92">
        <f t="shared" si="5"/>
        <v>0.59493946507247131</v>
      </c>
      <c r="I12" s="92">
        <f t="shared" si="5"/>
        <v>0.67083263213952704</v>
      </c>
      <c r="J12" s="92">
        <f t="shared" si="5"/>
        <v>0.74130485870179297</v>
      </c>
      <c r="K12" s="92">
        <f t="shared" si="5"/>
        <v>0.80674335479532577</v>
      </c>
      <c r="L12" s="92">
        <f t="shared" si="5"/>
        <v>0.86750767259646322</v>
      </c>
      <c r="M12" s="92">
        <f t="shared" si="5"/>
        <v>0.92393168198323383</v>
      </c>
      <c r="N12" s="92">
        <f t="shared" si="5"/>
        <v>0.9763254049852349</v>
      </c>
      <c r="O12" s="92">
        <f t="shared" si="5"/>
        <v>1.024976719201379</v>
      </c>
      <c r="P12" s="92">
        <f t="shared" si="5"/>
        <v>1.0701529395449414</v>
      </c>
      <c r="Q12" s="92">
        <f t="shared" si="5"/>
        <v>1.1121022870068205</v>
      </c>
      <c r="R12" s="92">
        <f t="shared" si="5"/>
        <v>1.1510552525071371</v>
      </c>
      <c r="S12" s="92">
        <f t="shared" si="5"/>
        <v>1.1872258633288593</v>
      </c>
      <c r="T12" s="92">
        <f t="shared" si="5"/>
        <v>1.2208128590918872</v>
      </c>
      <c r="U12" s="92">
        <f t="shared" si="5"/>
        <v>1.2520007837289846</v>
      </c>
      <c r="V12" s="92">
        <f t="shared" si="5"/>
        <v>1.2809609994634319</v>
      </c>
      <c r="W12" s="92">
        <f t="shared" si="5"/>
        <v>1.3078526283597049</v>
      </c>
      <c r="X12" s="45"/>
    </row>
    <row r="13" spans="1:33">
      <c r="A13" s="35" t="s">
        <v>80</v>
      </c>
      <c r="B13" s="90">
        <f t="shared" ref="B13:W13" si="6">B12-B11</f>
        <v>0</v>
      </c>
      <c r="C13" s="90">
        <f t="shared" si="6"/>
        <v>7.7945295131418568E-2</v>
      </c>
      <c r="D13" s="90">
        <f t="shared" si="6"/>
        <v>0.15021589223852647</v>
      </c>
      <c r="E13" s="90">
        <f t="shared" si="6"/>
        <v>0.21721836405726033</v>
      </c>
      <c r="F13" s="90">
        <f t="shared" si="6"/>
        <v>0.27932994893753216</v>
      </c>
      <c r="G13" s="90">
        <f t="shared" si="6"/>
        <v>0.33690051687034461</v>
      </c>
      <c r="H13" s="90">
        <f t="shared" si="6"/>
        <v>0.39025437050561473</v>
      </c>
      <c r="I13" s="90">
        <f t="shared" si="6"/>
        <v>0.43969190198395858</v>
      </c>
      <c r="J13" s="90">
        <f t="shared" si="6"/>
        <v>0.48549113179774778</v>
      </c>
      <c r="K13" s="90">
        <f t="shared" si="6"/>
        <v>0.52790916094235563</v>
      </c>
      <c r="L13" s="90">
        <f t="shared" si="6"/>
        <v>0.56718357069390546</v>
      </c>
      <c r="M13" s="90">
        <f t="shared" si="6"/>
        <v>0.60353380342435137</v>
      </c>
      <c r="N13" s="90">
        <f t="shared" si="6"/>
        <v>0.6371625510117247</v>
      </c>
      <c r="O13" s="90">
        <f t="shared" si="6"/>
        <v>0.66825716371103683</v>
      </c>
      <c r="P13" s="90">
        <f t="shared" si="6"/>
        <v>0.69699107296716489</v>
      </c>
      <c r="Q13" s="90">
        <f t="shared" si="6"/>
        <v>0.72352520034845691</v>
      </c>
      <c r="R13" s="90">
        <f t="shared" si="6"/>
        <v>0.74800930735694027</v>
      </c>
      <c r="S13" s="90">
        <f t="shared" si="6"/>
        <v>0.7705832331791207</v>
      </c>
      <c r="T13" s="90">
        <f t="shared" si="6"/>
        <v>0.79137797277424493</v>
      </c>
      <c r="U13" s="90">
        <f t="shared" si="6"/>
        <v>0.81051656499273306</v>
      </c>
      <c r="V13" s="90">
        <f t="shared" si="6"/>
        <v>0.82811478448120002</v>
      </c>
      <c r="W13" s="90">
        <f t="shared" si="6"/>
        <v>0.84428165486306939</v>
      </c>
      <c r="X13" s="45"/>
    </row>
    <row r="14" spans="1:33">
      <c r="A14" s="5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33">
      <c r="A15" s="12" t="s">
        <v>47</v>
      </c>
    </row>
    <row r="16" spans="1:33">
      <c r="A16" s="39" t="str">
        <f>'Device Energy Use'!A4</f>
        <v>Water Heat Ending</v>
      </c>
      <c r="B16" s="42">
        <f>'Water Heater Stock'!B4</f>
        <v>2014</v>
      </c>
      <c r="C16" s="42">
        <f>'Water Heater Stock'!C4</f>
        <v>2015</v>
      </c>
      <c r="D16" s="42">
        <f>'Water Heater Stock'!D4</f>
        <v>2016</v>
      </c>
      <c r="E16" s="42">
        <f>'Water Heater Stock'!E4</f>
        <v>2017</v>
      </c>
      <c r="F16" s="42">
        <f>'Water Heater Stock'!F4</f>
        <v>2018</v>
      </c>
      <c r="G16" s="42">
        <f>'Water Heater Stock'!G4</f>
        <v>2019</v>
      </c>
      <c r="H16" s="42">
        <f>'Water Heater Stock'!H4</f>
        <v>2020</v>
      </c>
      <c r="I16" s="42">
        <f>'Water Heater Stock'!I4</f>
        <v>2021</v>
      </c>
      <c r="J16" s="42">
        <f>'Water Heater Stock'!J4</f>
        <v>2022</v>
      </c>
      <c r="K16" s="42">
        <f>'Water Heater Stock'!K4</f>
        <v>2023</v>
      </c>
      <c r="L16" s="42">
        <f>'Water Heater Stock'!L4</f>
        <v>2024</v>
      </c>
      <c r="M16" s="42">
        <f>'Water Heater Stock'!M4</f>
        <v>2025</v>
      </c>
      <c r="N16" s="42">
        <f>'Water Heater Stock'!N4</f>
        <v>2026</v>
      </c>
      <c r="O16" s="42">
        <f>'Water Heater Stock'!O4</f>
        <v>2027</v>
      </c>
      <c r="P16" s="42">
        <f>'Water Heater Stock'!P4</f>
        <v>2028</v>
      </c>
      <c r="Q16" s="42">
        <f>'Water Heater Stock'!Q4</f>
        <v>2029</v>
      </c>
      <c r="R16" s="42">
        <f>'Water Heater Stock'!R4</f>
        <v>2030</v>
      </c>
      <c r="S16" s="42">
        <f>'Water Heater Stock'!S4</f>
        <v>2031</v>
      </c>
      <c r="T16" s="42">
        <f>'Water Heater Stock'!T4</f>
        <v>2032</v>
      </c>
      <c r="U16" s="42">
        <f>'Water Heater Stock'!U4</f>
        <v>2033</v>
      </c>
      <c r="V16" s="42">
        <f>'Water Heater Stock'!V4</f>
        <v>2034</v>
      </c>
      <c r="W16" s="42">
        <f>'Water Heater Stock'!W4</f>
        <v>2035</v>
      </c>
    </row>
    <row r="17" spans="1:23" ht="16.5" thickBot="1">
      <c r="A17" s="49" t="s">
        <v>48</v>
      </c>
      <c r="B17" s="50">
        <f t="shared" ref="B17:W17" si="7">SUM(B18:B22)</f>
        <v>1093912.9106474256</v>
      </c>
      <c r="C17" s="50">
        <f t="shared" si="7"/>
        <v>1107654.0678298743</v>
      </c>
      <c r="D17" s="50">
        <f t="shared" si="7"/>
        <v>1120440.4693639823</v>
      </c>
      <c r="E17" s="50">
        <f t="shared" si="7"/>
        <v>1132332.0806737011</v>
      </c>
      <c r="F17" s="50">
        <f t="shared" si="7"/>
        <v>1143379.8818577114</v>
      </c>
      <c r="G17" s="50">
        <f t="shared" si="7"/>
        <v>1153624.5597131702</v>
      </c>
      <c r="H17" s="50">
        <f t="shared" si="7"/>
        <v>1163094.9702982102</v>
      </c>
      <c r="I17" s="50">
        <f t="shared" si="7"/>
        <v>1171806.5580713057</v>
      </c>
      <c r="J17" s="50">
        <f t="shared" si="7"/>
        <v>1179760.0112367978</v>
      </c>
      <c r="K17" s="50">
        <f t="shared" si="7"/>
        <v>1186940.5126366874</v>
      </c>
      <c r="L17" s="50">
        <f t="shared" si="7"/>
        <v>1193317.9845443002</v>
      </c>
      <c r="M17" s="50">
        <f t="shared" si="7"/>
        <v>1198848.693173182</v>
      </c>
      <c r="N17" s="50">
        <f t="shared" si="7"/>
        <v>1203478.448876668</v>
      </c>
      <c r="O17" s="50">
        <f t="shared" si="7"/>
        <v>1207147.404800907</v>
      </c>
      <c r="P17" s="50">
        <f t="shared" si="7"/>
        <v>1209796.1485708833</v>
      </c>
      <c r="Q17" s="50">
        <f t="shared" si="7"/>
        <v>1211372.4665287011</v>
      </c>
      <c r="R17" s="50">
        <f t="shared" si="7"/>
        <v>1211837.9317623754</v>
      </c>
      <c r="S17" s="50">
        <f t="shared" si="7"/>
        <v>1211173.4107553929</v>
      </c>
      <c r="T17" s="50">
        <f t="shared" si="7"/>
        <v>1209382.7354395988</v>
      </c>
      <c r="U17" s="50">
        <f t="shared" si="7"/>
        <v>1206494.1129446754</v>
      </c>
      <c r="V17" s="50">
        <f t="shared" si="7"/>
        <v>1202559.2493613244</v>
      </c>
      <c r="W17" s="50">
        <f t="shared" si="7"/>
        <v>1197650.531433529</v>
      </c>
    </row>
    <row r="18" spans="1:23" ht="16.5" thickTop="1">
      <c r="A18" s="9" t="str">
        <f>'Device Energy Use'!A5</f>
        <v>Electric Resistance</v>
      </c>
      <c r="B18" s="34">
        <f>'Water Heater Stock'!B6*'Device Energy Use'!$D5</f>
        <v>1093912.9106474256</v>
      </c>
      <c r="C18" s="34">
        <f>'Water Heater Stock'!C6*'Device Energy Use'!$D5</f>
        <v>1067206.8243430967</v>
      </c>
      <c r="D18" s="34">
        <f>'Water Heater Stock'!D6*'Device Energy Use'!$D5</f>
        <v>1042324.2112932977</v>
      </c>
      <c r="E18" s="34">
        <f>'Water Heater Stock'!E6*'Device Energy Use'!$D5</f>
        <v>1019124.8849075277</v>
      </c>
      <c r="F18" s="34">
        <f>'Water Heater Stock'!F6*'Device Energy Use'!$D5</f>
        <v>997471.88825191685</v>
      </c>
      <c r="G18" s="34">
        <f>'Water Heater Stock'!G6*'Device Energy Use'!$D5</f>
        <v>977228.45722213481</v>
      </c>
      <c r="H18" s="34">
        <f>'Water Heater Stock'!H6*'Device Energy Use'!$D5</f>
        <v>958254.74184008478</v>
      </c>
      <c r="I18" s="34">
        <f>'Water Heater Stock'!I6*'Device Energy Use'!$D5</f>
        <v>940404.54899026244</v>
      </c>
      <c r="J18" s="34">
        <f>'Water Heater Stock'!J6*'Device Energy Use'!$D5</f>
        <v>923522.50401798345</v>
      </c>
      <c r="K18" s="34">
        <f>'Water Heater Stock'!K6*'Device Energy Use'!$D5</f>
        <v>907442.14214664383</v>
      </c>
      <c r="L18" s="34">
        <f>'Water Heater Stock'!L6*'Device Energy Use'!$D5</f>
        <v>891985.49522562453</v>
      </c>
      <c r="M18" s="34">
        <f>'Water Heater Stock'!M6*'Device Energy Use'!$D5</f>
        <v>876964.69085353892</v>
      </c>
      <c r="N18" s="34">
        <f>'Water Heater Stock'!N6*'Device Energy Use'!$D5</f>
        <v>862185.89294446807</v>
      </c>
      <c r="O18" s="34">
        <f>'Water Heater Stock'!O6*'Device Energy Use'!$D5</f>
        <v>847455.57719302108</v>
      </c>
      <c r="P18" s="34">
        <f>'Water Heater Stock'!P6*'Device Energy Use'!$D5</f>
        <v>832588.69300720689</v>
      </c>
      <c r="Q18" s="34">
        <f>'Water Heater Stock'!Q6*'Device Energy Use'!$D5</f>
        <v>817417.81338009343</v>
      </c>
      <c r="R18" s="34">
        <f>'Water Heater Stock'!R6*'Device Energy Use'!$D5</f>
        <v>801802.05010750645</v>
      </c>
      <c r="S18" s="34">
        <f>'Water Heater Stock'!S6*'Device Energy Use'!$D5</f>
        <v>785634.43509886414</v>
      </c>
      <c r="T18" s="34">
        <f>'Water Heater Stock'!T6*'Device Energy Use'!$D5</f>
        <v>768846.69049672678</v>
      </c>
      <c r="U18" s="34">
        <f>'Water Heater Stock'!U6*'Device Energy Use'!$D5</f>
        <v>751410.77988639229</v>
      </c>
      <c r="V18" s="34">
        <f>'Water Heater Stock'!V6*'Device Energy Use'!$D5</f>
        <v>733337.21305970976</v>
      </c>
      <c r="W18" s="34">
        <f>'Water Heater Stock'!W6*'Device Energy Use'!$D5</f>
        <v>714670.60278941621</v>
      </c>
    </row>
    <row r="19" spans="1:23">
      <c r="A19" s="9" t="str">
        <f>'Device Energy Use'!A6</f>
        <v>HPWH</v>
      </c>
      <c r="B19" s="34">
        <f>'Water Heater Stock'!B7*'Device Energy Use'!$D6</f>
        <v>0</v>
      </c>
      <c r="C19" s="34">
        <f>'Water Heater Stock'!C7*'Device Energy Use'!$D6</f>
        <v>3.6954745354820244</v>
      </c>
      <c r="D19" s="34">
        <f>'Water Heater Stock'!D7*'Device Energy Use'!$D6</f>
        <v>10.809960722601168</v>
      </c>
      <c r="E19" s="34">
        <f>'Water Heater Stock'!E7*'Device Energy Use'!$D6</f>
        <v>24.043499033401119</v>
      </c>
      <c r="F19" s="34">
        <f>'Water Heater Stock'!F7*'Device Energy Use'!$D6</f>
        <v>47.691384151306373</v>
      </c>
      <c r="G19" s="34">
        <f>'Water Heater Stock'!G7*'Device Energy Use'!$D6</f>
        <v>88.257284199517741</v>
      </c>
      <c r="H19" s="34">
        <f>'Water Heater Stock'!H7*'Device Energy Use'!$D6</f>
        <v>155.13389126892321</v>
      </c>
      <c r="I19" s="34">
        <f>'Water Heater Stock'!I7*'Device Energy Use'!$D6</f>
        <v>261.27892547499943</v>
      </c>
      <c r="J19" s="34">
        <f>'Water Heater Stock'!J7*'Device Energy Use'!$D6</f>
        <v>423.78031476914776</v>
      </c>
      <c r="K19" s="34">
        <f>'Water Heater Stock'!K7*'Device Energy Use'!$D6</f>
        <v>664.17663707331974</v>
      </c>
      <c r="L19" s="34">
        <f>'Water Heater Stock'!L7*'Device Energy Use'!$D6</f>
        <v>1008.3874161179024</v>
      </c>
      <c r="M19" s="34">
        <f>'Water Heater Stock'!M7*'Device Energy Use'!$D6</f>
        <v>1486.1237607607313</v>
      </c>
      <c r="N19" s="34">
        <f>'Water Heater Stock'!N7*'Device Energy Use'!$D6</f>
        <v>2129.7019586896749</v>
      </c>
      <c r="O19" s="34">
        <f>'Water Heater Stock'!O7*'Device Energy Use'!$D6</f>
        <v>2972.27211754362</v>
      </c>
      <c r="P19" s="34">
        <f>'Water Heater Stock'!P7*'Device Energy Use'!$D6</f>
        <v>4045.5889858996429</v>
      </c>
      <c r="Q19" s="34">
        <f>'Water Heater Stock'!Q7*'Device Energy Use'!$D6</f>
        <v>5377.5664902444078</v>
      </c>
      <c r="R19" s="34">
        <f>'Water Heater Stock'!R7*'Device Energy Use'!$D6</f>
        <v>6989.9365046719613</v>
      </c>
      <c r="S19" s="34">
        <f>'Water Heater Stock'!S7*'Device Energy Use'!$D6</f>
        <v>8896.3455067899704</v>
      </c>
      <c r="T19" s="34">
        <f>'Water Heater Stock'!T7*'Device Energy Use'!$D6</f>
        <v>11101.158625229791</v>
      </c>
      <c r="U19" s="34">
        <f>'Water Heater Stock'!U7*'Device Energy Use'!$D6</f>
        <v>13599.114322031452</v>
      </c>
      <c r="V19" s="34">
        <f>'Water Heater Stock'!V7*'Device Energy Use'!$D6</f>
        <v>16375.821319382643</v>
      </c>
      <c r="W19" s="34">
        <f>'Water Heater Stock'!W7*'Device Energy Use'!$D6</f>
        <v>19408.955147477176</v>
      </c>
    </row>
    <row r="20" spans="1:23">
      <c r="A20" s="9" t="str">
        <f>'Device Energy Use'!A7</f>
        <v>Gas Tank</v>
      </c>
      <c r="B20" s="34">
        <f>'Water Heater Stock'!B8*'Device Energy Use'!$D7</f>
        <v>0</v>
      </c>
      <c r="C20" s="34">
        <f>'Water Heater Stock'!C8*'Device Energy Use'!$D7</f>
        <v>40432.146372249721</v>
      </c>
      <c r="D20" s="34">
        <f>'Water Heater Stock'!D8*'Device Energy Use'!$D7</f>
        <v>78071.950140462606</v>
      </c>
      <c r="E20" s="34">
        <f>'Water Heater Stock'!E8*'Device Energy Use'!$D7</f>
        <v>113108.27902064503</v>
      </c>
      <c r="F20" s="34">
        <f>'Water Heater Stock'!F8*'Device Energy Use'!$D7</f>
        <v>145711.00110439103</v>
      </c>
      <c r="G20" s="34">
        <f>'Water Heater Stock'!G8*'Device Energy Use'!$D7</f>
        <v>176030.02296538971</v>
      </c>
      <c r="H20" s="34">
        <f>'Water Heater Stock'!H8*'Device Energy Use'!$D7</f>
        <v>204193.99006892339</v>
      </c>
      <c r="I20" s="34">
        <f>'Water Heater Stock'!I8*'Device Energy Use'!$D7</f>
        <v>230308.86541577993</v>
      </c>
      <c r="J20" s="34">
        <f>'Water Heater Stock'!J8*'Device Energy Use'!$D7</f>
        <v>254456.71583592609</v>
      </c>
      <c r="K20" s="34">
        <f>'Water Heater Stock'!K8*'Device Energy Use'!$D7</f>
        <v>276695.13498810853</v>
      </c>
      <c r="L20" s="34">
        <f>'Water Heater Stock'!L8*'Device Energy Use'!$D7</f>
        <v>297057.78594500734</v>
      </c>
      <c r="M20" s="34">
        <f>'Water Heater Stock'!M8*'Device Energy Use'!$D7</f>
        <v>315556.51664728025</v>
      </c>
      <c r="N20" s="34">
        <f>'Water Heater Stock'!N8*'Device Energy Use'!$D7</f>
        <v>332185.35598286422</v>
      </c>
      <c r="O20" s="34">
        <f>'Water Heater Stock'!O8*'Device Energy Use'!$D7</f>
        <v>346926.42679797998</v>
      </c>
      <c r="P20" s="34">
        <f>'Water Heater Stock'!P8*'Device Energy Use'!$D7</f>
        <v>359757.44561762293</v>
      </c>
      <c r="Q20" s="34">
        <f>'Water Heater Stock'!Q8*'Device Energy Use'!$D7</f>
        <v>370660.09632756904</v>
      </c>
      <c r="R20" s="34">
        <f>'Water Heater Stock'!R8*'Device Energy Use'!$D7</f>
        <v>379628.27834033017</v>
      </c>
      <c r="S20" s="34">
        <f>'Water Heater Stock'!S8*'Device Energy Use'!$D7</f>
        <v>386675.14330185938</v>
      </c>
      <c r="T20" s="34">
        <f>'Water Heater Stock'!T8*'Device Energy Use'!$D7</f>
        <v>391837.99690183304</v>
      </c>
      <c r="U20" s="34">
        <f>'Water Heater Stock'!U8*'Device Energy Use'!$D7</f>
        <v>395180.51776539907</v>
      </c>
      <c r="V20" s="34">
        <f>'Water Heater Stock'!V8*'Device Energy Use'!$D7</f>
        <v>396792.22379137814</v>
      </c>
      <c r="W20" s="34">
        <f>'Water Heater Stock'!W8*'Device Energy Use'!$D7</f>
        <v>396785.56066225894</v>
      </c>
    </row>
    <row r="21" spans="1:23">
      <c r="A21" s="9" t="str">
        <f>'Device Energy Use'!A8</f>
        <v>Instant Gas</v>
      </c>
      <c r="B21" s="34">
        <f>'Water Heater Stock'!B9*'Device Energy Use'!$D8</f>
        <v>0</v>
      </c>
      <c r="C21" s="34">
        <f>'Water Heater Stock'!C9*'Device Energy Use'!$D8</f>
        <v>2.9690773210324419</v>
      </c>
      <c r="D21" s="34">
        <f>'Water Heater Stock'!D9*'Device Energy Use'!$D8</f>
        <v>8.7316057422375231</v>
      </c>
      <c r="E21" s="34">
        <f>'Water Heater Stock'!E9*'Device Energy Use'!$D8</f>
        <v>19.537956838672077</v>
      </c>
      <c r="F21" s="34">
        <f>'Water Heater Stock'!F9*'Device Energy Use'!$D8</f>
        <v>39.005957387369548</v>
      </c>
      <c r="G21" s="34">
        <f>'Water Heater Stock'!G9*'Device Energy Use'!$D8</f>
        <v>72.673443467931804</v>
      </c>
      <c r="H21" s="34">
        <f>'Water Heater Stock'!H9*'Device Energy Use'!$D8</f>
        <v>128.62927533782351</v>
      </c>
      <c r="I21" s="34">
        <f>'Water Heater Stock'!I9*'Device Energy Use'!$D8</f>
        <v>218.16557464494659</v>
      </c>
      <c r="J21" s="34">
        <f>'Water Heater Stock'!J9*'Device Energy Use'!$D8</f>
        <v>356.36179530897454</v>
      </c>
      <c r="K21" s="34">
        <f>'Water Heater Stock'!K9*'Device Energy Use'!$D8</f>
        <v>562.48244054235602</v>
      </c>
      <c r="L21" s="34">
        <f>'Water Heater Stock'!L9*'Device Energy Use'!$D8</f>
        <v>860.05368788012197</v>
      </c>
      <c r="M21" s="34">
        <f>'Water Heater Stock'!M9*'Device Energy Use'!$D8</f>
        <v>1276.4905115026593</v>
      </c>
      <c r="N21" s="34">
        <f>'Water Heater Stock'!N9*'Device Energy Use'!$D8</f>
        <v>1842.1845211246336</v>
      </c>
      <c r="O21" s="34">
        <f>'Water Heater Stock'!O9*'Device Energy Use'!$D8</f>
        <v>2589.0370130096421</v>
      </c>
      <c r="P21" s="34">
        <f>'Water Heater Stock'!P9*'Device Energy Use'!$D8</f>
        <v>3548.5236743758419</v>
      </c>
      <c r="Q21" s="34">
        <f>'Water Heater Stock'!Q9*'Device Energy Use'!$D8</f>
        <v>4749.4853875406652</v>
      </c>
      <c r="R21" s="34">
        <f>'Water Heater Stock'!R9*'Device Energy Use'!$D8</f>
        <v>6215.9224543233304</v>
      </c>
      <c r="S21" s="34">
        <f>'Water Heater Stock'!S9*'Device Energy Use'!$D8</f>
        <v>7965.097559296416</v>
      </c>
      <c r="T21" s="34">
        <f>'Water Heater Stock'!T9*'Device Energy Use'!$D8</f>
        <v>10006.211257853985</v>
      </c>
      <c r="U21" s="34">
        <f>'Water Heater Stock'!U9*'Device Energy Use'!$D8</f>
        <v>12339.811643366622</v>
      </c>
      <c r="V21" s="34">
        <f>'Water Heater Stock'!V9*'Device Energy Use'!$D8</f>
        <v>14957.967068623026</v>
      </c>
      <c r="W21" s="34">
        <f>'Water Heater Stock'!W9*'Device Energy Use'!$D8</f>
        <v>17845.105559818137</v>
      </c>
    </row>
    <row r="22" spans="1:23">
      <c r="A22" s="9" t="str">
        <f>'Device Energy Use'!A9</f>
        <v>Condensing Gas</v>
      </c>
      <c r="B22" s="34">
        <f>'Water Heater Stock'!B10*'Device Energy Use'!$D9</f>
        <v>0</v>
      </c>
      <c r="C22" s="34">
        <f>'Water Heater Stock'!C10*'Device Energy Use'!$D9</f>
        <v>8.4325626714234065</v>
      </c>
      <c r="D22" s="34">
        <f>'Water Heater Stock'!D10*'Device Energy Use'!$D9</f>
        <v>24.766363757271954</v>
      </c>
      <c r="E22" s="34">
        <f>'Water Heater Stock'!E10*'Device Energy Use'!$D9</f>
        <v>55.335289656097686</v>
      </c>
      <c r="F22" s="34">
        <f>'Water Heater Stock'!F10*'Device Energy Use'!$D9</f>
        <v>110.29515986468576</v>
      </c>
      <c r="G22" s="34">
        <f>'Water Heater Stock'!G10*'Device Energy Use'!$D9</f>
        <v>205.14879797832384</v>
      </c>
      <c r="H22" s="34">
        <f>'Water Heater Stock'!H10*'Device Energy Use'!$D9</f>
        <v>362.47522259535998</v>
      </c>
      <c r="I22" s="34">
        <f>'Water Heater Stock'!I10*'Device Energy Use'!$D9</f>
        <v>613.69916514360693</v>
      </c>
      <c r="J22" s="34">
        <f>'Water Heater Stock'!J10*'Device Energy Use'!$D9</f>
        <v>1000.6492728101545</v>
      </c>
      <c r="K22" s="34">
        <f>'Water Heater Stock'!K10*'Device Energy Use'!$D9</f>
        <v>1576.5764243192946</v>
      </c>
      <c r="L22" s="34">
        <f>'Water Heater Stock'!L10*'Device Energy Use'!$D9</f>
        <v>2406.2622696703543</v>
      </c>
      <c r="M22" s="34">
        <f>'Water Heater Stock'!M10*'Device Energy Use'!$D9</f>
        <v>3564.871400099516</v>
      </c>
      <c r="N22" s="34">
        <f>'Water Heater Stock'!N10*'Device Energy Use'!$D9</f>
        <v>5135.3134695212875</v>
      </c>
      <c r="O22" s="34">
        <f>'Water Heater Stock'!O10*'Device Energy Use'!$D9</f>
        <v>7204.0916793525785</v>
      </c>
      <c r="P22" s="34">
        <f>'Water Heater Stock'!P10*'Device Energy Use'!$D9</f>
        <v>9855.8972857778099</v>
      </c>
      <c r="Q22" s="34">
        <f>'Water Heater Stock'!Q10*'Device Energy Use'!$D9</f>
        <v>13167.504943253753</v>
      </c>
      <c r="R22" s="34">
        <f>'Water Heater Stock'!R10*'Device Energy Use'!$D9</f>
        <v>17201.7443555434</v>
      </c>
      <c r="S22" s="34">
        <f>'Water Heater Stock'!S10*'Device Energy Use'!$D9</f>
        <v>22002.389288582814</v>
      </c>
      <c r="T22" s="34">
        <f>'Water Heater Stock'!T10*'Device Energy Use'!$D9</f>
        <v>27590.678157955179</v>
      </c>
      <c r="U22" s="34">
        <f>'Water Heater Stock'!U10*'Device Energy Use'!$D9</f>
        <v>33963.889327485871</v>
      </c>
      <c r="V22" s="34">
        <f>'Water Heater Stock'!V10*'Device Energy Use'!$D9</f>
        <v>41096.024122230629</v>
      </c>
      <c r="W22" s="34">
        <f>'Water Heater Stock'!W10*'Device Energy Use'!$D9</f>
        <v>48940.307274558436</v>
      </c>
    </row>
    <row r="24" spans="1:23">
      <c r="A24" s="12" t="s">
        <v>103</v>
      </c>
    </row>
    <row r="25" spans="1:23">
      <c r="A25" s="39" t="str">
        <f>'Device Energy Use'!A4</f>
        <v>Water Heat Ending</v>
      </c>
      <c r="B25" s="42">
        <f>'Water Heater Stock'!B4</f>
        <v>2014</v>
      </c>
      <c r="C25" s="42">
        <f>'Water Heater Stock'!C4</f>
        <v>2015</v>
      </c>
      <c r="D25" s="42">
        <f>'Water Heater Stock'!D4</f>
        <v>2016</v>
      </c>
      <c r="E25" s="42">
        <f>'Water Heater Stock'!E4</f>
        <v>2017</v>
      </c>
      <c r="F25" s="42">
        <f>'Water Heater Stock'!F4</f>
        <v>2018</v>
      </c>
      <c r="G25" s="42">
        <f>'Water Heater Stock'!G4</f>
        <v>2019</v>
      </c>
      <c r="H25" s="42">
        <f>'Water Heater Stock'!H4</f>
        <v>2020</v>
      </c>
      <c r="I25" s="42">
        <f>'Water Heater Stock'!I4</f>
        <v>2021</v>
      </c>
      <c r="J25" s="42">
        <f>'Water Heater Stock'!J4</f>
        <v>2022</v>
      </c>
      <c r="K25" s="42">
        <f>'Water Heater Stock'!K4</f>
        <v>2023</v>
      </c>
      <c r="L25" s="42">
        <f>'Water Heater Stock'!L4</f>
        <v>2024</v>
      </c>
      <c r="M25" s="42">
        <f>'Water Heater Stock'!M4</f>
        <v>2025</v>
      </c>
      <c r="N25" s="42">
        <f>'Water Heater Stock'!N4</f>
        <v>2026</v>
      </c>
      <c r="O25" s="42">
        <f>'Water Heater Stock'!O4</f>
        <v>2027</v>
      </c>
      <c r="P25" s="42">
        <f>'Water Heater Stock'!P4</f>
        <v>2028</v>
      </c>
      <c r="Q25" s="42">
        <f>'Water Heater Stock'!Q4</f>
        <v>2029</v>
      </c>
      <c r="R25" s="42">
        <f>'Water Heater Stock'!R4</f>
        <v>2030</v>
      </c>
      <c r="S25" s="42">
        <f>'Water Heater Stock'!S4</f>
        <v>2031</v>
      </c>
      <c r="T25" s="42">
        <f>'Water Heater Stock'!T4</f>
        <v>2032</v>
      </c>
      <c r="U25" s="42">
        <f>'Water Heater Stock'!U4</f>
        <v>2033</v>
      </c>
      <c r="V25" s="42">
        <f>'Water Heater Stock'!V4</f>
        <v>2034</v>
      </c>
      <c r="W25" s="42">
        <f>'Water Heater Stock'!W4</f>
        <v>2035</v>
      </c>
    </row>
    <row r="26" spans="1:23" ht="16.5" thickBot="1">
      <c r="A26" s="49" t="s">
        <v>48</v>
      </c>
      <c r="B26" s="50">
        <f t="shared" ref="B26:W26" si="8">SUM(B27:B31)</f>
        <v>1093912.9106474256</v>
      </c>
      <c r="C26" s="50">
        <f t="shared" si="8"/>
        <v>1134165.1173162702</v>
      </c>
      <c r="D26" s="50">
        <f t="shared" si="8"/>
        <v>1171542.1663659115</v>
      </c>
      <c r="E26" s="50">
        <f t="shared" si="8"/>
        <v>1206249.4261977216</v>
      </c>
      <c r="F26" s="50">
        <f t="shared" si="8"/>
        <v>1238477.5960415453</v>
      </c>
      <c r="G26" s="50">
        <f t="shared" si="8"/>
        <v>1268403.7537536668</v>
      </c>
      <c r="H26" s="50">
        <f t="shared" si="8"/>
        <v>1296192.3287720657</v>
      </c>
      <c r="I26" s="50">
        <f t="shared" si="8"/>
        <v>1321996.0055748648</v>
      </c>
      <c r="J26" s="50">
        <f t="shared" si="8"/>
        <v>1345956.5626060353</v>
      </c>
      <c r="K26" s="50">
        <f t="shared" si="8"/>
        <v>1368205.6512778364</v>
      </c>
      <c r="L26" s="50">
        <f t="shared" si="8"/>
        <v>1388865.5193302231</v>
      </c>
      <c r="M26" s="50">
        <f t="shared" si="8"/>
        <v>1408049.6825217251</v>
      </c>
      <c r="N26" s="50">
        <f t="shared" si="8"/>
        <v>1425863.5483424054</v>
      </c>
      <c r="O26" s="50">
        <f t="shared" si="8"/>
        <v>1442404.9951758943</v>
      </c>
      <c r="P26" s="50">
        <f t="shared" si="8"/>
        <v>1457764.9100927056</v>
      </c>
      <c r="Q26" s="50">
        <f t="shared" si="8"/>
        <v>1472027.6882297446</v>
      </c>
      <c r="R26" s="50">
        <f t="shared" si="8"/>
        <v>1485271.6964998522</v>
      </c>
      <c r="S26" s="50">
        <f t="shared" si="8"/>
        <v>1497569.7041792376</v>
      </c>
      <c r="T26" s="50">
        <f t="shared" si="8"/>
        <v>1508989.2827386672</v>
      </c>
      <c r="U26" s="50">
        <f t="shared" si="8"/>
        <v>1519593.1771152802</v>
      </c>
      <c r="V26" s="50">
        <f t="shared" si="8"/>
        <v>1529439.6504649923</v>
      </c>
      <c r="W26" s="50">
        <f t="shared" si="8"/>
        <v>1538582.8042897251</v>
      </c>
    </row>
    <row r="27" spans="1:23" ht="16.5" thickTop="1">
      <c r="A27" s="14" t="str">
        <f>'Device Energy Use'!A5</f>
        <v>Electric Resistance</v>
      </c>
      <c r="B27" s="34">
        <f>'Water Heater Stock'!B15*'Device Energy Use'!$D5</f>
        <v>1093912.9106474256</v>
      </c>
      <c r="C27" s="34">
        <f>'Water Heater Stock'!C15*'Device Energy Use'!$D5</f>
        <v>1015776.2741726094</v>
      </c>
      <c r="D27" s="34">
        <f>'Water Heater Stock'!D15*'Device Energy Use'!$D5</f>
        <v>943220.82601742295</v>
      </c>
      <c r="E27" s="34">
        <f>'Water Heater Stock'!E15*'Device Energy Use'!$D5</f>
        <v>875847.90987332142</v>
      </c>
      <c r="F27" s="34">
        <f>'Water Heater Stock'!F15*'Device Energy Use'!$D5</f>
        <v>813287.34488236997</v>
      </c>
      <c r="G27" s="34">
        <f>'Water Heater Stock'!G15*'Device Energy Use'!$D5</f>
        <v>755195.39167648635</v>
      </c>
      <c r="H27" s="34">
        <f>'Water Heater Stock'!H15*'Device Energy Use'!$D5</f>
        <v>701252.86369959451</v>
      </c>
      <c r="I27" s="34">
        <f>'Water Heater Stock'!I15*'Device Energy Use'!$D5</f>
        <v>651163.37343533768</v>
      </c>
      <c r="J27" s="34">
        <f>'Water Heater Stock'!J15*'Device Energy Use'!$D5</f>
        <v>604651.70390424214</v>
      </c>
      <c r="K27" s="34">
        <f>'Water Heater Stock'!K15*'Device Energy Use'!$D5</f>
        <v>561462.29648251063</v>
      </c>
      <c r="L27" s="34">
        <f>'Water Heater Stock'!L15*'Device Energy Use'!$D5</f>
        <v>521357.8467337598</v>
      </c>
      <c r="M27" s="34">
        <f>'Water Heater Stock'!M15*'Device Energy Use'!$D5</f>
        <v>484118.00053849129</v>
      </c>
      <c r="N27" s="34">
        <f>'Water Heater Stock'!N15*'Device Energy Use'!$D5</f>
        <v>449538.14335717045</v>
      </c>
      <c r="O27" s="34">
        <f>'Water Heater Stock'!O15*'Device Energy Use'!$D5</f>
        <v>417428.27597451542</v>
      </c>
      <c r="P27" s="34">
        <f>'Water Heater Stock'!P15*'Device Energy Use'!$D5</f>
        <v>387611.97054776433</v>
      </c>
      <c r="Q27" s="34">
        <f>'Water Heater Stock'!Q15*'Device Energy Use'!$D5</f>
        <v>359925.401222924</v>
      </c>
      <c r="R27" s="34">
        <f>'Water Heater Stock'!R15*'Device Energy Use'!$D5</f>
        <v>334216.44399271515</v>
      </c>
      <c r="S27" s="34">
        <f>'Water Heater Stock'!S15*'Device Energy Use'!$D5</f>
        <v>310343.84085037833</v>
      </c>
      <c r="T27" s="34">
        <f>'Water Heater Stock'!T15*'Device Energy Use'!$D5</f>
        <v>288176.42364677991</v>
      </c>
      <c r="U27" s="34">
        <f>'Water Heater Stock'!U15*'Device Energy Use'!$D5</f>
        <v>267592.39338629559</v>
      </c>
      <c r="V27" s="34">
        <f>'Water Heater Stock'!V15*'Device Energy Use'!$D5</f>
        <v>248478.65100156018</v>
      </c>
      <c r="W27" s="34">
        <f>'Water Heater Stock'!W15*'Device Energy Use'!$D5</f>
        <v>230730.1759300202</v>
      </c>
    </row>
    <row r="28" spans="1:23">
      <c r="A28" s="14" t="str">
        <f>'Device Energy Use'!A6</f>
        <v>HPWH</v>
      </c>
      <c r="B28" s="34">
        <f>'Water Heater Stock'!B16*'Device Energy Use'!$D6</f>
        <v>0</v>
      </c>
      <c r="C28" s="34">
        <f>'Water Heater Stock'!C16*'Device Energy Use'!$D6</f>
        <v>0</v>
      </c>
      <c r="D28" s="34">
        <f>'Water Heater Stock'!D16*'Device Energy Use'!$D6</f>
        <v>0</v>
      </c>
      <c r="E28" s="34">
        <f>'Water Heater Stock'!E16*'Device Energy Use'!$D6</f>
        <v>0</v>
      </c>
      <c r="F28" s="34">
        <f>'Water Heater Stock'!F16*'Device Energy Use'!$D6</f>
        <v>0</v>
      </c>
      <c r="G28" s="34">
        <f>'Water Heater Stock'!G16*'Device Energy Use'!$D6</f>
        <v>0</v>
      </c>
      <c r="H28" s="34">
        <f>'Water Heater Stock'!H16*'Device Energy Use'!$D6</f>
        <v>0</v>
      </c>
      <c r="I28" s="34">
        <f>'Water Heater Stock'!I16*'Device Energy Use'!$D6</f>
        <v>0</v>
      </c>
      <c r="J28" s="34">
        <f>'Water Heater Stock'!J16*'Device Energy Use'!$D6</f>
        <v>0</v>
      </c>
      <c r="K28" s="34">
        <f>'Water Heater Stock'!K16*'Device Energy Use'!$D6</f>
        <v>0</v>
      </c>
      <c r="L28" s="34">
        <f>'Water Heater Stock'!L16*'Device Energy Use'!$D6</f>
        <v>0</v>
      </c>
      <c r="M28" s="34">
        <f>'Water Heater Stock'!M16*'Device Energy Use'!$D6</f>
        <v>0</v>
      </c>
      <c r="N28" s="34">
        <f>'Water Heater Stock'!N16*'Device Energy Use'!$D6</f>
        <v>0</v>
      </c>
      <c r="O28" s="34">
        <f>'Water Heater Stock'!O16*'Device Energy Use'!$D6</f>
        <v>0</v>
      </c>
      <c r="P28" s="34">
        <f>'Water Heater Stock'!P16*'Device Energy Use'!$D6</f>
        <v>0</v>
      </c>
      <c r="Q28" s="34">
        <f>'Water Heater Stock'!Q16*'Device Energy Use'!$D6</f>
        <v>0</v>
      </c>
      <c r="R28" s="34">
        <f>'Water Heater Stock'!R16*'Device Energy Use'!$D6</f>
        <v>0</v>
      </c>
      <c r="S28" s="34">
        <f>'Water Heater Stock'!S16*'Device Energy Use'!$D6</f>
        <v>0</v>
      </c>
      <c r="T28" s="34">
        <f>'Water Heater Stock'!T16*'Device Energy Use'!$D6</f>
        <v>0</v>
      </c>
      <c r="U28" s="34">
        <f>'Water Heater Stock'!U16*'Device Energy Use'!$D6</f>
        <v>0</v>
      </c>
      <c r="V28" s="34">
        <f>'Water Heater Stock'!V16*'Device Energy Use'!$D6</f>
        <v>0</v>
      </c>
      <c r="W28" s="34">
        <f>'Water Heater Stock'!W16*'Device Energy Use'!$D6</f>
        <v>0</v>
      </c>
    </row>
    <row r="29" spans="1:23">
      <c r="A29" s="14" t="str">
        <f>'Device Energy Use'!A7</f>
        <v>Gas Tank</v>
      </c>
      <c r="B29" s="34">
        <f>'Water Heater Stock'!B17*'Device Energy Use'!$D7</f>
        <v>0</v>
      </c>
      <c r="C29" s="34">
        <f>'Water Heater Stock'!C17*'Device Energy Use'!$D7</f>
        <v>118388.84314366075</v>
      </c>
      <c r="D29" s="34">
        <f>'Water Heater Stock'!D17*'Device Energy Use'!$D7</f>
        <v>228321.34034848859</v>
      </c>
      <c r="E29" s="34">
        <f>'Water Heater Stock'!E17*'Device Energy Use'!$D7</f>
        <v>330401.51632440015</v>
      </c>
      <c r="F29" s="34">
        <f>'Water Heater Stock'!F17*'Device Energy Use'!$D7</f>
        <v>425190.25115917518</v>
      </c>
      <c r="G29" s="34">
        <f>'Water Heater Stock'!G17*'Device Energy Use'!$D7</f>
        <v>513208.36207718053</v>
      </c>
      <c r="H29" s="34">
        <f>'Water Heater Stock'!H17*'Device Energy Use'!$D7</f>
        <v>594939.4650724713</v>
      </c>
      <c r="I29" s="34">
        <f>'Water Heater Stock'!I17*'Device Energy Use'!$D7</f>
        <v>670832.63213952701</v>
      </c>
      <c r="J29" s="34">
        <f>'Water Heater Stock'!J17*'Device Energy Use'!$D7</f>
        <v>741304.85870179301</v>
      </c>
      <c r="K29" s="34">
        <f>'Water Heater Stock'!K17*'Device Energy Use'!$D7</f>
        <v>806743.35479532578</v>
      </c>
      <c r="L29" s="34">
        <f>'Water Heater Stock'!L17*'Device Energy Use'!$D7</f>
        <v>867507.67259646324</v>
      </c>
      <c r="M29" s="34">
        <f>'Water Heater Stock'!M17*'Device Energy Use'!$D7</f>
        <v>923931.68198323378</v>
      </c>
      <c r="N29" s="34">
        <f>'Water Heater Stock'!N17*'Device Energy Use'!$D7</f>
        <v>976325.40498523496</v>
      </c>
      <c r="O29" s="34">
        <f>'Water Heater Stock'!O17*'Device Energy Use'!$D7</f>
        <v>1024976.719201379</v>
      </c>
      <c r="P29" s="34">
        <f>'Water Heater Stock'!P17*'Device Energy Use'!$D7</f>
        <v>1070152.9395449413</v>
      </c>
      <c r="Q29" s="34">
        <f>'Water Heater Stock'!Q17*'Device Energy Use'!$D7</f>
        <v>1112102.2870068206</v>
      </c>
      <c r="R29" s="34">
        <f>'Water Heater Stock'!R17*'Device Energy Use'!$D7</f>
        <v>1151055.2525071371</v>
      </c>
      <c r="S29" s="34">
        <f>'Water Heater Stock'!S17*'Device Energy Use'!$D7</f>
        <v>1187225.8633288592</v>
      </c>
      <c r="T29" s="34">
        <f>'Water Heater Stock'!T17*'Device Energy Use'!$D7</f>
        <v>1220812.8590918873</v>
      </c>
      <c r="U29" s="34">
        <f>'Water Heater Stock'!U17*'Device Energy Use'!$D7</f>
        <v>1252000.7837289847</v>
      </c>
      <c r="V29" s="34">
        <f>'Water Heater Stock'!V17*'Device Energy Use'!$D7</f>
        <v>1280960.999463432</v>
      </c>
      <c r="W29" s="34">
        <f>'Water Heater Stock'!W17*'Device Energy Use'!$D7</f>
        <v>1307852.628359705</v>
      </c>
    </row>
    <row r="30" spans="1:23">
      <c r="A30" s="14" t="str">
        <f>'Device Energy Use'!A8</f>
        <v>Instant Gas</v>
      </c>
      <c r="B30" s="34">
        <f>'Water Heater Stock'!B18*'Device Energy Use'!$D8</f>
        <v>0</v>
      </c>
      <c r="C30" s="34">
        <f>'Water Heater Stock'!C18*'Device Energy Use'!$D8</f>
        <v>0</v>
      </c>
      <c r="D30" s="34">
        <f>'Water Heater Stock'!D18*'Device Energy Use'!$D8</f>
        <v>0</v>
      </c>
      <c r="E30" s="34">
        <f>'Water Heater Stock'!E18*'Device Energy Use'!$D8</f>
        <v>0</v>
      </c>
      <c r="F30" s="34">
        <f>'Water Heater Stock'!F18*'Device Energy Use'!$D8</f>
        <v>0</v>
      </c>
      <c r="G30" s="34">
        <f>'Water Heater Stock'!G18*'Device Energy Use'!$D8</f>
        <v>0</v>
      </c>
      <c r="H30" s="34">
        <f>'Water Heater Stock'!H18*'Device Energy Use'!$D8</f>
        <v>0</v>
      </c>
      <c r="I30" s="34">
        <f>'Water Heater Stock'!I18*'Device Energy Use'!$D8</f>
        <v>0</v>
      </c>
      <c r="J30" s="34">
        <f>'Water Heater Stock'!J18*'Device Energy Use'!$D8</f>
        <v>0</v>
      </c>
      <c r="K30" s="34">
        <f>'Water Heater Stock'!K18*'Device Energy Use'!$D8</f>
        <v>0</v>
      </c>
      <c r="L30" s="34">
        <f>'Water Heater Stock'!L18*'Device Energy Use'!$D8</f>
        <v>0</v>
      </c>
      <c r="M30" s="34">
        <f>'Water Heater Stock'!M18*'Device Energy Use'!$D8</f>
        <v>0</v>
      </c>
      <c r="N30" s="34">
        <f>'Water Heater Stock'!N18*'Device Energy Use'!$D8</f>
        <v>0</v>
      </c>
      <c r="O30" s="34">
        <f>'Water Heater Stock'!O18*'Device Energy Use'!$D8</f>
        <v>0</v>
      </c>
      <c r="P30" s="34">
        <f>'Water Heater Stock'!P18*'Device Energy Use'!$D8</f>
        <v>0</v>
      </c>
      <c r="Q30" s="34">
        <f>'Water Heater Stock'!Q18*'Device Energy Use'!$D8</f>
        <v>0</v>
      </c>
      <c r="R30" s="34">
        <f>'Water Heater Stock'!R18*'Device Energy Use'!$D8</f>
        <v>0</v>
      </c>
      <c r="S30" s="34">
        <f>'Water Heater Stock'!S18*'Device Energy Use'!$D8</f>
        <v>0</v>
      </c>
      <c r="T30" s="34">
        <f>'Water Heater Stock'!T18*'Device Energy Use'!$D8</f>
        <v>0</v>
      </c>
      <c r="U30" s="34">
        <f>'Water Heater Stock'!U18*'Device Energy Use'!$D8</f>
        <v>0</v>
      </c>
      <c r="V30" s="34">
        <f>'Water Heater Stock'!V18*'Device Energy Use'!$D8</f>
        <v>0</v>
      </c>
      <c r="W30" s="34">
        <f>'Water Heater Stock'!W18*'Device Energy Use'!$D8</f>
        <v>0</v>
      </c>
    </row>
    <row r="31" spans="1:23">
      <c r="A31" s="14" t="str">
        <f>'Device Energy Use'!A9</f>
        <v>Condensing Gas</v>
      </c>
      <c r="B31" s="34">
        <f>'Water Heater Stock'!B19*'Device Energy Use'!$D9</f>
        <v>0</v>
      </c>
      <c r="C31" s="34">
        <f>'Water Heater Stock'!C19*'Device Energy Use'!$D9</f>
        <v>0</v>
      </c>
      <c r="D31" s="34">
        <f>'Water Heater Stock'!D19*'Device Energy Use'!$D9</f>
        <v>0</v>
      </c>
      <c r="E31" s="34">
        <f>'Water Heater Stock'!E19*'Device Energy Use'!$D9</f>
        <v>0</v>
      </c>
      <c r="F31" s="34">
        <f>'Water Heater Stock'!F19*'Device Energy Use'!$D9</f>
        <v>0</v>
      </c>
      <c r="G31" s="34">
        <f>'Water Heater Stock'!G19*'Device Energy Use'!$D9</f>
        <v>0</v>
      </c>
      <c r="H31" s="34">
        <f>'Water Heater Stock'!H19*'Device Energy Use'!$D9</f>
        <v>0</v>
      </c>
      <c r="I31" s="34">
        <f>'Water Heater Stock'!I19*'Device Energy Use'!$D9</f>
        <v>0</v>
      </c>
      <c r="J31" s="34">
        <f>'Water Heater Stock'!J19*'Device Energy Use'!$D9</f>
        <v>0</v>
      </c>
      <c r="K31" s="34">
        <f>'Water Heater Stock'!K19*'Device Energy Use'!$D9</f>
        <v>0</v>
      </c>
      <c r="L31" s="34">
        <f>'Water Heater Stock'!L19*'Device Energy Use'!$D9</f>
        <v>0</v>
      </c>
      <c r="M31" s="34">
        <f>'Water Heater Stock'!M19*'Device Energy Use'!$D9</f>
        <v>0</v>
      </c>
      <c r="N31" s="34">
        <f>'Water Heater Stock'!N19*'Device Energy Use'!$D9</f>
        <v>0</v>
      </c>
      <c r="O31" s="34">
        <f>'Water Heater Stock'!O19*'Device Energy Use'!$D9</f>
        <v>0</v>
      </c>
      <c r="P31" s="34">
        <f>'Water Heater Stock'!P19*'Device Energy Use'!$D9</f>
        <v>0</v>
      </c>
      <c r="Q31" s="34">
        <f>'Water Heater Stock'!Q19*'Device Energy Use'!$D9</f>
        <v>0</v>
      </c>
      <c r="R31" s="34">
        <f>'Water Heater Stock'!R19*'Device Energy Use'!$D9</f>
        <v>0</v>
      </c>
      <c r="S31" s="34">
        <f>'Water Heater Stock'!S19*'Device Energy Use'!$D9</f>
        <v>0</v>
      </c>
      <c r="T31" s="34">
        <f>'Water Heater Stock'!T19*'Device Energy Use'!$D9</f>
        <v>0</v>
      </c>
      <c r="U31" s="34">
        <f>'Water Heater Stock'!U19*'Device Energy Use'!$D9</f>
        <v>0</v>
      </c>
      <c r="V31" s="34">
        <f>'Water Heater Stock'!V19*'Device Energy Use'!$D9</f>
        <v>0</v>
      </c>
      <c r="W31" s="34">
        <f>'Water Heater Stock'!W19*'Device Energy Use'!$D9</f>
        <v>0</v>
      </c>
    </row>
    <row r="34" spans="1:23">
      <c r="A34" s="12" t="s">
        <v>49</v>
      </c>
    </row>
    <row r="35" spans="1:23">
      <c r="A35" s="39" t="str">
        <f>'Device Energy Use'!A4</f>
        <v>Water Heat Ending</v>
      </c>
      <c r="B35" s="42">
        <f>'Water Heater Stock'!B4</f>
        <v>2014</v>
      </c>
      <c r="C35" s="42">
        <f>'Water Heater Stock'!C4</f>
        <v>2015</v>
      </c>
      <c r="D35" s="42">
        <f>'Water Heater Stock'!D4</f>
        <v>2016</v>
      </c>
      <c r="E35" s="42">
        <f>'Water Heater Stock'!E4</f>
        <v>2017</v>
      </c>
      <c r="F35" s="42">
        <f>'Water Heater Stock'!F4</f>
        <v>2018</v>
      </c>
      <c r="G35" s="42">
        <f>'Water Heater Stock'!G4</f>
        <v>2019</v>
      </c>
      <c r="H35" s="42">
        <f>'Water Heater Stock'!H4</f>
        <v>2020</v>
      </c>
      <c r="I35" s="42">
        <f>'Water Heater Stock'!I4</f>
        <v>2021</v>
      </c>
      <c r="J35" s="42">
        <f>'Water Heater Stock'!J4</f>
        <v>2022</v>
      </c>
      <c r="K35" s="42">
        <f>'Water Heater Stock'!K4</f>
        <v>2023</v>
      </c>
      <c r="L35" s="42">
        <f>'Water Heater Stock'!L4</f>
        <v>2024</v>
      </c>
      <c r="M35" s="42">
        <f>'Water Heater Stock'!M4</f>
        <v>2025</v>
      </c>
      <c r="N35" s="42">
        <f>'Water Heater Stock'!N4</f>
        <v>2026</v>
      </c>
      <c r="O35" s="42">
        <f>'Water Heater Stock'!O4</f>
        <v>2027</v>
      </c>
      <c r="P35" s="42">
        <f>'Water Heater Stock'!P4</f>
        <v>2028</v>
      </c>
      <c r="Q35" s="42">
        <f>'Water Heater Stock'!Q4</f>
        <v>2029</v>
      </c>
      <c r="R35" s="42">
        <f>'Water Heater Stock'!R4</f>
        <v>2030</v>
      </c>
      <c r="S35" s="42">
        <f>'Water Heater Stock'!S4</f>
        <v>2031</v>
      </c>
      <c r="T35" s="42">
        <f>'Water Heater Stock'!T4</f>
        <v>2032</v>
      </c>
      <c r="U35" s="42">
        <f>'Water Heater Stock'!U4</f>
        <v>2033</v>
      </c>
      <c r="V35" s="42">
        <f>'Water Heater Stock'!V4</f>
        <v>2034</v>
      </c>
      <c r="W35" s="42">
        <f>'Water Heater Stock'!W4</f>
        <v>2035</v>
      </c>
    </row>
    <row r="36" spans="1:23" ht="16.5" thickBot="1">
      <c r="A36" s="49" t="s">
        <v>48</v>
      </c>
      <c r="B36" s="50">
        <f t="shared" ref="B36:W36" si="9">SUM(B37:B41)</f>
        <v>320607.53535973787</v>
      </c>
      <c r="C36" s="50">
        <f t="shared" si="9"/>
        <v>312781.51225604693</v>
      </c>
      <c r="D36" s="50">
        <f t="shared" si="9"/>
        <v>305490.92064889224</v>
      </c>
      <c r="E36" s="50">
        <f t="shared" si="9"/>
        <v>298695.46553533449</v>
      </c>
      <c r="F36" s="50">
        <f t="shared" si="9"/>
        <v>292356.26601291564</v>
      </c>
      <c r="G36" s="50">
        <f t="shared" si="9"/>
        <v>286435.14493151655</v>
      </c>
      <c r="H36" s="50">
        <f t="shared" si="9"/>
        <v>280893.86744764179</v>
      </c>
      <c r="I36" s="50">
        <f t="shared" si="9"/>
        <v>275693.38450050924</v>
      </c>
      <c r="J36" s="50">
        <f t="shared" si="9"/>
        <v>270793.16656880209</v>
      </c>
      <c r="K36" s="50">
        <f t="shared" si="9"/>
        <v>266150.73821328167</v>
      </c>
      <c r="L36" s="50">
        <f t="shared" si="9"/>
        <v>261721.5365304052</v>
      </c>
      <c r="M36" s="50">
        <f t="shared" si="9"/>
        <v>257459.2070968053</v>
      </c>
      <c r="N36" s="50">
        <f t="shared" si="9"/>
        <v>253316.41116739673</v>
      </c>
      <c r="O36" s="50">
        <f t="shared" si="9"/>
        <v>249246.1457533894</v>
      </c>
      <c r="P36" s="50">
        <f t="shared" si="9"/>
        <v>245203.48241298547</v>
      </c>
      <c r="Q36" s="50">
        <f t="shared" si="9"/>
        <v>241147.53220115413</v>
      </c>
      <c r="R36" s="50">
        <f t="shared" si="9"/>
        <v>237043.37239512848</v>
      </c>
      <c r="S36" s="50">
        <f t="shared" si="9"/>
        <v>232863.65199462313</v>
      </c>
      <c r="T36" s="50">
        <f t="shared" si="9"/>
        <v>228589.63925028039</v>
      </c>
      <c r="U36" s="50">
        <f t="shared" si="9"/>
        <v>224211.57509039383</v>
      </c>
      <c r="V36" s="50">
        <f t="shared" si="9"/>
        <v>219728.32191649839</v>
      </c>
      <c r="W36" s="50">
        <f t="shared" si="9"/>
        <v>215146.41205653385</v>
      </c>
    </row>
    <row r="37" spans="1:23" ht="16.5" thickTop="1">
      <c r="A37" s="38" t="str">
        <f>'Device Energy Use'!A5</f>
        <v>Electric Resistance</v>
      </c>
      <c r="B37" s="34">
        <f>'Water Heater Stock'!B6*'Device Energy Use'!$B5/1000</f>
        <v>320607.53535973787</v>
      </c>
      <c r="C37" s="34">
        <f>'Water Heater Stock'!C6*'Device Energy Use'!$B5/1000</f>
        <v>312780.42917441286</v>
      </c>
      <c r="D37" s="34">
        <f>'Water Heater Stock'!D6*'Device Energy Use'!$B5/1000</f>
        <v>305487.75243062654</v>
      </c>
      <c r="E37" s="34">
        <f>'Water Heater Stock'!E6*'Device Energy Use'!$B5/1000</f>
        <v>298688.41878884169</v>
      </c>
      <c r="F37" s="34">
        <f>'Water Heater Stock'!F6*'Device Energy Use'!$B5/1000</f>
        <v>292342.28846773651</v>
      </c>
      <c r="G37" s="34">
        <f>'Water Heater Stock'!G6*'Device Energy Use'!$B5/1000</f>
        <v>286409.27820109465</v>
      </c>
      <c r="H37" s="34">
        <f>'Water Heater Stock'!H6*'Device Energy Use'!$B5/1000</f>
        <v>280848.40030483145</v>
      </c>
      <c r="I37" s="34">
        <f>'Water Heater Stock'!I6*'Device Energy Use'!$B5/1000</f>
        <v>275616.80802762677</v>
      </c>
      <c r="J37" s="34">
        <f>'Water Heater Stock'!J6*'Device Energy Use'!$B5/1000</f>
        <v>270668.96366294945</v>
      </c>
      <c r="K37" s="34">
        <f>'Water Heater Stock'!K6*'Device Energy Use'!$B5/1000</f>
        <v>265956.07917545247</v>
      </c>
      <c r="L37" s="34">
        <f>'Water Heater Stock'!L6*'Device Energy Use'!$B5/1000</f>
        <v>261425.99508371178</v>
      </c>
      <c r="M37" s="34">
        <f>'Water Heater Stock'!M6*'Device Energy Use'!$B5/1000</f>
        <v>257023.64913644167</v>
      </c>
      <c r="N37" s="34">
        <f>'Water Heater Stock'!N6*'Device Energy Use'!$B5/1000</f>
        <v>252692.23122639742</v>
      </c>
      <c r="O37" s="34">
        <f>'Water Heater Stock'!O6*'Device Energy Use'!$B5/1000</f>
        <v>248375.02262398036</v>
      </c>
      <c r="P37" s="34">
        <f>'Water Heater Stock'!P6*'Device Energy Use'!$B5/1000</f>
        <v>244017.78810293283</v>
      </c>
      <c r="Q37" s="34">
        <f>'Water Heater Stock'!Q6*'Device Energy Use'!$B5/1000</f>
        <v>239571.45761432985</v>
      </c>
      <c r="R37" s="34">
        <f>'Water Heater Stock'!R6*'Device Energy Use'!$B5/1000</f>
        <v>234994.73918742861</v>
      </c>
      <c r="S37" s="34">
        <f>'Water Heater Stock'!S6*'Device Energy Use'!$B5/1000</f>
        <v>230256.28226813136</v>
      </c>
      <c r="T37" s="34">
        <f>'Water Heater Stock'!T6*'Device Energy Use'!$B5/1000</f>
        <v>225336.07576105712</v>
      </c>
      <c r="U37" s="34">
        <f>'Water Heater Stock'!U6*'Device Energy Use'!$B5/1000</f>
        <v>220225.90266306925</v>
      </c>
      <c r="V37" s="34">
        <f>'Water Heater Stock'!V6*'Device Energy Use'!$B5/1000</f>
        <v>214928.84321796888</v>
      </c>
      <c r="W37" s="34">
        <f>'Water Heater Stock'!W6*'Device Energy Use'!$B5/1000</f>
        <v>209457.97268154053</v>
      </c>
    </row>
    <row r="38" spans="1:23">
      <c r="A38" s="38" t="str">
        <f>'Device Energy Use'!A6</f>
        <v>HPWH</v>
      </c>
      <c r="B38" s="34">
        <f>'Water Heater Stock'!B7*'Device Energy Use'!$B6/1000</f>
        <v>0</v>
      </c>
      <c r="C38" s="34">
        <f>'Water Heater Stock'!C7*'Device Energy Use'!$B6/1000</f>
        <v>1.0830816340803122</v>
      </c>
      <c r="D38" s="34">
        <f>'Water Heater Stock'!D7*'Device Energy Use'!$B6/1000</f>
        <v>3.1682182657096041</v>
      </c>
      <c r="E38" s="34">
        <f>'Water Heater Stock'!E7*'Device Energy Use'!$B6/1000</f>
        <v>7.0467464927904802</v>
      </c>
      <c r="F38" s="34">
        <f>'Water Heater Stock'!F7*'Device Energy Use'!$B6/1000</f>
        <v>13.97754517916365</v>
      </c>
      <c r="G38" s="34">
        <f>'Water Heater Stock'!G7*'Device Energy Use'!$B6/1000</f>
        <v>25.86673042189852</v>
      </c>
      <c r="H38" s="34">
        <f>'Water Heater Stock'!H7*'Device Energy Use'!$B6/1000</f>
        <v>45.467142810352648</v>
      </c>
      <c r="I38" s="34">
        <f>'Water Heater Stock'!I7*'Device Energy Use'!$B6/1000</f>
        <v>76.576472882473468</v>
      </c>
      <c r="J38" s="34">
        <f>'Water Heater Stock'!J7*'Device Energy Use'!$B6/1000</f>
        <v>124.20290585262244</v>
      </c>
      <c r="K38" s="34">
        <f>'Water Heater Stock'!K7*'Device Energy Use'!$B6/1000</f>
        <v>194.65903782922618</v>
      </c>
      <c r="L38" s="34">
        <f>'Water Heater Stock'!L7*'Device Energy Use'!$B6/1000</f>
        <v>295.54144669340633</v>
      </c>
      <c r="M38" s="34">
        <f>'Water Heater Stock'!M7*'Device Energy Use'!$B6/1000</f>
        <v>435.55796036363756</v>
      </c>
      <c r="N38" s="34">
        <f>'Water Heater Stock'!N7*'Device Energy Use'!$B6/1000</f>
        <v>624.17994099931866</v>
      </c>
      <c r="O38" s="34">
        <f>'Water Heater Stock'!O7*'Device Energy Use'!$B6/1000</f>
        <v>871.12312940903291</v>
      </c>
      <c r="P38" s="34">
        <f>'Water Heater Stock'!P7*'Device Energy Use'!$B6/1000</f>
        <v>1185.6943100526503</v>
      </c>
      <c r="Q38" s="34">
        <f>'Water Heater Stock'!Q7*'Device Energy Use'!$B6/1000</f>
        <v>1576.0745868242698</v>
      </c>
      <c r="R38" s="34">
        <f>'Water Heater Stock'!R7*'Device Energy Use'!$B6/1000</f>
        <v>2048.6332076998715</v>
      </c>
      <c r="S38" s="34">
        <f>'Water Heater Stock'!S7*'Device Energy Use'!$B6/1000</f>
        <v>2607.3697264917851</v>
      </c>
      <c r="T38" s="34">
        <f>'Water Heater Stock'!T7*'Device Energy Use'!$B6/1000</f>
        <v>3253.5634892232683</v>
      </c>
      <c r="U38" s="34">
        <f>'Water Heater Stock'!U7*'Device Energy Use'!$B6/1000</f>
        <v>3985.6724273245759</v>
      </c>
      <c r="V38" s="34">
        <f>'Water Heater Stock'!V7*'Device Energy Use'!$B6/1000</f>
        <v>4799.4786985294968</v>
      </c>
      <c r="W38" s="34">
        <f>'Water Heater Stock'!W7*'Device Energy Use'!$B6/1000</f>
        <v>5688.4393749933106</v>
      </c>
    </row>
    <row r="39" spans="1:23">
      <c r="A39" s="38" t="str">
        <f>'Device Energy Use'!A7</f>
        <v>Gas Tank</v>
      </c>
      <c r="B39" s="34">
        <f>'Water Heater Stock'!B8*'Device Energy Use'!$B7/1000</f>
        <v>0</v>
      </c>
      <c r="C39" s="34">
        <f>'Water Heater Stock'!C8*'Device Energy Use'!$B7/1000</f>
        <v>0</v>
      </c>
      <c r="D39" s="34">
        <f>'Water Heater Stock'!D8*'Device Energy Use'!$B7/1000</f>
        <v>0</v>
      </c>
      <c r="E39" s="34">
        <f>'Water Heater Stock'!E8*'Device Energy Use'!$B7/1000</f>
        <v>0</v>
      </c>
      <c r="F39" s="34">
        <f>'Water Heater Stock'!F8*'Device Energy Use'!$B7/1000</f>
        <v>0</v>
      </c>
      <c r="G39" s="34">
        <f>'Water Heater Stock'!G8*'Device Energy Use'!$B7/1000</f>
        <v>0</v>
      </c>
      <c r="H39" s="34">
        <f>'Water Heater Stock'!H8*'Device Energy Use'!$B7/1000</f>
        <v>0</v>
      </c>
      <c r="I39" s="34">
        <f>'Water Heater Stock'!I8*'Device Energy Use'!$B7/1000</f>
        <v>0</v>
      </c>
      <c r="J39" s="34">
        <f>'Water Heater Stock'!J8*'Device Energy Use'!$B7/1000</f>
        <v>0</v>
      </c>
      <c r="K39" s="34">
        <f>'Water Heater Stock'!K8*'Device Energy Use'!$B7/1000</f>
        <v>0</v>
      </c>
      <c r="L39" s="34">
        <f>'Water Heater Stock'!L8*'Device Energy Use'!$B7/1000</f>
        <v>0</v>
      </c>
      <c r="M39" s="34">
        <f>'Water Heater Stock'!M8*'Device Energy Use'!$B7/1000</f>
        <v>0</v>
      </c>
      <c r="N39" s="34">
        <f>'Water Heater Stock'!N8*'Device Energy Use'!$B7/1000</f>
        <v>0</v>
      </c>
      <c r="O39" s="34">
        <f>'Water Heater Stock'!O8*'Device Energy Use'!$B7/1000</f>
        <v>0</v>
      </c>
      <c r="P39" s="34">
        <f>'Water Heater Stock'!P8*'Device Energy Use'!$B7/1000</f>
        <v>0</v>
      </c>
      <c r="Q39" s="34">
        <f>'Water Heater Stock'!Q8*'Device Energy Use'!$B7/1000</f>
        <v>0</v>
      </c>
      <c r="R39" s="34">
        <f>'Water Heater Stock'!R8*'Device Energy Use'!$B7/1000</f>
        <v>0</v>
      </c>
      <c r="S39" s="34">
        <f>'Water Heater Stock'!S8*'Device Energy Use'!$B7/1000</f>
        <v>0</v>
      </c>
      <c r="T39" s="34">
        <f>'Water Heater Stock'!T8*'Device Energy Use'!$B7/1000</f>
        <v>0</v>
      </c>
      <c r="U39" s="34">
        <f>'Water Heater Stock'!U8*'Device Energy Use'!$B7/1000</f>
        <v>0</v>
      </c>
      <c r="V39" s="34">
        <f>'Water Heater Stock'!V8*'Device Energy Use'!$B7/1000</f>
        <v>0</v>
      </c>
      <c r="W39" s="34">
        <f>'Water Heater Stock'!W8*'Device Energy Use'!$B7/1000</f>
        <v>0</v>
      </c>
    </row>
    <row r="40" spans="1:23">
      <c r="A40" s="38" t="str">
        <f>'Device Energy Use'!A8</f>
        <v>Instant Gas</v>
      </c>
      <c r="B40" s="34">
        <f>'Water Heater Stock'!B9*'Device Energy Use'!$B8/1000</f>
        <v>0</v>
      </c>
      <c r="C40" s="34">
        <f>'Water Heater Stock'!C9*'Device Energy Use'!$B8/1000</f>
        <v>0</v>
      </c>
      <c r="D40" s="34">
        <f>'Water Heater Stock'!D9*'Device Energy Use'!$B8/1000</f>
        <v>0</v>
      </c>
      <c r="E40" s="34">
        <f>'Water Heater Stock'!E9*'Device Energy Use'!$B8/1000</f>
        <v>0</v>
      </c>
      <c r="F40" s="34">
        <f>'Water Heater Stock'!F9*'Device Energy Use'!$B8/1000</f>
        <v>0</v>
      </c>
      <c r="G40" s="34">
        <f>'Water Heater Stock'!G9*'Device Energy Use'!$B8/1000</f>
        <v>0</v>
      </c>
      <c r="H40" s="34">
        <f>'Water Heater Stock'!H9*'Device Energy Use'!$B8/1000</f>
        <v>0</v>
      </c>
      <c r="I40" s="34">
        <f>'Water Heater Stock'!I9*'Device Energy Use'!$B8/1000</f>
        <v>0</v>
      </c>
      <c r="J40" s="34">
        <f>'Water Heater Stock'!J9*'Device Energy Use'!$B8/1000</f>
        <v>0</v>
      </c>
      <c r="K40" s="34">
        <f>'Water Heater Stock'!K9*'Device Energy Use'!$B8/1000</f>
        <v>0</v>
      </c>
      <c r="L40" s="34">
        <f>'Water Heater Stock'!L9*'Device Energy Use'!$B8/1000</f>
        <v>0</v>
      </c>
      <c r="M40" s="34">
        <f>'Water Heater Stock'!M9*'Device Energy Use'!$B8/1000</f>
        <v>0</v>
      </c>
      <c r="N40" s="34">
        <f>'Water Heater Stock'!N9*'Device Energy Use'!$B8/1000</f>
        <v>0</v>
      </c>
      <c r="O40" s="34">
        <f>'Water Heater Stock'!O9*'Device Energy Use'!$B8/1000</f>
        <v>0</v>
      </c>
      <c r="P40" s="34">
        <f>'Water Heater Stock'!P9*'Device Energy Use'!$B8/1000</f>
        <v>0</v>
      </c>
      <c r="Q40" s="34">
        <f>'Water Heater Stock'!Q9*'Device Energy Use'!$B8/1000</f>
        <v>0</v>
      </c>
      <c r="R40" s="34">
        <f>'Water Heater Stock'!R9*'Device Energy Use'!$B8/1000</f>
        <v>0</v>
      </c>
      <c r="S40" s="34">
        <f>'Water Heater Stock'!S9*'Device Energy Use'!$B8/1000</f>
        <v>0</v>
      </c>
      <c r="T40" s="34">
        <f>'Water Heater Stock'!T9*'Device Energy Use'!$B8/1000</f>
        <v>0</v>
      </c>
      <c r="U40" s="34">
        <f>'Water Heater Stock'!U9*'Device Energy Use'!$B8/1000</f>
        <v>0</v>
      </c>
      <c r="V40" s="34">
        <f>'Water Heater Stock'!V9*'Device Energy Use'!$B8/1000</f>
        <v>0</v>
      </c>
      <c r="W40" s="34">
        <f>'Water Heater Stock'!W9*'Device Energy Use'!$B8/1000</f>
        <v>0</v>
      </c>
    </row>
    <row r="41" spans="1:23">
      <c r="A41" s="38" t="str">
        <f>'Device Energy Use'!A9</f>
        <v>Condensing Gas</v>
      </c>
      <c r="B41" s="34">
        <f>'Water Heater Stock'!B10*'Device Energy Use'!$B9/1000</f>
        <v>0</v>
      </c>
      <c r="C41" s="34">
        <f>'Water Heater Stock'!C10*'Device Energy Use'!$B9/1000</f>
        <v>0</v>
      </c>
      <c r="D41" s="34">
        <f>'Water Heater Stock'!D10*'Device Energy Use'!$B9/1000</f>
        <v>0</v>
      </c>
      <c r="E41" s="34">
        <f>'Water Heater Stock'!E10*'Device Energy Use'!$B9/1000</f>
        <v>0</v>
      </c>
      <c r="F41" s="34">
        <f>'Water Heater Stock'!F10*'Device Energy Use'!$B9/1000</f>
        <v>0</v>
      </c>
      <c r="G41" s="34">
        <f>'Water Heater Stock'!G10*'Device Energy Use'!$B9/1000</f>
        <v>0</v>
      </c>
      <c r="H41" s="34">
        <f>'Water Heater Stock'!H10*'Device Energy Use'!$B9/1000</f>
        <v>0</v>
      </c>
      <c r="I41" s="34">
        <f>'Water Heater Stock'!I10*'Device Energy Use'!$B9/1000</f>
        <v>0</v>
      </c>
      <c r="J41" s="34">
        <f>'Water Heater Stock'!J10*'Device Energy Use'!$B9/1000</f>
        <v>0</v>
      </c>
      <c r="K41" s="34">
        <f>'Water Heater Stock'!K10*'Device Energy Use'!$B9/1000</f>
        <v>0</v>
      </c>
      <c r="L41" s="34">
        <f>'Water Heater Stock'!L10*'Device Energy Use'!$B9/1000</f>
        <v>0</v>
      </c>
      <c r="M41" s="34">
        <f>'Water Heater Stock'!M10*'Device Energy Use'!$B9/1000</f>
        <v>0</v>
      </c>
      <c r="N41" s="34">
        <f>'Water Heater Stock'!N10*'Device Energy Use'!$B9/1000</f>
        <v>0</v>
      </c>
      <c r="O41" s="34">
        <f>'Water Heater Stock'!O10*'Device Energy Use'!$B9/1000</f>
        <v>0</v>
      </c>
      <c r="P41" s="34">
        <f>'Water Heater Stock'!P10*'Device Energy Use'!$B9/1000</f>
        <v>0</v>
      </c>
      <c r="Q41" s="34">
        <f>'Water Heater Stock'!Q10*'Device Energy Use'!$B9/1000</f>
        <v>0</v>
      </c>
      <c r="R41" s="34">
        <f>'Water Heater Stock'!R10*'Device Energy Use'!$B9/1000</f>
        <v>0</v>
      </c>
      <c r="S41" s="34">
        <f>'Water Heater Stock'!S10*'Device Energy Use'!$B9/1000</f>
        <v>0</v>
      </c>
      <c r="T41" s="34">
        <f>'Water Heater Stock'!T10*'Device Energy Use'!$B9/1000</f>
        <v>0</v>
      </c>
      <c r="U41" s="34">
        <f>'Water Heater Stock'!U10*'Device Energy Use'!$B9/1000</f>
        <v>0</v>
      </c>
      <c r="V41" s="34">
        <f>'Water Heater Stock'!V10*'Device Energy Use'!$B9/1000</f>
        <v>0</v>
      </c>
      <c r="W41" s="34">
        <f>'Water Heater Stock'!W10*'Device Energy Use'!$B9/1000</f>
        <v>0</v>
      </c>
    </row>
    <row r="42" spans="1:23">
      <c r="A42" s="38"/>
    </row>
    <row r="43" spans="1:23">
      <c r="A43" s="12" t="s">
        <v>104</v>
      </c>
    </row>
    <row r="44" spans="1:23">
      <c r="A44" s="39" t="str">
        <f>'Device Energy Use'!A4</f>
        <v>Water Heat Ending</v>
      </c>
      <c r="B44" s="42">
        <f>'Water Heater Stock'!B13</f>
        <v>2014</v>
      </c>
      <c r="C44" s="42">
        <f>'Water Heater Stock'!C13</f>
        <v>2015</v>
      </c>
      <c r="D44" s="42">
        <f>'Water Heater Stock'!D13</f>
        <v>2016</v>
      </c>
      <c r="E44" s="42">
        <f>'Water Heater Stock'!E13</f>
        <v>2017</v>
      </c>
      <c r="F44" s="42">
        <f>'Water Heater Stock'!F13</f>
        <v>2018</v>
      </c>
      <c r="G44" s="42">
        <f>'Water Heater Stock'!G13</f>
        <v>2019</v>
      </c>
      <c r="H44" s="42">
        <f>'Water Heater Stock'!H13</f>
        <v>2020</v>
      </c>
      <c r="I44" s="42">
        <f>'Water Heater Stock'!I13</f>
        <v>2021</v>
      </c>
      <c r="J44" s="42">
        <f>'Water Heater Stock'!J13</f>
        <v>2022</v>
      </c>
      <c r="K44" s="42">
        <f>'Water Heater Stock'!K13</f>
        <v>2023</v>
      </c>
      <c r="L44" s="42">
        <f>'Water Heater Stock'!L13</f>
        <v>2024</v>
      </c>
      <c r="M44" s="42">
        <f>'Water Heater Stock'!M13</f>
        <v>2025</v>
      </c>
      <c r="N44" s="42">
        <f>'Water Heater Stock'!N13</f>
        <v>2026</v>
      </c>
      <c r="O44" s="42">
        <f>'Water Heater Stock'!O13</f>
        <v>2027</v>
      </c>
      <c r="P44" s="42">
        <f>'Water Heater Stock'!P13</f>
        <v>2028</v>
      </c>
      <c r="Q44" s="42">
        <f>'Water Heater Stock'!Q13</f>
        <v>2029</v>
      </c>
      <c r="R44" s="42">
        <f>'Water Heater Stock'!R13</f>
        <v>2030</v>
      </c>
      <c r="S44" s="42">
        <f>'Water Heater Stock'!S13</f>
        <v>2031</v>
      </c>
      <c r="T44" s="42">
        <f>'Water Heater Stock'!T13</f>
        <v>2032</v>
      </c>
      <c r="U44" s="42">
        <f>'Water Heater Stock'!U13</f>
        <v>2033</v>
      </c>
      <c r="V44" s="42">
        <f>'Water Heater Stock'!V13</f>
        <v>2034</v>
      </c>
      <c r="W44" s="42">
        <f>'Water Heater Stock'!W13</f>
        <v>2035</v>
      </c>
    </row>
    <row r="45" spans="1:23" ht="16.5" thickBot="1">
      <c r="A45" s="49" t="s">
        <v>48</v>
      </c>
      <c r="B45" s="50">
        <f t="shared" ref="B45:W45" si="10">SUM(B46:B50)</f>
        <v>320607.53535973787</v>
      </c>
      <c r="C45" s="50">
        <f t="shared" si="10"/>
        <v>297706.99711975659</v>
      </c>
      <c r="D45" s="50">
        <f t="shared" si="10"/>
        <v>276442.21161120251</v>
      </c>
      <c r="E45" s="50">
        <f t="shared" si="10"/>
        <v>256696.33935325951</v>
      </c>
      <c r="F45" s="50">
        <f t="shared" si="10"/>
        <v>238360.88654231242</v>
      </c>
      <c r="G45" s="50">
        <f t="shared" si="10"/>
        <v>221335.10893214724</v>
      </c>
      <c r="H45" s="50">
        <f t="shared" si="10"/>
        <v>205525.45829413671</v>
      </c>
      <c r="I45" s="50">
        <f t="shared" si="10"/>
        <v>190845.0684159841</v>
      </c>
      <c r="J45" s="50">
        <f t="shared" si="10"/>
        <v>177213.27781484238</v>
      </c>
      <c r="K45" s="50">
        <f t="shared" si="10"/>
        <v>164555.18654235362</v>
      </c>
      <c r="L45" s="50">
        <f t="shared" si="10"/>
        <v>152801.24464647123</v>
      </c>
      <c r="M45" s="50">
        <f t="shared" si="10"/>
        <v>141886.87002886613</v>
      </c>
      <c r="N45" s="50">
        <f t="shared" si="10"/>
        <v>131752.09359823284</v>
      </c>
      <c r="O45" s="50">
        <f t="shared" si="10"/>
        <v>122341.22976978763</v>
      </c>
      <c r="P45" s="50">
        <f t="shared" si="10"/>
        <v>113602.57050051709</v>
      </c>
      <c r="Q45" s="50">
        <f t="shared" si="10"/>
        <v>105488.10117905158</v>
      </c>
      <c r="R45" s="50">
        <f t="shared" si="10"/>
        <v>97953.236809119335</v>
      </c>
      <c r="S45" s="50">
        <f t="shared" si="10"/>
        <v>90956.577037039373</v>
      </c>
      <c r="T45" s="50">
        <f t="shared" si="10"/>
        <v>84459.678677250849</v>
      </c>
      <c r="U45" s="50">
        <f t="shared" si="10"/>
        <v>78426.844486018643</v>
      </c>
      <c r="V45" s="50">
        <f t="shared" si="10"/>
        <v>72824.927022731586</v>
      </c>
      <c r="W45" s="50">
        <f t="shared" si="10"/>
        <v>67623.146521107905</v>
      </c>
    </row>
    <row r="46" spans="1:23" ht="16.5" thickTop="1">
      <c r="A46" s="38" t="str">
        <f>'Device Energy Use'!A5</f>
        <v>Electric Resistance</v>
      </c>
      <c r="B46" s="34">
        <f>'Water Heater Stock'!B15*'Device Energy Use'!$B5/1000</f>
        <v>320607.53535973787</v>
      </c>
      <c r="C46" s="34">
        <f>'Water Heater Stock'!C15*'Device Energy Use'!$B5/1000</f>
        <v>297706.99711975659</v>
      </c>
      <c r="D46" s="34">
        <f>'Water Heater Stock'!D15*'Device Energy Use'!$B5/1000</f>
        <v>276442.21161120251</v>
      </c>
      <c r="E46" s="34">
        <f>'Water Heater Stock'!E15*'Device Energy Use'!$B5/1000</f>
        <v>256696.33935325951</v>
      </c>
      <c r="F46" s="34">
        <f>'Water Heater Stock'!F15*'Device Energy Use'!$B5/1000</f>
        <v>238360.88654231242</v>
      </c>
      <c r="G46" s="34">
        <f>'Water Heater Stock'!G15*'Device Energy Use'!$B5/1000</f>
        <v>221335.10893214724</v>
      </c>
      <c r="H46" s="34">
        <f>'Water Heater Stock'!H15*'Device Energy Use'!$B5/1000</f>
        <v>205525.45829413671</v>
      </c>
      <c r="I46" s="34">
        <f>'Water Heater Stock'!I15*'Device Energy Use'!$B5/1000</f>
        <v>190845.0684159841</v>
      </c>
      <c r="J46" s="34">
        <f>'Water Heater Stock'!J15*'Device Energy Use'!$B5/1000</f>
        <v>177213.27781484238</v>
      </c>
      <c r="K46" s="34">
        <f>'Water Heater Stock'!K15*'Device Energy Use'!$B5/1000</f>
        <v>164555.18654235362</v>
      </c>
      <c r="L46" s="34">
        <f>'Water Heater Stock'!L15*'Device Energy Use'!$B5/1000</f>
        <v>152801.24464647123</v>
      </c>
      <c r="M46" s="34">
        <f>'Water Heater Stock'!M15*'Device Energy Use'!$B5/1000</f>
        <v>141886.87002886613</v>
      </c>
      <c r="N46" s="34">
        <f>'Water Heater Stock'!N15*'Device Energy Use'!$B5/1000</f>
        <v>131752.09359823284</v>
      </c>
      <c r="O46" s="34">
        <f>'Water Heater Stock'!O15*'Device Energy Use'!$B5/1000</f>
        <v>122341.22976978763</v>
      </c>
      <c r="P46" s="34">
        <f>'Water Heater Stock'!P15*'Device Energy Use'!$B5/1000</f>
        <v>113602.57050051709</v>
      </c>
      <c r="Q46" s="34">
        <f>'Water Heater Stock'!Q15*'Device Energy Use'!$B5/1000</f>
        <v>105488.10117905158</v>
      </c>
      <c r="R46" s="34">
        <f>'Water Heater Stock'!R15*'Device Energy Use'!$B5/1000</f>
        <v>97953.236809119335</v>
      </c>
      <c r="S46" s="34">
        <f>'Water Heater Stock'!S15*'Device Energy Use'!$B5/1000</f>
        <v>90956.577037039373</v>
      </c>
      <c r="T46" s="34">
        <f>'Water Heater Stock'!T15*'Device Energy Use'!$B5/1000</f>
        <v>84459.678677250849</v>
      </c>
      <c r="U46" s="34">
        <f>'Water Heater Stock'!U15*'Device Energy Use'!$B5/1000</f>
        <v>78426.844486018643</v>
      </c>
      <c r="V46" s="34">
        <f>'Water Heater Stock'!V15*'Device Energy Use'!$B5/1000</f>
        <v>72824.927022731586</v>
      </c>
      <c r="W46" s="34">
        <f>'Water Heater Stock'!W15*'Device Energy Use'!$B5/1000</f>
        <v>67623.146521107905</v>
      </c>
    </row>
    <row r="47" spans="1:23">
      <c r="A47" s="38" t="str">
        <f>'Device Energy Use'!A6</f>
        <v>HPWH</v>
      </c>
      <c r="B47" s="34">
        <f>'Water Heater Stock'!B16*'Device Energy Use'!$B6/1000</f>
        <v>0</v>
      </c>
      <c r="C47" s="34">
        <f>'Water Heater Stock'!C16*'Device Energy Use'!$B6/1000</f>
        <v>0</v>
      </c>
      <c r="D47" s="34">
        <f>'Water Heater Stock'!D16*'Device Energy Use'!$B6/1000</f>
        <v>0</v>
      </c>
      <c r="E47" s="34">
        <f>'Water Heater Stock'!E16*'Device Energy Use'!$B6/1000</f>
        <v>0</v>
      </c>
      <c r="F47" s="34">
        <f>'Water Heater Stock'!F16*'Device Energy Use'!$B6/1000</f>
        <v>0</v>
      </c>
      <c r="G47" s="34">
        <f>'Water Heater Stock'!G16*'Device Energy Use'!$B6/1000</f>
        <v>0</v>
      </c>
      <c r="H47" s="34">
        <f>'Water Heater Stock'!H16*'Device Energy Use'!$B6/1000</f>
        <v>0</v>
      </c>
      <c r="I47" s="34">
        <f>'Water Heater Stock'!I16*'Device Energy Use'!$B6/1000</f>
        <v>0</v>
      </c>
      <c r="J47" s="34">
        <f>'Water Heater Stock'!J16*'Device Energy Use'!$B6/1000</f>
        <v>0</v>
      </c>
      <c r="K47" s="34">
        <f>'Water Heater Stock'!K16*'Device Energy Use'!$B6/1000</f>
        <v>0</v>
      </c>
      <c r="L47" s="34">
        <f>'Water Heater Stock'!L16*'Device Energy Use'!$B6/1000</f>
        <v>0</v>
      </c>
      <c r="M47" s="34">
        <f>'Water Heater Stock'!M16*'Device Energy Use'!$B6/1000</f>
        <v>0</v>
      </c>
      <c r="N47" s="34">
        <f>'Water Heater Stock'!N16*'Device Energy Use'!$B6/1000</f>
        <v>0</v>
      </c>
      <c r="O47" s="34">
        <f>'Water Heater Stock'!O16*'Device Energy Use'!$B6/1000</f>
        <v>0</v>
      </c>
      <c r="P47" s="34">
        <f>'Water Heater Stock'!P16*'Device Energy Use'!$B6/1000</f>
        <v>0</v>
      </c>
      <c r="Q47" s="34">
        <f>'Water Heater Stock'!Q16*'Device Energy Use'!$B6/1000</f>
        <v>0</v>
      </c>
      <c r="R47" s="34">
        <f>'Water Heater Stock'!R16*'Device Energy Use'!$B6/1000</f>
        <v>0</v>
      </c>
      <c r="S47" s="34">
        <f>'Water Heater Stock'!S16*'Device Energy Use'!$B6/1000</f>
        <v>0</v>
      </c>
      <c r="T47" s="34">
        <f>'Water Heater Stock'!T16*'Device Energy Use'!$B6/1000</f>
        <v>0</v>
      </c>
      <c r="U47" s="34">
        <f>'Water Heater Stock'!U16*'Device Energy Use'!$B6/1000</f>
        <v>0</v>
      </c>
      <c r="V47" s="34">
        <f>'Water Heater Stock'!V16*'Device Energy Use'!$B6/1000</f>
        <v>0</v>
      </c>
      <c r="W47" s="34">
        <f>'Water Heater Stock'!W16*'Device Energy Use'!$B6/1000</f>
        <v>0</v>
      </c>
    </row>
    <row r="48" spans="1:23">
      <c r="A48" s="38" t="str">
        <f>'Device Energy Use'!A7</f>
        <v>Gas Tank</v>
      </c>
      <c r="B48" s="34">
        <f>'Water Heater Stock'!B17*'Device Energy Use'!$B7/1000</f>
        <v>0</v>
      </c>
      <c r="C48" s="34">
        <f>'Water Heater Stock'!C17*'Device Energy Use'!$B7/1000</f>
        <v>0</v>
      </c>
      <c r="D48" s="34">
        <f>'Water Heater Stock'!D17*'Device Energy Use'!$B7/1000</f>
        <v>0</v>
      </c>
      <c r="E48" s="34">
        <f>'Water Heater Stock'!E17*'Device Energy Use'!$B7/1000</f>
        <v>0</v>
      </c>
      <c r="F48" s="34">
        <f>'Water Heater Stock'!F17*'Device Energy Use'!$B7/1000</f>
        <v>0</v>
      </c>
      <c r="G48" s="34">
        <f>'Water Heater Stock'!G17*'Device Energy Use'!$B7/1000</f>
        <v>0</v>
      </c>
      <c r="H48" s="34">
        <f>'Water Heater Stock'!H17*'Device Energy Use'!$B7/1000</f>
        <v>0</v>
      </c>
      <c r="I48" s="34">
        <f>'Water Heater Stock'!I17*'Device Energy Use'!$B7/1000</f>
        <v>0</v>
      </c>
      <c r="J48" s="34">
        <f>'Water Heater Stock'!J17*'Device Energy Use'!$B7/1000</f>
        <v>0</v>
      </c>
      <c r="K48" s="34">
        <f>'Water Heater Stock'!K17*'Device Energy Use'!$B7/1000</f>
        <v>0</v>
      </c>
      <c r="L48" s="34">
        <f>'Water Heater Stock'!L17*'Device Energy Use'!$B7/1000</f>
        <v>0</v>
      </c>
      <c r="M48" s="34">
        <f>'Water Heater Stock'!M17*'Device Energy Use'!$B7/1000</f>
        <v>0</v>
      </c>
      <c r="N48" s="34">
        <f>'Water Heater Stock'!N17*'Device Energy Use'!$B7/1000</f>
        <v>0</v>
      </c>
      <c r="O48" s="34">
        <f>'Water Heater Stock'!O17*'Device Energy Use'!$B7/1000</f>
        <v>0</v>
      </c>
      <c r="P48" s="34">
        <f>'Water Heater Stock'!P17*'Device Energy Use'!$B7/1000</f>
        <v>0</v>
      </c>
      <c r="Q48" s="34">
        <f>'Water Heater Stock'!Q17*'Device Energy Use'!$B7/1000</f>
        <v>0</v>
      </c>
      <c r="R48" s="34">
        <f>'Water Heater Stock'!R17*'Device Energy Use'!$B7/1000</f>
        <v>0</v>
      </c>
      <c r="S48" s="34">
        <f>'Water Heater Stock'!S17*'Device Energy Use'!$B7/1000</f>
        <v>0</v>
      </c>
      <c r="T48" s="34">
        <f>'Water Heater Stock'!T17*'Device Energy Use'!$B7/1000</f>
        <v>0</v>
      </c>
      <c r="U48" s="34">
        <f>'Water Heater Stock'!U17*'Device Energy Use'!$B7/1000</f>
        <v>0</v>
      </c>
      <c r="V48" s="34">
        <f>'Water Heater Stock'!V17*'Device Energy Use'!$B7/1000</f>
        <v>0</v>
      </c>
      <c r="W48" s="34">
        <f>'Water Heater Stock'!W17*'Device Energy Use'!$B7/1000</f>
        <v>0</v>
      </c>
    </row>
    <row r="49" spans="1:23">
      <c r="A49" s="38" t="str">
        <f>'Device Energy Use'!A8</f>
        <v>Instant Gas</v>
      </c>
      <c r="B49" s="34">
        <f>'Water Heater Stock'!B18*'Device Energy Use'!$B8/1000</f>
        <v>0</v>
      </c>
      <c r="C49" s="34">
        <f>'Water Heater Stock'!C18*'Device Energy Use'!$B8/1000</f>
        <v>0</v>
      </c>
      <c r="D49" s="34">
        <f>'Water Heater Stock'!D18*'Device Energy Use'!$B8/1000</f>
        <v>0</v>
      </c>
      <c r="E49" s="34">
        <f>'Water Heater Stock'!E18*'Device Energy Use'!$B8/1000</f>
        <v>0</v>
      </c>
      <c r="F49" s="34">
        <f>'Water Heater Stock'!F18*'Device Energy Use'!$B8/1000</f>
        <v>0</v>
      </c>
      <c r="G49" s="34">
        <f>'Water Heater Stock'!G18*'Device Energy Use'!$B8/1000</f>
        <v>0</v>
      </c>
      <c r="H49" s="34">
        <f>'Water Heater Stock'!H18*'Device Energy Use'!$B8/1000</f>
        <v>0</v>
      </c>
      <c r="I49" s="34">
        <f>'Water Heater Stock'!I18*'Device Energy Use'!$B8/1000</f>
        <v>0</v>
      </c>
      <c r="J49" s="34">
        <f>'Water Heater Stock'!J18*'Device Energy Use'!$B8/1000</f>
        <v>0</v>
      </c>
      <c r="K49" s="34">
        <f>'Water Heater Stock'!K18*'Device Energy Use'!$B8/1000</f>
        <v>0</v>
      </c>
      <c r="L49" s="34">
        <f>'Water Heater Stock'!L18*'Device Energy Use'!$B8/1000</f>
        <v>0</v>
      </c>
      <c r="M49" s="34">
        <f>'Water Heater Stock'!M18*'Device Energy Use'!$B8/1000</f>
        <v>0</v>
      </c>
      <c r="N49" s="34">
        <f>'Water Heater Stock'!N18*'Device Energy Use'!$B8/1000</f>
        <v>0</v>
      </c>
      <c r="O49" s="34">
        <f>'Water Heater Stock'!O18*'Device Energy Use'!$B8/1000</f>
        <v>0</v>
      </c>
      <c r="P49" s="34">
        <f>'Water Heater Stock'!P18*'Device Energy Use'!$B8/1000</f>
        <v>0</v>
      </c>
      <c r="Q49" s="34">
        <f>'Water Heater Stock'!Q18*'Device Energy Use'!$B8/1000</f>
        <v>0</v>
      </c>
      <c r="R49" s="34">
        <f>'Water Heater Stock'!R18*'Device Energy Use'!$B8/1000</f>
        <v>0</v>
      </c>
      <c r="S49" s="34">
        <f>'Water Heater Stock'!S18*'Device Energy Use'!$B8/1000</f>
        <v>0</v>
      </c>
      <c r="T49" s="34">
        <f>'Water Heater Stock'!T18*'Device Energy Use'!$B8/1000</f>
        <v>0</v>
      </c>
      <c r="U49" s="34">
        <f>'Water Heater Stock'!U18*'Device Energy Use'!$B8/1000</f>
        <v>0</v>
      </c>
      <c r="V49" s="34">
        <f>'Water Heater Stock'!V18*'Device Energy Use'!$B8/1000</f>
        <v>0</v>
      </c>
      <c r="W49" s="34">
        <f>'Water Heater Stock'!W18*'Device Energy Use'!$B8/1000</f>
        <v>0</v>
      </c>
    </row>
    <row r="50" spans="1:23">
      <c r="A50" s="38" t="str">
        <f>'Device Energy Use'!A9</f>
        <v>Condensing Gas</v>
      </c>
      <c r="B50" s="34">
        <f>'Water Heater Stock'!B19*'Device Energy Use'!$B9/1000</f>
        <v>0</v>
      </c>
      <c r="C50" s="34">
        <f>'Water Heater Stock'!C19*'Device Energy Use'!$B9/1000</f>
        <v>0</v>
      </c>
      <c r="D50" s="34">
        <f>'Water Heater Stock'!D19*'Device Energy Use'!$B9/1000</f>
        <v>0</v>
      </c>
      <c r="E50" s="34">
        <f>'Water Heater Stock'!E19*'Device Energy Use'!$B9/1000</f>
        <v>0</v>
      </c>
      <c r="F50" s="34">
        <f>'Water Heater Stock'!F19*'Device Energy Use'!$B9/1000</f>
        <v>0</v>
      </c>
      <c r="G50" s="34">
        <f>'Water Heater Stock'!G19*'Device Energy Use'!$B9/1000</f>
        <v>0</v>
      </c>
      <c r="H50" s="34">
        <f>'Water Heater Stock'!H19*'Device Energy Use'!$B9/1000</f>
        <v>0</v>
      </c>
      <c r="I50" s="34">
        <f>'Water Heater Stock'!I19*'Device Energy Use'!$B9/1000</f>
        <v>0</v>
      </c>
      <c r="J50" s="34">
        <f>'Water Heater Stock'!J19*'Device Energy Use'!$B9/1000</f>
        <v>0</v>
      </c>
      <c r="K50" s="34">
        <f>'Water Heater Stock'!K19*'Device Energy Use'!$B9/1000</f>
        <v>0</v>
      </c>
      <c r="L50" s="34">
        <f>'Water Heater Stock'!L19*'Device Energy Use'!$B9/1000</f>
        <v>0</v>
      </c>
      <c r="M50" s="34">
        <f>'Water Heater Stock'!M19*'Device Energy Use'!$B9/1000</f>
        <v>0</v>
      </c>
      <c r="N50" s="34">
        <f>'Water Heater Stock'!N19*'Device Energy Use'!$B9/1000</f>
        <v>0</v>
      </c>
      <c r="O50" s="34">
        <f>'Water Heater Stock'!O19*'Device Energy Use'!$B9/1000</f>
        <v>0</v>
      </c>
      <c r="P50" s="34">
        <f>'Water Heater Stock'!P19*'Device Energy Use'!$B9/1000</f>
        <v>0</v>
      </c>
      <c r="Q50" s="34">
        <f>'Water Heater Stock'!Q19*'Device Energy Use'!$B9/1000</f>
        <v>0</v>
      </c>
      <c r="R50" s="34">
        <f>'Water Heater Stock'!R19*'Device Energy Use'!$B9/1000</f>
        <v>0</v>
      </c>
      <c r="S50" s="34">
        <f>'Water Heater Stock'!S19*'Device Energy Use'!$B9/1000</f>
        <v>0</v>
      </c>
      <c r="T50" s="34">
        <f>'Water Heater Stock'!T19*'Device Energy Use'!$B9/1000</f>
        <v>0</v>
      </c>
      <c r="U50" s="34">
        <f>'Water Heater Stock'!U19*'Device Energy Use'!$B9/1000</f>
        <v>0</v>
      </c>
      <c r="V50" s="34">
        <f>'Water Heater Stock'!V19*'Device Energy Use'!$B9/1000</f>
        <v>0</v>
      </c>
      <c r="W50" s="34">
        <f>'Water Heater Stock'!W19*'Device Energy Use'!$B9/1000</f>
        <v>0</v>
      </c>
    </row>
    <row r="51" spans="1:23">
      <c r="A51" s="38"/>
    </row>
    <row r="52" spans="1:23">
      <c r="A52" s="12" t="s">
        <v>50</v>
      </c>
    </row>
    <row r="53" spans="1:23">
      <c r="A53" s="39" t="str">
        <f>'Device Energy Use'!A4</f>
        <v>Water Heat Ending</v>
      </c>
      <c r="B53" s="42">
        <f>'Water Heater Stock'!B4</f>
        <v>2014</v>
      </c>
      <c r="C53" s="42">
        <f>'Water Heater Stock'!C4</f>
        <v>2015</v>
      </c>
      <c r="D53" s="42">
        <f>'Water Heater Stock'!D4</f>
        <v>2016</v>
      </c>
      <c r="E53" s="42">
        <f>'Water Heater Stock'!E4</f>
        <v>2017</v>
      </c>
      <c r="F53" s="42">
        <f>'Water Heater Stock'!F4</f>
        <v>2018</v>
      </c>
      <c r="G53" s="42">
        <f>'Water Heater Stock'!G4</f>
        <v>2019</v>
      </c>
      <c r="H53" s="42">
        <f>'Water Heater Stock'!H4</f>
        <v>2020</v>
      </c>
      <c r="I53" s="42">
        <f>'Water Heater Stock'!I4</f>
        <v>2021</v>
      </c>
      <c r="J53" s="42">
        <f>'Water Heater Stock'!J4</f>
        <v>2022</v>
      </c>
      <c r="K53" s="42">
        <f>'Water Heater Stock'!K4</f>
        <v>2023</v>
      </c>
      <c r="L53" s="42">
        <f>'Water Heater Stock'!L4</f>
        <v>2024</v>
      </c>
      <c r="M53" s="42">
        <f>'Water Heater Stock'!M4</f>
        <v>2025</v>
      </c>
      <c r="N53" s="42">
        <f>'Water Heater Stock'!N4</f>
        <v>2026</v>
      </c>
      <c r="O53" s="42">
        <f>'Water Heater Stock'!O4</f>
        <v>2027</v>
      </c>
      <c r="P53" s="42">
        <f>'Water Heater Stock'!P4</f>
        <v>2028</v>
      </c>
      <c r="Q53" s="42">
        <f>'Water Heater Stock'!Q4</f>
        <v>2029</v>
      </c>
      <c r="R53" s="42">
        <f>'Water Heater Stock'!R4</f>
        <v>2030</v>
      </c>
      <c r="S53" s="42">
        <f>'Water Heater Stock'!S4</f>
        <v>2031</v>
      </c>
      <c r="T53" s="42">
        <f>'Water Heater Stock'!T4</f>
        <v>2032</v>
      </c>
      <c r="U53" s="42">
        <f>'Water Heater Stock'!U4</f>
        <v>2033</v>
      </c>
      <c r="V53" s="42">
        <f>'Water Heater Stock'!V4</f>
        <v>2034</v>
      </c>
      <c r="W53" s="42">
        <f>'Water Heater Stock'!W4</f>
        <v>2035</v>
      </c>
    </row>
    <row r="54" spans="1:23" ht="16.5" thickBot="1">
      <c r="A54" s="49" t="s">
        <v>48</v>
      </c>
      <c r="B54" s="50">
        <f t="shared" ref="B54:W54" si="11">SUM(B55:B59)</f>
        <v>0</v>
      </c>
      <c r="C54" s="50">
        <f t="shared" si="11"/>
        <v>40443.548012242172</v>
      </c>
      <c r="D54" s="50">
        <f t="shared" si="11"/>
        <v>78105.448109962119</v>
      </c>
      <c r="E54" s="50">
        <f t="shared" si="11"/>
        <v>113183.1522671398</v>
      </c>
      <c r="F54" s="50">
        <f t="shared" si="11"/>
        <v>145860.30222164307</v>
      </c>
      <c r="G54" s="50">
        <f t="shared" si="11"/>
        <v>176307.84520683598</v>
      </c>
      <c r="H54" s="50">
        <f t="shared" si="11"/>
        <v>204685.09456685657</v>
      </c>
      <c r="I54" s="50">
        <f t="shared" si="11"/>
        <v>231140.73015556848</v>
      </c>
      <c r="J54" s="50">
        <f t="shared" si="11"/>
        <v>255813.72690404521</v>
      </c>
      <c r="K54" s="50">
        <f t="shared" si="11"/>
        <v>278834.1938529702</v>
      </c>
      <c r="L54" s="50">
        <f t="shared" si="11"/>
        <v>300324.10190255783</v>
      </c>
      <c r="M54" s="50">
        <f t="shared" si="11"/>
        <v>320397.87855888245</v>
      </c>
      <c r="N54" s="50">
        <f t="shared" si="11"/>
        <v>339162.85397351015</v>
      </c>
      <c r="O54" s="50">
        <f t="shared" si="11"/>
        <v>356719.5554903422</v>
      </c>
      <c r="P54" s="50">
        <f t="shared" si="11"/>
        <v>373161.86657777656</v>
      </c>
      <c r="Q54" s="50">
        <f t="shared" si="11"/>
        <v>388577.08665836346</v>
      </c>
      <c r="R54" s="50">
        <f t="shared" si="11"/>
        <v>403045.9451501969</v>
      </c>
      <c r="S54" s="50">
        <f t="shared" si="11"/>
        <v>416642.63014973863</v>
      </c>
      <c r="T54" s="50">
        <f t="shared" si="11"/>
        <v>429434.88631764223</v>
      </c>
      <c r="U54" s="50">
        <f t="shared" si="11"/>
        <v>441484.21873625158</v>
      </c>
      <c r="V54" s="50">
        <f t="shared" si="11"/>
        <v>452846.21498223185</v>
      </c>
      <c r="W54" s="50">
        <f t="shared" si="11"/>
        <v>463570.97349663556</v>
      </c>
    </row>
    <row r="55" spans="1:23" ht="16.5" thickTop="1">
      <c r="A55" s="38" t="str">
        <f>'Device Energy Use'!A5</f>
        <v>Electric Resistance</v>
      </c>
      <c r="B55" s="34">
        <f>'Water Heater Stock'!B6*'Device Energy Use'!$C5</f>
        <v>0</v>
      </c>
      <c r="C55" s="34">
        <f>'Water Heater Stock'!C6*'Device Energy Use'!$C5</f>
        <v>0</v>
      </c>
      <c r="D55" s="34">
        <f>'Water Heater Stock'!D6*'Device Energy Use'!$C5</f>
        <v>0</v>
      </c>
      <c r="E55" s="34">
        <f>'Water Heater Stock'!E6*'Device Energy Use'!$C5</f>
        <v>0</v>
      </c>
      <c r="F55" s="34">
        <f>'Water Heater Stock'!F6*'Device Energy Use'!$C5</f>
        <v>0</v>
      </c>
      <c r="G55" s="34">
        <f>'Water Heater Stock'!G6*'Device Energy Use'!$C5</f>
        <v>0</v>
      </c>
      <c r="H55" s="34">
        <f>'Water Heater Stock'!H6*'Device Energy Use'!$C5</f>
        <v>0</v>
      </c>
      <c r="I55" s="34">
        <f>'Water Heater Stock'!I6*'Device Energy Use'!$C5</f>
        <v>0</v>
      </c>
      <c r="J55" s="34">
        <f>'Water Heater Stock'!J6*'Device Energy Use'!$C5</f>
        <v>0</v>
      </c>
      <c r="K55" s="34">
        <f>'Water Heater Stock'!K6*'Device Energy Use'!$C5</f>
        <v>0</v>
      </c>
      <c r="L55" s="34">
        <f>'Water Heater Stock'!L6*'Device Energy Use'!$C5</f>
        <v>0</v>
      </c>
      <c r="M55" s="34">
        <f>'Water Heater Stock'!M6*'Device Energy Use'!$C5</f>
        <v>0</v>
      </c>
      <c r="N55" s="34">
        <f>'Water Heater Stock'!N6*'Device Energy Use'!$C5</f>
        <v>0</v>
      </c>
      <c r="O55" s="34">
        <f>'Water Heater Stock'!O6*'Device Energy Use'!$C5</f>
        <v>0</v>
      </c>
      <c r="P55" s="34">
        <f>'Water Heater Stock'!P6*'Device Energy Use'!$C5</f>
        <v>0</v>
      </c>
      <c r="Q55" s="34">
        <f>'Water Heater Stock'!Q6*'Device Energy Use'!$C5</f>
        <v>0</v>
      </c>
      <c r="R55" s="34">
        <f>'Water Heater Stock'!R6*'Device Energy Use'!$C5</f>
        <v>0</v>
      </c>
      <c r="S55" s="34">
        <f>'Water Heater Stock'!S6*'Device Energy Use'!$C5</f>
        <v>0</v>
      </c>
      <c r="T55" s="34">
        <f>'Water Heater Stock'!T6*'Device Energy Use'!$C5</f>
        <v>0</v>
      </c>
      <c r="U55" s="34">
        <f>'Water Heater Stock'!U6*'Device Energy Use'!$C5</f>
        <v>0</v>
      </c>
      <c r="V55" s="34">
        <f>'Water Heater Stock'!V6*'Device Energy Use'!$C5</f>
        <v>0</v>
      </c>
      <c r="W55" s="34">
        <f>'Water Heater Stock'!W6*'Device Energy Use'!$C5</f>
        <v>0</v>
      </c>
    </row>
    <row r="56" spans="1:23">
      <c r="A56" s="38" t="str">
        <f>'Device Energy Use'!A6</f>
        <v>HPWH</v>
      </c>
      <c r="B56" s="34">
        <f>'Water Heater Stock'!B7*'Device Energy Use'!$C6</f>
        <v>0</v>
      </c>
      <c r="C56" s="34">
        <f>'Water Heater Stock'!C7*'Device Energy Use'!$C6</f>
        <v>0</v>
      </c>
      <c r="D56" s="34">
        <f>'Water Heater Stock'!D7*'Device Energy Use'!$C6</f>
        <v>0</v>
      </c>
      <c r="E56" s="34">
        <f>'Water Heater Stock'!E7*'Device Energy Use'!$C6</f>
        <v>0</v>
      </c>
      <c r="F56" s="34">
        <f>'Water Heater Stock'!F7*'Device Energy Use'!$C6</f>
        <v>0</v>
      </c>
      <c r="G56" s="34">
        <f>'Water Heater Stock'!G7*'Device Energy Use'!$C6</f>
        <v>0</v>
      </c>
      <c r="H56" s="34">
        <f>'Water Heater Stock'!H7*'Device Energy Use'!$C6</f>
        <v>0</v>
      </c>
      <c r="I56" s="34">
        <f>'Water Heater Stock'!I7*'Device Energy Use'!$C6</f>
        <v>0</v>
      </c>
      <c r="J56" s="34">
        <f>'Water Heater Stock'!J7*'Device Energy Use'!$C6</f>
        <v>0</v>
      </c>
      <c r="K56" s="34">
        <f>'Water Heater Stock'!K7*'Device Energy Use'!$C6</f>
        <v>0</v>
      </c>
      <c r="L56" s="34">
        <f>'Water Heater Stock'!L7*'Device Energy Use'!$C6</f>
        <v>0</v>
      </c>
      <c r="M56" s="34">
        <f>'Water Heater Stock'!M7*'Device Energy Use'!$C6</f>
        <v>0</v>
      </c>
      <c r="N56" s="34">
        <f>'Water Heater Stock'!N7*'Device Energy Use'!$C6</f>
        <v>0</v>
      </c>
      <c r="O56" s="34">
        <f>'Water Heater Stock'!O7*'Device Energy Use'!$C6</f>
        <v>0</v>
      </c>
      <c r="P56" s="34">
        <f>'Water Heater Stock'!P7*'Device Energy Use'!$C6</f>
        <v>0</v>
      </c>
      <c r="Q56" s="34">
        <f>'Water Heater Stock'!Q7*'Device Energy Use'!$C6</f>
        <v>0</v>
      </c>
      <c r="R56" s="34">
        <f>'Water Heater Stock'!R7*'Device Energy Use'!$C6</f>
        <v>0</v>
      </c>
      <c r="S56" s="34">
        <f>'Water Heater Stock'!S7*'Device Energy Use'!$C6</f>
        <v>0</v>
      </c>
      <c r="T56" s="34">
        <f>'Water Heater Stock'!T7*'Device Energy Use'!$C6</f>
        <v>0</v>
      </c>
      <c r="U56" s="34">
        <f>'Water Heater Stock'!U7*'Device Energy Use'!$C6</f>
        <v>0</v>
      </c>
      <c r="V56" s="34">
        <f>'Water Heater Stock'!V7*'Device Energy Use'!$C6</f>
        <v>0</v>
      </c>
      <c r="W56" s="34">
        <f>'Water Heater Stock'!W7*'Device Energy Use'!$C6</f>
        <v>0</v>
      </c>
    </row>
    <row r="57" spans="1:23">
      <c r="A57" s="38" t="str">
        <f>'Device Energy Use'!A7</f>
        <v>Gas Tank</v>
      </c>
      <c r="B57" s="34">
        <f>'Water Heater Stock'!B8*'Device Energy Use'!$C7</f>
        <v>0</v>
      </c>
      <c r="C57" s="34">
        <f>'Water Heater Stock'!C8*'Device Energy Use'!$C7</f>
        <v>40432.146372249721</v>
      </c>
      <c r="D57" s="34">
        <f>'Water Heater Stock'!D8*'Device Energy Use'!$C7</f>
        <v>78071.950140462606</v>
      </c>
      <c r="E57" s="34">
        <f>'Water Heater Stock'!E8*'Device Energy Use'!$C7</f>
        <v>113108.27902064503</v>
      </c>
      <c r="F57" s="34">
        <f>'Water Heater Stock'!F8*'Device Energy Use'!$C7</f>
        <v>145711.00110439103</v>
      </c>
      <c r="G57" s="34">
        <f>'Water Heater Stock'!G8*'Device Energy Use'!$C7</f>
        <v>176030.02296538971</v>
      </c>
      <c r="H57" s="34">
        <f>'Water Heater Stock'!H8*'Device Energy Use'!$C7</f>
        <v>204193.99006892339</v>
      </c>
      <c r="I57" s="34">
        <f>'Water Heater Stock'!I8*'Device Energy Use'!$C7</f>
        <v>230308.86541577993</v>
      </c>
      <c r="J57" s="34">
        <f>'Water Heater Stock'!J8*'Device Energy Use'!$C7</f>
        <v>254456.71583592609</v>
      </c>
      <c r="K57" s="34">
        <f>'Water Heater Stock'!K8*'Device Energy Use'!$C7</f>
        <v>276695.13498810853</v>
      </c>
      <c r="L57" s="34">
        <f>'Water Heater Stock'!L8*'Device Energy Use'!$C7</f>
        <v>297057.78594500734</v>
      </c>
      <c r="M57" s="34">
        <f>'Water Heater Stock'!M8*'Device Energy Use'!$C7</f>
        <v>315556.51664728025</v>
      </c>
      <c r="N57" s="34">
        <f>'Water Heater Stock'!N8*'Device Energy Use'!$C7</f>
        <v>332185.35598286422</v>
      </c>
      <c r="O57" s="34">
        <f>'Water Heater Stock'!O8*'Device Energy Use'!$C7</f>
        <v>346926.42679797998</v>
      </c>
      <c r="P57" s="34">
        <f>'Water Heater Stock'!P8*'Device Energy Use'!$C7</f>
        <v>359757.44561762293</v>
      </c>
      <c r="Q57" s="34">
        <f>'Water Heater Stock'!Q8*'Device Energy Use'!$C7</f>
        <v>370660.09632756904</v>
      </c>
      <c r="R57" s="34">
        <f>'Water Heater Stock'!R8*'Device Energy Use'!$C7</f>
        <v>379628.27834033017</v>
      </c>
      <c r="S57" s="34">
        <f>'Water Heater Stock'!S8*'Device Energy Use'!$C7</f>
        <v>386675.14330185938</v>
      </c>
      <c r="T57" s="34">
        <f>'Water Heater Stock'!T8*'Device Energy Use'!$C7</f>
        <v>391837.99690183304</v>
      </c>
      <c r="U57" s="34">
        <f>'Water Heater Stock'!U8*'Device Energy Use'!$C7</f>
        <v>395180.51776539907</v>
      </c>
      <c r="V57" s="34">
        <f>'Water Heater Stock'!V8*'Device Energy Use'!$C7</f>
        <v>396792.22379137814</v>
      </c>
      <c r="W57" s="34">
        <f>'Water Heater Stock'!W8*'Device Energy Use'!$C7</f>
        <v>396785.56066225894</v>
      </c>
    </row>
    <row r="58" spans="1:23">
      <c r="A58" s="38" t="str">
        <f>'Device Energy Use'!A8</f>
        <v>Instant Gas</v>
      </c>
      <c r="B58" s="34">
        <f>'Water Heater Stock'!B9*'Device Energy Use'!$C8</f>
        <v>0</v>
      </c>
      <c r="C58" s="34">
        <f>'Water Heater Stock'!C9*'Device Energy Use'!$C8</f>
        <v>2.9690773210324419</v>
      </c>
      <c r="D58" s="34">
        <f>'Water Heater Stock'!D9*'Device Energy Use'!$C8</f>
        <v>8.7316057422375231</v>
      </c>
      <c r="E58" s="34">
        <f>'Water Heater Stock'!E9*'Device Energy Use'!$C8</f>
        <v>19.537956838672077</v>
      </c>
      <c r="F58" s="34">
        <f>'Water Heater Stock'!F9*'Device Energy Use'!$C8</f>
        <v>39.005957387369548</v>
      </c>
      <c r="G58" s="34">
        <f>'Water Heater Stock'!G9*'Device Energy Use'!$C8</f>
        <v>72.673443467931804</v>
      </c>
      <c r="H58" s="34">
        <f>'Water Heater Stock'!H9*'Device Energy Use'!$C8</f>
        <v>128.62927533782351</v>
      </c>
      <c r="I58" s="34">
        <f>'Water Heater Stock'!I9*'Device Energy Use'!$C8</f>
        <v>218.16557464494659</v>
      </c>
      <c r="J58" s="34">
        <f>'Water Heater Stock'!J9*'Device Energy Use'!$C8</f>
        <v>356.36179530897454</v>
      </c>
      <c r="K58" s="34">
        <f>'Water Heater Stock'!K9*'Device Energy Use'!$C8</f>
        <v>562.48244054235602</v>
      </c>
      <c r="L58" s="34">
        <f>'Water Heater Stock'!L9*'Device Energy Use'!$C8</f>
        <v>860.05368788012197</v>
      </c>
      <c r="M58" s="34">
        <f>'Water Heater Stock'!M9*'Device Energy Use'!$C8</f>
        <v>1276.4905115026593</v>
      </c>
      <c r="N58" s="34">
        <f>'Water Heater Stock'!N9*'Device Energy Use'!$C8</f>
        <v>1842.1845211246336</v>
      </c>
      <c r="O58" s="34">
        <f>'Water Heater Stock'!O9*'Device Energy Use'!$C8</f>
        <v>2589.0370130096421</v>
      </c>
      <c r="P58" s="34">
        <f>'Water Heater Stock'!P9*'Device Energy Use'!$C8</f>
        <v>3548.5236743758419</v>
      </c>
      <c r="Q58" s="34">
        <f>'Water Heater Stock'!Q9*'Device Energy Use'!$C8</f>
        <v>4749.4853875406652</v>
      </c>
      <c r="R58" s="34">
        <f>'Water Heater Stock'!R9*'Device Energy Use'!$C8</f>
        <v>6215.9224543233304</v>
      </c>
      <c r="S58" s="34">
        <f>'Water Heater Stock'!S9*'Device Energy Use'!$C8</f>
        <v>7965.097559296416</v>
      </c>
      <c r="T58" s="34">
        <f>'Water Heater Stock'!T9*'Device Energy Use'!$C8</f>
        <v>10006.211257853985</v>
      </c>
      <c r="U58" s="34">
        <f>'Water Heater Stock'!U9*'Device Energy Use'!$C8</f>
        <v>12339.811643366622</v>
      </c>
      <c r="V58" s="34">
        <f>'Water Heater Stock'!V9*'Device Energy Use'!$C8</f>
        <v>14957.967068623026</v>
      </c>
      <c r="W58" s="34">
        <f>'Water Heater Stock'!W9*'Device Energy Use'!$C8</f>
        <v>17845.105559818137</v>
      </c>
    </row>
    <row r="59" spans="1:23">
      <c r="A59" s="38" t="str">
        <f>'Device Energy Use'!A9</f>
        <v>Condensing Gas</v>
      </c>
      <c r="B59" s="34">
        <f>'Water Heater Stock'!B10*'Device Energy Use'!$C9</f>
        <v>0</v>
      </c>
      <c r="C59" s="34">
        <f>'Water Heater Stock'!C10*'Device Energy Use'!$C9</f>
        <v>8.4325626714234065</v>
      </c>
      <c r="D59" s="34">
        <f>'Water Heater Stock'!D10*'Device Energy Use'!$C9</f>
        <v>24.766363757271954</v>
      </c>
      <c r="E59" s="34">
        <f>'Water Heater Stock'!E10*'Device Energy Use'!$C9</f>
        <v>55.335289656097686</v>
      </c>
      <c r="F59" s="34">
        <f>'Water Heater Stock'!F10*'Device Energy Use'!$C9</f>
        <v>110.29515986468576</v>
      </c>
      <c r="G59" s="34">
        <f>'Water Heater Stock'!G10*'Device Energy Use'!$C9</f>
        <v>205.14879797832384</v>
      </c>
      <c r="H59" s="34">
        <f>'Water Heater Stock'!H10*'Device Energy Use'!$C9</f>
        <v>362.47522259535998</v>
      </c>
      <c r="I59" s="34">
        <f>'Water Heater Stock'!I10*'Device Energy Use'!$C9</f>
        <v>613.69916514360693</v>
      </c>
      <c r="J59" s="34">
        <f>'Water Heater Stock'!J10*'Device Energy Use'!$C9</f>
        <v>1000.6492728101545</v>
      </c>
      <c r="K59" s="34">
        <f>'Water Heater Stock'!K10*'Device Energy Use'!$C9</f>
        <v>1576.5764243192946</v>
      </c>
      <c r="L59" s="34">
        <f>'Water Heater Stock'!L10*'Device Energy Use'!$C9</f>
        <v>2406.2622696703543</v>
      </c>
      <c r="M59" s="34">
        <f>'Water Heater Stock'!M10*'Device Energy Use'!$C9</f>
        <v>3564.871400099516</v>
      </c>
      <c r="N59" s="34">
        <f>'Water Heater Stock'!N10*'Device Energy Use'!$C9</f>
        <v>5135.3134695212875</v>
      </c>
      <c r="O59" s="34">
        <f>'Water Heater Stock'!O10*'Device Energy Use'!$C9</f>
        <v>7204.0916793525785</v>
      </c>
      <c r="P59" s="34">
        <f>'Water Heater Stock'!P10*'Device Energy Use'!$C9</f>
        <v>9855.8972857778099</v>
      </c>
      <c r="Q59" s="34">
        <f>'Water Heater Stock'!Q10*'Device Energy Use'!$C9</f>
        <v>13167.504943253753</v>
      </c>
      <c r="R59" s="34">
        <f>'Water Heater Stock'!R10*'Device Energy Use'!$C9</f>
        <v>17201.7443555434</v>
      </c>
      <c r="S59" s="34">
        <f>'Water Heater Stock'!S10*'Device Energy Use'!$C9</f>
        <v>22002.389288582814</v>
      </c>
      <c r="T59" s="34">
        <f>'Water Heater Stock'!T10*'Device Energy Use'!$C9</f>
        <v>27590.678157955179</v>
      </c>
      <c r="U59" s="34">
        <f>'Water Heater Stock'!U10*'Device Energy Use'!$C9</f>
        <v>33963.889327485871</v>
      </c>
      <c r="V59" s="34">
        <f>'Water Heater Stock'!V10*'Device Energy Use'!$C9</f>
        <v>41096.024122230629</v>
      </c>
      <c r="W59" s="34">
        <f>'Water Heater Stock'!W10*'Device Energy Use'!$C9</f>
        <v>48940.307274558436</v>
      </c>
    </row>
    <row r="61" spans="1:23">
      <c r="A61" s="12" t="s">
        <v>105</v>
      </c>
    </row>
    <row r="62" spans="1:23">
      <c r="A62" s="39" t="str">
        <f>'Device Energy Use'!A4</f>
        <v>Water Heat Ending</v>
      </c>
      <c r="B62" s="42">
        <f>'Water Heater Stock'!B13</f>
        <v>2014</v>
      </c>
      <c r="C62" s="42">
        <f>'Water Heater Stock'!C13</f>
        <v>2015</v>
      </c>
      <c r="D62" s="42">
        <f>'Water Heater Stock'!D13</f>
        <v>2016</v>
      </c>
      <c r="E62" s="42">
        <f>'Water Heater Stock'!E13</f>
        <v>2017</v>
      </c>
      <c r="F62" s="42">
        <f>'Water Heater Stock'!F13</f>
        <v>2018</v>
      </c>
      <c r="G62" s="42">
        <f>'Water Heater Stock'!G13</f>
        <v>2019</v>
      </c>
      <c r="H62" s="42">
        <f>'Water Heater Stock'!H13</f>
        <v>2020</v>
      </c>
      <c r="I62" s="42">
        <f>'Water Heater Stock'!I13</f>
        <v>2021</v>
      </c>
      <c r="J62" s="42">
        <f>'Water Heater Stock'!J13</f>
        <v>2022</v>
      </c>
      <c r="K62" s="42">
        <f>'Water Heater Stock'!K13</f>
        <v>2023</v>
      </c>
      <c r="L62" s="42">
        <f>'Water Heater Stock'!L13</f>
        <v>2024</v>
      </c>
      <c r="M62" s="42">
        <f>'Water Heater Stock'!M13</f>
        <v>2025</v>
      </c>
      <c r="N62" s="42">
        <f>'Water Heater Stock'!N13</f>
        <v>2026</v>
      </c>
      <c r="O62" s="42">
        <f>'Water Heater Stock'!O13</f>
        <v>2027</v>
      </c>
      <c r="P62" s="42">
        <f>'Water Heater Stock'!P13</f>
        <v>2028</v>
      </c>
      <c r="Q62" s="42">
        <f>'Water Heater Stock'!Q13</f>
        <v>2029</v>
      </c>
      <c r="R62" s="42">
        <f>'Water Heater Stock'!R13</f>
        <v>2030</v>
      </c>
      <c r="S62" s="42">
        <f>'Water Heater Stock'!S13</f>
        <v>2031</v>
      </c>
      <c r="T62" s="42">
        <f>'Water Heater Stock'!T13</f>
        <v>2032</v>
      </c>
      <c r="U62" s="42">
        <f>'Water Heater Stock'!U13</f>
        <v>2033</v>
      </c>
      <c r="V62" s="42">
        <f>'Water Heater Stock'!V13</f>
        <v>2034</v>
      </c>
      <c r="W62" s="42">
        <f>'Water Heater Stock'!W13</f>
        <v>2035</v>
      </c>
    </row>
    <row r="63" spans="1:23" ht="16.5" thickBot="1">
      <c r="A63" s="49" t="s">
        <v>48</v>
      </c>
      <c r="B63" s="50">
        <f t="shared" ref="B63:W63" si="12">SUM(B64:B68)</f>
        <v>0</v>
      </c>
      <c r="C63" s="50">
        <f t="shared" si="12"/>
        <v>118388.84314366075</v>
      </c>
      <c r="D63" s="50">
        <f t="shared" si="12"/>
        <v>228321.34034848859</v>
      </c>
      <c r="E63" s="50">
        <f t="shared" si="12"/>
        <v>330401.51632440015</v>
      </c>
      <c r="F63" s="50">
        <f t="shared" si="12"/>
        <v>425190.25115917518</v>
      </c>
      <c r="G63" s="50">
        <f t="shared" si="12"/>
        <v>513208.36207718053</v>
      </c>
      <c r="H63" s="50">
        <f t="shared" si="12"/>
        <v>594939.4650724713</v>
      </c>
      <c r="I63" s="50">
        <f t="shared" si="12"/>
        <v>670832.63213952701</v>
      </c>
      <c r="J63" s="50">
        <f t="shared" si="12"/>
        <v>741304.85870179301</v>
      </c>
      <c r="K63" s="50">
        <f t="shared" si="12"/>
        <v>806743.35479532578</v>
      </c>
      <c r="L63" s="50">
        <f t="shared" si="12"/>
        <v>867507.67259646324</v>
      </c>
      <c r="M63" s="50">
        <f t="shared" si="12"/>
        <v>923931.68198323378</v>
      </c>
      <c r="N63" s="50">
        <f t="shared" si="12"/>
        <v>976325.40498523496</v>
      </c>
      <c r="O63" s="50">
        <f t="shared" si="12"/>
        <v>1024976.719201379</v>
      </c>
      <c r="P63" s="50">
        <f t="shared" si="12"/>
        <v>1070152.9395449413</v>
      </c>
      <c r="Q63" s="50">
        <f t="shared" si="12"/>
        <v>1112102.2870068206</v>
      </c>
      <c r="R63" s="50">
        <f t="shared" si="12"/>
        <v>1151055.2525071371</v>
      </c>
      <c r="S63" s="50">
        <f t="shared" si="12"/>
        <v>1187225.8633288592</v>
      </c>
      <c r="T63" s="50">
        <f t="shared" si="12"/>
        <v>1220812.8590918873</v>
      </c>
      <c r="U63" s="50">
        <f t="shared" si="12"/>
        <v>1252000.7837289847</v>
      </c>
      <c r="V63" s="50">
        <f t="shared" si="12"/>
        <v>1280960.999463432</v>
      </c>
      <c r="W63" s="50">
        <f t="shared" si="12"/>
        <v>1307852.628359705</v>
      </c>
    </row>
    <row r="64" spans="1:23" ht="16.5" thickTop="1">
      <c r="A64" s="38" t="str">
        <f>'Device Energy Use'!A5</f>
        <v>Electric Resistance</v>
      </c>
      <c r="B64" s="34">
        <f>'Water Heater Stock'!B15*'Device Energy Use'!$C5</f>
        <v>0</v>
      </c>
      <c r="C64" s="34">
        <f>'Water Heater Stock'!C15*'Device Energy Use'!$C5</f>
        <v>0</v>
      </c>
      <c r="D64" s="34">
        <f>'Water Heater Stock'!D15*'Device Energy Use'!$C5</f>
        <v>0</v>
      </c>
      <c r="E64" s="34">
        <f>'Water Heater Stock'!E15*'Device Energy Use'!$C5</f>
        <v>0</v>
      </c>
      <c r="F64" s="34">
        <f>'Water Heater Stock'!F15*'Device Energy Use'!$C5</f>
        <v>0</v>
      </c>
      <c r="G64" s="34">
        <f>'Water Heater Stock'!G15*'Device Energy Use'!$C5</f>
        <v>0</v>
      </c>
      <c r="H64" s="34">
        <f>'Water Heater Stock'!H15*'Device Energy Use'!$C5</f>
        <v>0</v>
      </c>
      <c r="I64" s="34">
        <f>'Water Heater Stock'!I15*'Device Energy Use'!$C5</f>
        <v>0</v>
      </c>
      <c r="J64" s="34">
        <f>'Water Heater Stock'!J15*'Device Energy Use'!$C5</f>
        <v>0</v>
      </c>
      <c r="K64" s="34">
        <f>'Water Heater Stock'!K15*'Device Energy Use'!$C5</f>
        <v>0</v>
      </c>
      <c r="L64" s="34">
        <f>'Water Heater Stock'!L15*'Device Energy Use'!$C5</f>
        <v>0</v>
      </c>
      <c r="M64" s="34">
        <f>'Water Heater Stock'!M15*'Device Energy Use'!$C5</f>
        <v>0</v>
      </c>
      <c r="N64" s="34">
        <f>'Water Heater Stock'!N15*'Device Energy Use'!$C5</f>
        <v>0</v>
      </c>
      <c r="O64" s="34">
        <f>'Water Heater Stock'!O15*'Device Energy Use'!$C5</f>
        <v>0</v>
      </c>
      <c r="P64" s="34">
        <f>'Water Heater Stock'!P15*'Device Energy Use'!$C5</f>
        <v>0</v>
      </c>
      <c r="Q64" s="34">
        <f>'Water Heater Stock'!Q15*'Device Energy Use'!$C5</f>
        <v>0</v>
      </c>
      <c r="R64" s="34">
        <f>'Water Heater Stock'!R15*'Device Energy Use'!$C5</f>
        <v>0</v>
      </c>
      <c r="S64" s="34">
        <f>'Water Heater Stock'!S15*'Device Energy Use'!$C5</f>
        <v>0</v>
      </c>
      <c r="T64" s="34">
        <f>'Water Heater Stock'!T15*'Device Energy Use'!$C5</f>
        <v>0</v>
      </c>
      <c r="U64" s="34">
        <f>'Water Heater Stock'!U15*'Device Energy Use'!$C5</f>
        <v>0</v>
      </c>
      <c r="V64" s="34">
        <f>'Water Heater Stock'!V15*'Device Energy Use'!$C5</f>
        <v>0</v>
      </c>
      <c r="W64" s="34">
        <f>'Water Heater Stock'!W15*'Device Energy Use'!$C5</f>
        <v>0</v>
      </c>
    </row>
    <row r="65" spans="1:23">
      <c r="A65" s="38" t="str">
        <f>'Device Energy Use'!A6</f>
        <v>HPWH</v>
      </c>
      <c r="B65" s="34">
        <f>'Water Heater Stock'!B16*'Device Energy Use'!$C6</f>
        <v>0</v>
      </c>
      <c r="C65" s="34">
        <f>'Water Heater Stock'!C16*'Device Energy Use'!$C6</f>
        <v>0</v>
      </c>
      <c r="D65" s="34">
        <f>'Water Heater Stock'!D16*'Device Energy Use'!$C6</f>
        <v>0</v>
      </c>
      <c r="E65" s="34">
        <f>'Water Heater Stock'!E16*'Device Energy Use'!$C6</f>
        <v>0</v>
      </c>
      <c r="F65" s="34">
        <f>'Water Heater Stock'!F16*'Device Energy Use'!$C6</f>
        <v>0</v>
      </c>
      <c r="G65" s="34">
        <f>'Water Heater Stock'!G16*'Device Energy Use'!$C6</f>
        <v>0</v>
      </c>
      <c r="H65" s="34">
        <f>'Water Heater Stock'!H16*'Device Energy Use'!$C6</f>
        <v>0</v>
      </c>
      <c r="I65" s="34">
        <f>'Water Heater Stock'!I16*'Device Energy Use'!$C6</f>
        <v>0</v>
      </c>
      <c r="J65" s="34">
        <f>'Water Heater Stock'!J16*'Device Energy Use'!$C6</f>
        <v>0</v>
      </c>
      <c r="K65" s="34">
        <f>'Water Heater Stock'!K16*'Device Energy Use'!$C6</f>
        <v>0</v>
      </c>
      <c r="L65" s="34">
        <f>'Water Heater Stock'!L16*'Device Energy Use'!$C6</f>
        <v>0</v>
      </c>
      <c r="M65" s="34">
        <f>'Water Heater Stock'!M16*'Device Energy Use'!$C6</f>
        <v>0</v>
      </c>
      <c r="N65" s="34">
        <f>'Water Heater Stock'!N16*'Device Energy Use'!$C6</f>
        <v>0</v>
      </c>
      <c r="O65" s="34">
        <f>'Water Heater Stock'!O16*'Device Energy Use'!$C6</f>
        <v>0</v>
      </c>
      <c r="P65" s="34">
        <f>'Water Heater Stock'!P16*'Device Energy Use'!$C6</f>
        <v>0</v>
      </c>
      <c r="Q65" s="34">
        <f>'Water Heater Stock'!Q16*'Device Energy Use'!$C6</f>
        <v>0</v>
      </c>
      <c r="R65" s="34">
        <f>'Water Heater Stock'!R16*'Device Energy Use'!$C6</f>
        <v>0</v>
      </c>
      <c r="S65" s="34">
        <f>'Water Heater Stock'!S16*'Device Energy Use'!$C6</f>
        <v>0</v>
      </c>
      <c r="T65" s="34">
        <f>'Water Heater Stock'!T16*'Device Energy Use'!$C6</f>
        <v>0</v>
      </c>
      <c r="U65" s="34">
        <f>'Water Heater Stock'!U16*'Device Energy Use'!$C6</f>
        <v>0</v>
      </c>
      <c r="V65" s="34">
        <f>'Water Heater Stock'!V16*'Device Energy Use'!$C6</f>
        <v>0</v>
      </c>
      <c r="W65" s="34">
        <f>'Water Heater Stock'!W16*'Device Energy Use'!$C6</f>
        <v>0</v>
      </c>
    </row>
    <row r="66" spans="1:23">
      <c r="A66" s="38" t="str">
        <f>'Device Energy Use'!A7</f>
        <v>Gas Tank</v>
      </c>
      <c r="B66" s="34">
        <f>'Water Heater Stock'!B17*'Device Energy Use'!$C7</f>
        <v>0</v>
      </c>
      <c r="C66" s="34">
        <f>'Water Heater Stock'!C17*'Device Energy Use'!$C7</f>
        <v>118388.84314366075</v>
      </c>
      <c r="D66" s="34">
        <f>'Water Heater Stock'!D17*'Device Energy Use'!$C7</f>
        <v>228321.34034848859</v>
      </c>
      <c r="E66" s="34">
        <f>'Water Heater Stock'!E17*'Device Energy Use'!$C7</f>
        <v>330401.51632440015</v>
      </c>
      <c r="F66" s="34">
        <f>'Water Heater Stock'!F17*'Device Energy Use'!$C7</f>
        <v>425190.25115917518</v>
      </c>
      <c r="G66" s="34">
        <f>'Water Heater Stock'!G17*'Device Energy Use'!$C7</f>
        <v>513208.36207718053</v>
      </c>
      <c r="H66" s="34">
        <f>'Water Heater Stock'!H17*'Device Energy Use'!$C7</f>
        <v>594939.4650724713</v>
      </c>
      <c r="I66" s="34">
        <f>'Water Heater Stock'!I17*'Device Energy Use'!$C7</f>
        <v>670832.63213952701</v>
      </c>
      <c r="J66" s="34">
        <f>'Water Heater Stock'!J17*'Device Energy Use'!$C7</f>
        <v>741304.85870179301</v>
      </c>
      <c r="K66" s="34">
        <f>'Water Heater Stock'!K17*'Device Energy Use'!$C7</f>
        <v>806743.35479532578</v>
      </c>
      <c r="L66" s="34">
        <f>'Water Heater Stock'!L17*'Device Energy Use'!$C7</f>
        <v>867507.67259646324</v>
      </c>
      <c r="M66" s="34">
        <f>'Water Heater Stock'!M17*'Device Energy Use'!$C7</f>
        <v>923931.68198323378</v>
      </c>
      <c r="N66" s="34">
        <f>'Water Heater Stock'!N17*'Device Energy Use'!$C7</f>
        <v>976325.40498523496</v>
      </c>
      <c r="O66" s="34">
        <f>'Water Heater Stock'!O17*'Device Energy Use'!$C7</f>
        <v>1024976.719201379</v>
      </c>
      <c r="P66" s="34">
        <f>'Water Heater Stock'!P17*'Device Energy Use'!$C7</f>
        <v>1070152.9395449413</v>
      </c>
      <c r="Q66" s="34">
        <f>'Water Heater Stock'!Q17*'Device Energy Use'!$C7</f>
        <v>1112102.2870068206</v>
      </c>
      <c r="R66" s="34">
        <f>'Water Heater Stock'!R17*'Device Energy Use'!$C7</f>
        <v>1151055.2525071371</v>
      </c>
      <c r="S66" s="34">
        <f>'Water Heater Stock'!S17*'Device Energy Use'!$C7</f>
        <v>1187225.8633288592</v>
      </c>
      <c r="T66" s="34">
        <f>'Water Heater Stock'!T17*'Device Energy Use'!$C7</f>
        <v>1220812.8590918873</v>
      </c>
      <c r="U66" s="34">
        <f>'Water Heater Stock'!U17*'Device Energy Use'!$C7</f>
        <v>1252000.7837289847</v>
      </c>
      <c r="V66" s="34">
        <f>'Water Heater Stock'!V17*'Device Energy Use'!$C7</f>
        <v>1280960.999463432</v>
      </c>
      <c r="W66" s="34">
        <f>'Water Heater Stock'!W17*'Device Energy Use'!$C7</f>
        <v>1307852.628359705</v>
      </c>
    </row>
    <row r="67" spans="1:23">
      <c r="A67" s="38" t="str">
        <f>'Device Energy Use'!A8</f>
        <v>Instant Gas</v>
      </c>
      <c r="B67" s="34">
        <f>'Water Heater Stock'!B18*'Device Energy Use'!$C8</f>
        <v>0</v>
      </c>
      <c r="C67" s="34">
        <f>'Water Heater Stock'!C18*'Device Energy Use'!$C8</f>
        <v>0</v>
      </c>
      <c r="D67" s="34">
        <f>'Water Heater Stock'!D18*'Device Energy Use'!$C8</f>
        <v>0</v>
      </c>
      <c r="E67" s="34">
        <f>'Water Heater Stock'!E18*'Device Energy Use'!$C8</f>
        <v>0</v>
      </c>
      <c r="F67" s="34">
        <f>'Water Heater Stock'!F18*'Device Energy Use'!$C8</f>
        <v>0</v>
      </c>
      <c r="G67" s="34">
        <f>'Water Heater Stock'!G18*'Device Energy Use'!$C8</f>
        <v>0</v>
      </c>
      <c r="H67" s="34">
        <f>'Water Heater Stock'!H18*'Device Energy Use'!$C8</f>
        <v>0</v>
      </c>
      <c r="I67" s="34">
        <f>'Water Heater Stock'!I18*'Device Energy Use'!$C8</f>
        <v>0</v>
      </c>
      <c r="J67" s="34">
        <f>'Water Heater Stock'!J18*'Device Energy Use'!$C8</f>
        <v>0</v>
      </c>
      <c r="K67" s="34">
        <f>'Water Heater Stock'!K18*'Device Energy Use'!$C8</f>
        <v>0</v>
      </c>
      <c r="L67" s="34">
        <f>'Water Heater Stock'!L18*'Device Energy Use'!$C8</f>
        <v>0</v>
      </c>
      <c r="M67" s="34">
        <f>'Water Heater Stock'!M18*'Device Energy Use'!$C8</f>
        <v>0</v>
      </c>
      <c r="N67" s="34">
        <f>'Water Heater Stock'!N18*'Device Energy Use'!$C8</f>
        <v>0</v>
      </c>
      <c r="O67" s="34">
        <f>'Water Heater Stock'!O18*'Device Energy Use'!$C8</f>
        <v>0</v>
      </c>
      <c r="P67" s="34">
        <f>'Water Heater Stock'!P18*'Device Energy Use'!$C8</f>
        <v>0</v>
      </c>
      <c r="Q67" s="34">
        <f>'Water Heater Stock'!Q18*'Device Energy Use'!$C8</f>
        <v>0</v>
      </c>
      <c r="R67" s="34">
        <f>'Water Heater Stock'!R18*'Device Energy Use'!$C8</f>
        <v>0</v>
      </c>
      <c r="S67" s="34">
        <f>'Water Heater Stock'!S18*'Device Energy Use'!$C8</f>
        <v>0</v>
      </c>
      <c r="T67" s="34">
        <f>'Water Heater Stock'!T18*'Device Energy Use'!$C8</f>
        <v>0</v>
      </c>
      <c r="U67" s="34">
        <f>'Water Heater Stock'!U18*'Device Energy Use'!$C8</f>
        <v>0</v>
      </c>
      <c r="V67" s="34">
        <f>'Water Heater Stock'!V18*'Device Energy Use'!$C8</f>
        <v>0</v>
      </c>
      <c r="W67" s="34">
        <f>'Water Heater Stock'!W18*'Device Energy Use'!$C8</f>
        <v>0</v>
      </c>
    </row>
    <row r="68" spans="1:23">
      <c r="A68" s="38" t="str">
        <f>'Device Energy Use'!A9</f>
        <v>Condensing Gas</v>
      </c>
      <c r="B68" s="34">
        <f>'Water Heater Stock'!B19*'Device Energy Use'!$C9</f>
        <v>0</v>
      </c>
      <c r="C68" s="34">
        <f>'Water Heater Stock'!C19*'Device Energy Use'!$C9</f>
        <v>0</v>
      </c>
      <c r="D68" s="34">
        <f>'Water Heater Stock'!D19*'Device Energy Use'!$C9</f>
        <v>0</v>
      </c>
      <c r="E68" s="34">
        <f>'Water Heater Stock'!E19*'Device Energy Use'!$C9</f>
        <v>0</v>
      </c>
      <c r="F68" s="34">
        <f>'Water Heater Stock'!F19*'Device Energy Use'!$C9</f>
        <v>0</v>
      </c>
      <c r="G68" s="34">
        <f>'Water Heater Stock'!G19*'Device Energy Use'!$C9</f>
        <v>0</v>
      </c>
      <c r="H68" s="34">
        <f>'Water Heater Stock'!H19*'Device Energy Use'!$C9</f>
        <v>0</v>
      </c>
      <c r="I68" s="34">
        <f>'Water Heater Stock'!I19*'Device Energy Use'!$C9</f>
        <v>0</v>
      </c>
      <c r="J68" s="34">
        <f>'Water Heater Stock'!J19*'Device Energy Use'!$C9</f>
        <v>0</v>
      </c>
      <c r="K68" s="34">
        <f>'Water Heater Stock'!K19*'Device Energy Use'!$C9</f>
        <v>0</v>
      </c>
      <c r="L68" s="34">
        <f>'Water Heater Stock'!L19*'Device Energy Use'!$C9</f>
        <v>0</v>
      </c>
      <c r="M68" s="34">
        <f>'Water Heater Stock'!M19*'Device Energy Use'!$C9</f>
        <v>0</v>
      </c>
      <c r="N68" s="34">
        <f>'Water Heater Stock'!N19*'Device Energy Use'!$C9</f>
        <v>0</v>
      </c>
      <c r="O68" s="34">
        <f>'Water Heater Stock'!O19*'Device Energy Use'!$C9</f>
        <v>0</v>
      </c>
      <c r="P68" s="34">
        <f>'Water Heater Stock'!P19*'Device Energy Use'!$C9</f>
        <v>0</v>
      </c>
      <c r="Q68" s="34">
        <f>'Water Heater Stock'!Q19*'Device Energy Use'!$C9</f>
        <v>0</v>
      </c>
      <c r="R68" s="34">
        <f>'Water Heater Stock'!R19*'Device Energy Use'!$C9</f>
        <v>0</v>
      </c>
      <c r="S68" s="34">
        <f>'Water Heater Stock'!S19*'Device Energy Use'!$C9</f>
        <v>0</v>
      </c>
      <c r="T68" s="34">
        <f>'Water Heater Stock'!T19*'Device Energy Use'!$C9</f>
        <v>0</v>
      </c>
      <c r="U68" s="34">
        <f>'Water Heater Stock'!U19*'Device Energy Use'!$C9</f>
        <v>0</v>
      </c>
      <c r="V68" s="34">
        <f>'Water Heater Stock'!V19*'Device Energy Use'!$C9</f>
        <v>0</v>
      </c>
      <c r="W68" s="34">
        <f>'Water Heater Stock'!W19*'Device Energy Use'!$C9</f>
        <v>0</v>
      </c>
    </row>
    <row r="69" spans="1:23">
      <c r="A69" s="3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/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>
      <c r="A3" s="12" t="s">
        <v>111</v>
      </c>
    </row>
    <row r="4" spans="1:23" s="23" customFormat="1">
      <c r="A4" s="41" t="str">
        <f>+'Device Energy Use'!A4</f>
        <v>Water Heat Ending</v>
      </c>
      <c r="B4" s="40">
        <v>2014</v>
      </c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  <c r="H4" s="40">
        <v>2020</v>
      </c>
      <c r="I4" s="40">
        <v>2021</v>
      </c>
      <c r="J4" s="40">
        <v>2022</v>
      </c>
      <c r="K4" s="40">
        <v>2023</v>
      </c>
      <c r="L4" s="40">
        <v>2024</v>
      </c>
      <c r="M4" s="40">
        <v>2025</v>
      </c>
      <c r="N4" s="40">
        <v>2026</v>
      </c>
      <c r="O4" s="40">
        <v>2027</v>
      </c>
      <c r="P4" s="40">
        <v>2028</v>
      </c>
      <c r="Q4" s="40">
        <v>2029</v>
      </c>
      <c r="R4" s="40">
        <v>2030</v>
      </c>
      <c r="S4" s="40">
        <v>2031</v>
      </c>
      <c r="T4" s="40">
        <v>2032</v>
      </c>
      <c r="U4" s="40">
        <v>2033</v>
      </c>
      <c r="V4" s="40">
        <v>2034</v>
      </c>
      <c r="W4" s="40">
        <v>2035</v>
      </c>
    </row>
    <row r="5" spans="1:23" s="23" customFormat="1" ht="16.5" thickBot="1">
      <c r="A5" s="49" t="s">
        <v>48</v>
      </c>
      <c r="B5" s="50">
        <f t="shared" ref="B5:W5" si="0">SUM(B6:B10)</f>
        <v>95548.742999999988</v>
      </c>
      <c r="C5" s="50">
        <f t="shared" si="0"/>
        <v>95548.742999999988</v>
      </c>
      <c r="D5" s="50">
        <f t="shared" si="0"/>
        <v>95548.742999999988</v>
      </c>
      <c r="E5" s="50">
        <f t="shared" si="0"/>
        <v>95548.743000000002</v>
      </c>
      <c r="F5" s="50">
        <f t="shared" si="0"/>
        <v>95548.742999999988</v>
      </c>
      <c r="G5" s="50">
        <f t="shared" si="0"/>
        <v>95548.743000000002</v>
      </c>
      <c r="H5" s="50">
        <f t="shared" si="0"/>
        <v>95548.743000000017</v>
      </c>
      <c r="I5" s="50">
        <f t="shared" si="0"/>
        <v>95548.743000000017</v>
      </c>
      <c r="J5" s="50">
        <f t="shared" si="0"/>
        <v>95548.743000000002</v>
      </c>
      <c r="K5" s="50">
        <f t="shared" si="0"/>
        <v>95548.743000000031</v>
      </c>
      <c r="L5" s="50">
        <f t="shared" si="0"/>
        <v>95548.743000000046</v>
      </c>
      <c r="M5" s="50">
        <f t="shared" si="0"/>
        <v>95548.74300000006</v>
      </c>
      <c r="N5" s="50">
        <f t="shared" si="0"/>
        <v>95548.743000000046</v>
      </c>
      <c r="O5" s="50">
        <f t="shared" si="0"/>
        <v>95548.743000000046</v>
      </c>
      <c r="P5" s="50">
        <f t="shared" si="0"/>
        <v>95548.74300000006</v>
      </c>
      <c r="Q5" s="50">
        <f t="shared" si="0"/>
        <v>95548.743000000046</v>
      </c>
      <c r="R5" s="50">
        <f t="shared" si="0"/>
        <v>95548.74300000006</v>
      </c>
      <c r="S5" s="50">
        <f t="shared" si="0"/>
        <v>95548.74300000006</v>
      </c>
      <c r="T5" s="50">
        <f t="shared" si="0"/>
        <v>95548.743000000046</v>
      </c>
      <c r="U5" s="50">
        <f t="shared" si="0"/>
        <v>95548.74300000006</v>
      </c>
      <c r="V5" s="50">
        <f t="shared" si="0"/>
        <v>95548.74300000009</v>
      </c>
      <c r="W5" s="50">
        <f t="shared" si="0"/>
        <v>95548.74300000009</v>
      </c>
    </row>
    <row r="6" spans="1:23" ht="16.5" thickTop="1">
      <c r="A6" s="9" t="str">
        <f>+'Device Energy Use'!A5</f>
        <v>Electric Resistance</v>
      </c>
      <c r="B6" s="34">
        <f>Households</f>
        <v>95548.742999999988</v>
      </c>
      <c r="C6" s="34">
        <f>+B6-'Water Heaters Retired'!C6+'Water Heaters Purchased'!C6</f>
        <v>93216.077435866624</v>
      </c>
      <c r="D6" s="34">
        <f>+C6-'Water Heaters Retired'!D6+'Water Heaters Purchased'!D6</f>
        <v>91042.684676422388</v>
      </c>
      <c r="E6" s="34">
        <f>+D6-'Water Heaters Retired'!E6+'Water Heaters Purchased'!E6</f>
        <v>89016.320006043708</v>
      </c>
      <c r="F6" s="34">
        <f>+E6-'Water Heaters Retired'!F6+'Water Heaters Purchased'!F6</f>
        <v>87125.020806181128</v>
      </c>
      <c r="G6" s="34">
        <f>+F6-'Water Heaters Retired'!G6+'Water Heaters Purchased'!G6</f>
        <v>85356.841301143475</v>
      </c>
      <c r="H6" s="34">
        <f>+G6-'Water Heaters Retired'!H6+'Water Heaters Purchased'!H6</f>
        <v>83699.566177000655</v>
      </c>
      <c r="I6" s="34">
        <f>+H6-'Water Heaters Retired'!I6+'Water Heaters Purchased'!I6</f>
        <v>82140.426073152092</v>
      </c>
      <c r="J6" s="34">
        <f>+I6-'Water Heaters Retired'!J6+'Water Heaters Purchased'!J6</f>
        <v>80665.8496597372</v>
      </c>
      <c r="K6" s="34">
        <f>+J6-'Water Heaters Retired'!K6+'Water Heaters Purchased'!K6</f>
        <v>79261.296930871162</v>
      </c>
      <c r="L6" s="34">
        <f>+K6-'Water Heaters Retired'!L6+'Water Heaters Purchased'!L6</f>
        <v>77911.223108793187</v>
      </c>
      <c r="M6" s="34">
        <f>+L6-'Water Heaters Retired'!M6+'Water Heaters Purchased'!M6</f>
        <v>76599.21832063116</v>
      </c>
      <c r="N6" s="34">
        <f>+M6-'Water Heaters Retired'!N6+'Water Heaters Purchased'!N6</f>
        <v>75308.351790472909</v>
      </c>
      <c r="O6" s="34">
        <f>+N6-'Water Heaters Retired'!O6+'Water Heaters Purchased'!O6</f>
        <v>74021.719975138665</v>
      </c>
      <c r="P6" s="34">
        <f>+O6-'Water Heaters Retired'!P6+'Water Heaters Purchased'!P6</f>
        <v>72723.159475070701</v>
      </c>
      <c r="Q6" s="34">
        <f>+P6-'Water Heaters Retired'!Q6+'Water Heaters Purchased'!Q6</f>
        <v>71398.046237567105</v>
      </c>
      <c r="R6" s="34">
        <f>+Q6-'Water Heaters Retired'!R6+'Water Heaters Purchased'!R6</f>
        <v>70034.074263968054</v>
      </c>
      <c r="S6" s="34">
        <f>+R6-'Water Heaters Retired'!S6+'Water Heaters Purchased'!S6</f>
        <v>68621.900336457285</v>
      </c>
      <c r="T6" s="34">
        <f>+S6-'Water Heaters Retired'!T6+'Water Heaters Purchased'!T6</f>
        <v>67155.560668165126</v>
      </c>
      <c r="U6" s="34">
        <f>+T6-'Water Heaters Retired'!U6+'Water Heaters Purchased'!U6</f>
        <v>65632.606394874922</v>
      </c>
      <c r="V6" s="34">
        <f>+U6-'Water Heaters Retired'!V6+'Water Heaters Purchased'!V6</f>
        <v>64053.955503192919</v>
      </c>
      <c r="W6" s="34">
        <f>+V6-'Water Heaters Retired'!W6+'Water Heaters Purchased'!W6</f>
        <v>62423.504733266593</v>
      </c>
    </row>
    <row r="7" spans="1:23">
      <c r="A7" s="9" t="str">
        <f>+'Device Energy Use'!A6</f>
        <v>HPWH</v>
      </c>
      <c r="B7" s="34">
        <v>0</v>
      </c>
      <c r="C7" s="34">
        <f>+B7-'Water Heaters Retired'!C7+'Water Heaters Purchased'!C7</f>
        <v>0.67954595926526307</v>
      </c>
      <c r="D7" s="34">
        <f>+C7-'Water Heaters Retired'!D7+'Water Heaters Purchased'!D7</f>
        <v>1.9878002292611274</v>
      </c>
      <c r="E7" s="34">
        <f>+D7-'Water Heaters Retired'!E7+'Water Heaters Purchased'!E7</f>
        <v>4.4212624002332168</v>
      </c>
      <c r="F7" s="34">
        <f>+E7-'Water Heaters Retired'!F7+'Water Heaters Purchased'!F7</f>
        <v>8.7697769476201799</v>
      </c>
      <c r="G7" s="34">
        <f>+F7-'Water Heaters Retired'!G7+'Water Heaters Purchased'!G7</f>
        <v>16.229277262679155</v>
      </c>
      <c r="H7" s="34">
        <f>+G7-'Water Heaters Retired'!H7+'Water Heaters Purchased'!H7</f>
        <v>28.526947742353407</v>
      </c>
      <c r="I7" s="34">
        <f>+H7-'Water Heaters Retired'!I7+'Water Heaters Purchased'!I7</f>
        <v>48.045531458261436</v>
      </c>
      <c r="J7" s="34">
        <f>+I7-'Water Heaters Retired'!J7+'Water Heaters Purchased'!J7</f>
        <v>77.927258800600228</v>
      </c>
      <c r="K7" s="34">
        <f>+J7-'Water Heaters Retired'!K7+'Water Heaters Purchased'!K7</f>
        <v>122.13277229434203</v>
      </c>
      <c r="L7" s="34">
        <f>+K7-'Water Heaters Retired'!L7+'Water Heaters Purchased'!L7</f>
        <v>185.4283089810221</v>
      </c>
      <c r="M7" s="34">
        <f>+L7-'Water Heaters Retired'!M7+'Water Heaters Purchased'!M7</f>
        <v>273.27732525190436</v>
      </c>
      <c r="N7" s="34">
        <f>+M7-'Water Heaters Retired'!N7+'Water Heaters Purchased'!N7</f>
        <v>391.62233336242247</v>
      </c>
      <c r="O7" s="34">
        <f>+N7-'Water Heaters Retired'!O7+'Water Heaters Purchased'!O7</f>
        <v>546.55917336746552</v>
      </c>
      <c r="P7" s="34">
        <f>+O7-'Water Heaters Retired'!P7+'Water Heaters Purchased'!P7</f>
        <v>743.92709835235394</v>
      </c>
      <c r="Q7" s="34">
        <f>+P7-'Water Heaters Retired'!Q7+'Water Heaters Purchased'!Q7</f>
        <v>988.85908806545615</v>
      </c>
      <c r="R7" s="34">
        <f>+Q7-'Water Heaters Retired'!R7+'Water Heaters Purchased'!R7</f>
        <v>1285.3513294879237</v>
      </c>
      <c r="S7" s="34">
        <f>+R7-'Water Heaters Retired'!S7+'Water Heaters Purchased'!S7</f>
        <v>1635.9132185383205</v>
      </c>
      <c r="T7" s="34">
        <f>+S7-'Water Heaters Retired'!T7+'Water Heaters Purchased'!T7</f>
        <v>2041.347441176089</v>
      </c>
      <c r="U7" s="34">
        <f>+T7-'Water Heaters Retired'!U7+'Water Heaters Purchased'!U7</f>
        <v>2500.6864743332476</v>
      </c>
      <c r="V7" s="34">
        <f>+U7-'Water Heaters Retired'!V7+'Water Heaters Purchased'!V7</f>
        <v>3011.2839637751449</v>
      </c>
      <c r="W7" s="34">
        <f>+V7-'Water Heaters Retired'!W7+'Water Heaters Purchased'!W7</f>
        <v>3569.0347524769181</v>
      </c>
    </row>
    <row r="8" spans="1:23">
      <c r="A8" s="9" t="str">
        <f>+'Device Energy Use'!A7</f>
        <v>Gas Tank</v>
      </c>
      <c r="B8" s="34">
        <v>0</v>
      </c>
      <c r="C8" s="34">
        <f>+B8-'Water Heaters Retired'!C8+'Water Heaters Purchased'!C8</f>
        <v>2330.8426827569519</v>
      </c>
      <c r="D8" s="34">
        <f>+C8-'Water Heaters Retired'!D8+'Water Heaters Purchased'!D8</f>
        <v>4500.7116871331582</v>
      </c>
      <c r="E8" s="34">
        <f>+D8-'Water Heaters Retired'!E8+'Water Heaters Purchased'!E8</f>
        <v>6520.4949073751786</v>
      </c>
      <c r="F8" s="34">
        <f>+E8-'Water Heaters Retired'!F8+'Water Heaters Purchased'!F8</f>
        <v>8399.9849425372558</v>
      </c>
      <c r="G8" s="34">
        <f>+F8-'Water Heaters Retired'!G8+'Water Heaters Purchased'!G8</f>
        <v>10147.823645000002</v>
      </c>
      <c r="H8" s="34">
        <f>+G8-'Water Heaters Retired'!H8+'Water Heaters Purchased'!H8</f>
        <v>11771.427201345812</v>
      </c>
      <c r="I8" s="34">
        <f>+H8-'Water Heaters Retired'!I8+'Water Heaters Purchased'!I8</f>
        <v>13276.904193660717</v>
      </c>
      <c r="J8" s="34">
        <f>+I8-'Water Heaters Retired'!J8+'Water Heaters Purchased'!J8</f>
        <v>14668.985631482621</v>
      </c>
      <c r="K8" s="34">
        <f>+J8-'Water Heaters Retired'!K8+'Water Heaters Purchased'!K8</f>
        <v>15950.991688735186</v>
      </c>
      <c r="L8" s="34">
        <f>+K8-'Water Heaters Retired'!L8+'Water Heaters Purchased'!L8</f>
        <v>17124.862982815106</v>
      </c>
      <c r="M8" s="34">
        <f>+L8-'Water Heaters Retired'!M8+'Water Heaters Purchased'!M8</f>
        <v>18191.282526826195</v>
      </c>
      <c r="N8" s="34">
        <f>+M8-'Water Heaters Retired'!N8+'Water Heaters Purchased'!N8</f>
        <v>19149.906096577834</v>
      </c>
      <c r="O8" s="34">
        <f>+N8-'Water Heaters Retired'!O8+'Water Heaters Purchased'!O8</f>
        <v>19999.703105350949</v>
      </c>
      <c r="P8" s="34">
        <f>+O8-'Water Heaters Retired'!P8+'Water Heaters Purchased'!P8</f>
        <v>20739.388949697022</v>
      </c>
      <c r="Q8" s="34">
        <f>+P8-'Water Heaters Retired'!Q8+'Water Heaters Purchased'!Q8</f>
        <v>21367.907737593338</v>
      </c>
      <c r="R8" s="34">
        <f>+Q8-'Water Heaters Retired'!R8+'Water Heaters Purchased'!R8</f>
        <v>21884.907780816957</v>
      </c>
      <c r="S8" s="34">
        <f>+R8-'Water Heaters Retired'!S8+'Water Heaters Purchased'!S8</f>
        <v>22291.147248806959</v>
      </c>
      <c r="T8" s="34">
        <f>+S8-'Water Heaters Retired'!T8+'Water Heaters Purchased'!T8</f>
        <v>22588.776749473374</v>
      </c>
      <c r="U8" s="34">
        <f>+T8-'Water Heaters Retired'!U8+'Water Heaters Purchased'!U8</f>
        <v>22781.467244434396</v>
      </c>
      <c r="V8" s="34">
        <f>+U8-'Water Heaters Retired'!V8+'Water Heaters Purchased'!V8</f>
        <v>22874.37928434497</v>
      </c>
      <c r="W8" s="34">
        <f>+V8-'Water Heaters Retired'!W8+'Water Heaters Purchased'!W8</f>
        <v>22873.995166578658</v>
      </c>
    </row>
    <row r="9" spans="1:23">
      <c r="A9" s="9" t="str">
        <f>+'Device Energy Use'!A8</f>
        <v>Instant Gas</v>
      </c>
      <c r="B9" s="34">
        <v>0</v>
      </c>
      <c r="C9" s="34">
        <f>+B9-'Water Heaters Retired'!C9+'Water Heaters Purchased'!C9</f>
        <v>0.22556407896413677</v>
      </c>
      <c r="D9" s="34">
        <f>+C9-'Water Heaters Retired'!D9+'Water Heaters Purchased'!D9</f>
        <v>0.66334971917838259</v>
      </c>
      <c r="E9" s="34">
        <f>+D9-'Water Heaters Retired'!E9+'Water Heaters Purchased'!E9</f>
        <v>1.4843201313543597</v>
      </c>
      <c r="F9" s="34">
        <f>+E9-'Water Heaters Retired'!F9+'Water Heaters Purchased'!F9</f>
        <v>2.9633256061977251</v>
      </c>
      <c r="G9" s="34">
        <f>+F9-'Water Heaters Retired'!G9+'Water Heaters Purchased'!G9</f>
        <v>5.521081658896005</v>
      </c>
      <c r="H9" s="34">
        <f>+G9-'Water Heaters Retired'!H9+'Water Heaters Purchased'!H9</f>
        <v>9.7721079252026293</v>
      </c>
      <c r="I9" s="34">
        <f>+H9-'Water Heaters Retired'!I9+'Water Heaters Purchased'!I9</f>
        <v>16.574279341892325</v>
      </c>
      <c r="J9" s="34">
        <f>+I9-'Water Heaters Retired'!J9+'Water Heaters Purchased'!J9</f>
        <v>27.073198655844898</v>
      </c>
      <c r="K9" s="34">
        <f>+J9-'Water Heaters Retired'!K9+'Water Heaters Purchased'!K9</f>
        <v>42.732411424811815</v>
      </c>
      <c r="L9" s="34">
        <f>+K9-'Water Heaters Retired'!L9+'Water Heaters Purchased'!L9</f>
        <v>65.339227305447849</v>
      </c>
      <c r="M9" s="34">
        <f>+L9-'Water Heaters Retired'!M9+'Water Heaters Purchased'!M9</f>
        <v>96.97639212488906</v>
      </c>
      <c r="N9" s="34">
        <f>+M9-'Water Heaters Retired'!N9+'Water Heaters Purchased'!N9</f>
        <v>139.95278999503262</v>
      </c>
      <c r="O9" s="34">
        <f>+N9-'Water Heaters Retired'!O9+'Water Heaters Purchased'!O9</f>
        <v>196.69199758007875</v>
      </c>
      <c r="P9" s="34">
        <f>+O9-'Water Heaters Retired'!P9+'Water Heaters Purchased'!P9</f>
        <v>269.58525755559981</v>
      </c>
      <c r="Q9" s="34">
        <f>+P9-'Water Heaters Retired'!Q9+'Water Heaters Purchased'!Q9</f>
        <v>360.82364356267658</v>
      </c>
      <c r="R9" s="34">
        <f>+Q9-'Water Heaters Retired'!R9+'Water Heaters Purchased'!R9</f>
        <v>472.2304850027914</v>
      </c>
      <c r="S9" s="34">
        <f>+R9-'Water Heaters Retired'!S9+'Water Heaters Purchased'!S9</f>
        <v>605.11724706362361</v>
      </c>
      <c r="T9" s="34">
        <f>+S9-'Water Heaters Retired'!T9+'Water Heaters Purchased'!T9</f>
        <v>760.1829060866512</v>
      </c>
      <c r="U9" s="34">
        <f>+T9-'Water Heaters Retired'!U9+'Water Heaters Purchased'!U9</f>
        <v>937.46910132978314</v>
      </c>
      <c r="V9" s="34">
        <f>+U9-'Water Heaters Retired'!V9+'Water Heaters Purchased'!V9</f>
        <v>1136.3732568057885</v>
      </c>
      <c r="W9" s="34">
        <f>+V9-'Water Heaters Retired'!W9+'Water Heaters Purchased'!W9</f>
        <v>1355.7123524888468</v>
      </c>
    </row>
    <row r="10" spans="1:23">
      <c r="A10" s="9" t="str">
        <f>+'Device Energy Use'!A9</f>
        <v>Condensing Gas</v>
      </c>
      <c r="B10" s="34">
        <v>0</v>
      </c>
      <c r="C10" s="34">
        <f>+B10-'Water Heaters Retired'!C10+'Water Heaters Purchased'!C10</f>
        <v>0.91777133818420209</v>
      </c>
      <c r="D10" s="34">
        <f>+C10-'Water Heaters Retired'!D10+'Water Heaters Purchased'!D10</f>
        <v>2.6954864959967657</v>
      </c>
      <c r="E10" s="34">
        <f>+D10-'Water Heaters Retired'!E10+'Water Heaters Purchased'!E10</f>
        <v>6.0225040495210145</v>
      </c>
      <c r="F10" s="34">
        <f>+E10-'Water Heaters Retired'!F10+'Water Heaters Purchased'!F10</f>
        <v>12.004148727799063</v>
      </c>
      <c r="G10" s="34">
        <f>+F10-'Water Heaters Retired'!G10+'Water Heaters Purchased'!G10</f>
        <v>22.327694934956874</v>
      </c>
      <c r="H10" s="34">
        <f>+G10-'Water Heaters Retired'!H10+'Water Heaters Purchased'!H10</f>
        <v>39.450565985987019</v>
      </c>
      <c r="I10" s="34">
        <f>+H10-'Water Heaters Retired'!I10+'Water Heaters Purchased'!I10</f>
        <v>66.792922387056777</v>
      </c>
      <c r="J10" s="34">
        <f>+I10-'Water Heaters Retired'!J10+'Water Heaters Purchased'!J10</f>
        <v>108.90725132375505</v>
      </c>
      <c r="K10" s="34">
        <f>+J10-'Water Heaters Retired'!K10+'Water Heaters Purchased'!K10</f>
        <v>171.58919667453148</v>
      </c>
      <c r="L10" s="34">
        <f>+K10-'Water Heaters Retired'!L10+'Water Heaters Purchased'!L10</f>
        <v>261.88937210528212</v>
      </c>
      <c r="M10" s="34">
        <f>+L10-'Water Heaters Retired'!M10+'Water Heaters Purchased'!M10</f>
        <v>387.98843516589693</v>
      </c>
      <c r="N10" s="34">
        <f>+M10-'Water Heaters Retired'!N10+'Water Heaters Purchased'!N10</f>
        <v>558.90998959185367</v>
      </c>
      <c r="O10" s="34">
        <f>+N10-'Water Heaters Retired'!O10+'Water Heaters Purchased'!O10</f>
        <v>784.06874856289005</v>
      </c>
      <c r="P10" s="34">
        <f>+O10-'Water Heaters Retired'!P10+'Water Heaters Purchased'!P10</f>
        <v>1072.6822193243756</v>
      </c>
      <c r="Q10" s="34">
        <f>+P10-'Water Heaters Retired'!Q10+'Water Heaters Purchased'!Q10</f>
        <v>1433.1062932114799</v>
      </c>
      <c r="R10" s="34">
        <f>+Q10-'Water Heaters Retired'!R10+'Water Heaters Purchased'!R10</f>
        <v>1872.179140724339</v>
      </c>
      <c r="S10" s="34">
        <f>+R10-'Water Heaters Retired'!S10+'Water Heaters Purchased'!S10</f>
        <v>2394.6649491338817</v>
      </c>
      <c r="T10" s="34">
        <f>+S10-'Water Heaters Retired'!T10+'Water Heaters Purchased'!T10</f>
        <v>3002.8752350988275</v>
      </c>
      <c r="U10" s="34">
        <f>+T10-'Water Heaters Retired'!U10+'Water Heaters Purchased'!U10</f>
        <v>3696.513785027726</v>
      </c>
      <c r="V10" s="34">
        <f>+U10-'Water Heaters Retired'!V10+'Water Heaters Purchased'!V10</f>
        <v>4472.7509918812511</v>
      </c>
      <c r="W10" s="34">
        <f>+V10-'Water Heaters Retired'!W10+'Water Heaters Purchased'!W10</f>
        <v>5326.4959951890596</v>
      </c>
    </row>
    <row r="11" spans="1:23">
      <c r="A11" s="38"/>
    </row>
    <row r="12" spans="1:23">
      <c r="A12" s="102" t="s">
        <v>112</v>
      </c>
    </row>
    <row r="13" spans="1:23" s="23" customFormat="1">
      <c r="A13" s="41" t="str">
        <f>+'Device Energy Use'!A4</f>
        <v>Water Heat Ending</v>
      </c>
      <c r="B13" s="40">
        <v>2014</v>
      </c>
      <c r="C13" s="40">
        <v>2015</v>
      </c>
      <c r="D13" s="40">
        <v>2016</v>
      </c>
      <c r="E13" s="40">
        <v>2017</v>
      </c>
      <c r="F13" s="40">
        <v>2018</v>
      </c>
      <c r="G13" s="40">
        <v>2019</v>
      </c>
      <c r="H13" s="40">
        <v>2020</v>
      </c>
      <c r="I13" s="40">
        <v>2021</v>
      </c>
      <c r="J13" s="40">
        <v>2022</v>
      </c>
      <c r="K13" s="40">
        <v>2023</v>
      </c>
      <c r="L13" s="40">
        <v>2024</v>
      </c>
      <c r="M13" s="40">
        <v>2025</v>
      </c>
      <c r="N13" s="40">
        <v>2026</v>
      </c>
      <c r="O13" s="40">
        <v>2027</v>
      </c>
      <c r="P13" s="40">
        <v>2028</v>
      </c>
      <c r="Q13" s="40">
        <v>2029</v>
      </c>
      <c r="R13" s="40">
        <v>2030</v>
      </c>
      <c r="S13" s="40">
        <v>2031</v>
      </c>
      <c r="T13" s="40">
        <v>2032</v>
      </c>
      <c r="U13" s="40">
        <v>2033</v>
      </c>
      <c r="V13" s="40">
        <v>2034</v>
      </c>
      <c r="W13" s="40">
        <v>2035</v>
      </c>
    </row>
    <row r="14" spans="1:23" s="23" customFormat="1" ht="16.5" thickBot="1">
      <c r="A14" s="49" t="s">
        <v>48</v>
      </c>
      <c r="B14" s="50">
        <f t="shared" ref="B14:W14" si="1">SUM(B15:B19)</f>
        <v>95548.742999999988</v>
      </c>
      <c r="C14" s="50">
        <f t="shared" si="1"/>
        <v>95548.742999999988</v>
      </c>
      <c r="D14" s="50">
        <f t="shared" si="1"/>
        <v>95548.742999999988</v>
      </c>
      <c r="E14" s="50">
        <f t="shared" si="1"/>
        <v>95548.742999999988</v>
      </c>
      <c r="F14" s="50">
        <f t="shared" si="1"/>
        <v>95548.742999999988</v>
      </c>
      <c r="G14" s="50">
        <f t="shared" si="1"/>
        <v>95548.742999999988</v>
      </c>
      <c r="H14" s="50">
        <f t="shared" si="1"/>
        <v>95548.742999999988</v>
      </c>
      <c r="I14" s="50">
        <f t="shared" si="1"/>
        <v>95548.742999999988</v>
      </c>
      <c r="J14" s="50">
        <f t="shared" si="1"/>
        <v>95548.742999999988</v>
      </c>
      <c r="K14" s="50">
        <f t="shared" si="1"/>
        <v>95548.743000000002</v>
      </c>
      <c r="L14" s="50">
        <f t="shared" si="1"/>
        <v>95548.743000000002</v>
      </c>
      <c r="M14" s="50">
        <f t="shared" si="1"/>
        <v>95548.743000000002</v>
      </c>
      <c r="N14" s="50">
        <f t="shared" si="1"/>
        <v>95548.743000000002</v>
      </c>
      <c r="O14" s="50">
        <f t="shared" si="1"/>
        <v>95548.743000000002</v>
      </c>
      <c r="P14" s="50">
        <f t="shared" si="1"/>
        <v>95548.743000000002</v>
      </c>
      <c r="Q14" s="50">
        <f t="shared" si="1"/>
        <v>95548.743000000002</v>
      </c>
      <c r="R14" s="50">
        <f t="shared" si="1"/>
        <v>95548.743000000002</v>
      </c>
      <c r="S14" s="50">
        <f t="shared" si="1"/>
        <v>95548.743000000002</v>
      </c>
      <c r="T14" s="50">
        <f t="shared" si="1"/>
        <v>95548.742999999988</v>
      </c>
      <c r="U14" s="50">
        <f t="shared" si="1"/>
        <v>95548.742999999988</v>
      </c>
      <c r="V14" s="50">
        <f t="shared" si="1"/>
        <v>95548.742999999988</v>
      </c>
      <c r="W14" s="50">
        <f t="shared" si="1"/>
        <v>95548.742999999988</v>
      </c>
    </row>
    <row r="15" spans="1:23" ht="16.5" thickTop="1">
      <c r="A15" s="9" t="str">
        <f>+'Device Energy Use'!A5</f>
        <v>Electric Resistance</v>
      </c>
      <c r="B15" s="34">
        <f>Households</f>
        <v>95548.742999999988</v>
      </c>
      <c r="C15" s="34">
        <f>+B15-'Water Heaters Retired'!C15+'Water Heaters Purchased'!C15</f>
        <v>88723.832785714272</v>
      </c>
      <c r="D15" s="34">
        <f>+C15-'Water Heaters Retired'!D15+'Water Heaters Purchased'!D15</f>
        <v>82386.416158163251</v>
      </c>
      <c r="E15" s="34">
        <f>+D15-'Water Heaters Retired'!E15+'Water Heaters Purchased'!E15</f>
        <v>76501.67214686588</v>
      </c>
      <c r="F15" s="34">
        <f>+E15-'Water Heaters Retired'!F15+'Water Heaters Purchased'!F15</f>
        <v>71037.266993518322</v>
      </c>
      <c r="G15" s="34">
        <f>+F15-'Water Heaters Retired'!G15+'Water Heaters Purchased'!G15</f>
        <v>65963.1764939813</v>
      </c>
      <c r="H15" s="34">
        <f>+G15-'Water Heaters Retired'!H15+'Water Heaters Purchased'!H15</f>
        <v>61251.521030125492</v>
      </c>
      <c r="I15" s="34">
        <f>+H15-'Water Heaters Retired'!I15+'Water Heaters Purchased'!I15</f>
        <v>56876.412385116528</v>
      </c>
      <c r="J15" s="34">
        <f>+I15-'Water Heaters Retired'!J15+'Water Heaters Purchased'!J15</f>
        <v>52813.811500465345</v>
      </c>
      <c r="K15" s="34">
        <f>+J15-'Water Heaters Retired'!K15+'Water Heaters Purchased'!K15</f>
        <v>49041.396393289251</v>
      </c>
      <c r="L15" s="34">
        <f>+K15-'Water Heaters Retired'!L15+'Water Heaters Purchased'!L15</f>
        <v>45538.439508054304</v>
      </c>
      <c r="M15" s="34">
        <f>+L15-'Water Heaters Retired'!M15+'Water Heaters Purchased'!M15</f>
        <v>42285.69382890757</v>
      </c>
      <c r="N15" s="34">
        <f>+M15-'Water Heaters Retired'!N15+'Water Heaters Purchased'!N15</f>
        <v>39265.287126842741</v>
      </c>
      <c r="O15" s="34">
        <f>+N15-'Water Heaters Retired'!O15+'Water Heaters Purchased'!O15</f>
        <v>36460.62376063969</v>
      </c>
      <c r="P15" s="34">
        <f>+O15-'Water Heaters Retired'!P15+'Water Heaters Purchased'!P15</f>
        <v>33856.293492022567</v>
      </c>
      <c r="Q15" s="34">
        <f>+P15-'Water Heaters Retired'!Q15+'Water Heaters Purchased'!Q15</f>
        <v>31437.986814020955</v>
      </c>
      <c r="R15" s="34">
        <f>+Q15-'Water Heaters Retired'!R15+'Water Heaters Purchased'!R15</f>
        <v>29192.416327305171</v>
      </c>
      <c r="S15" s="34">
        <f>+R15-'Water Heaters Retired'!S15+'Water Heaters Purchased'!S15</f>
        <v>27107.24373249766</v>
      </c>
      <c r="T15" s="34">
        <f>+S15-'Water Heaters Retired'!T15+'Water Heaters Purchased'!T15</f>
        <v>25171.012037319255</v>
      </c>
      <c r="U15" s="34">
        <f>+T15-'Water Heaters Retired'!U15+'Water Heaters Purchased'!U15</f>
        <v>23373.082606082164</v>
      </c>
      <c r="V15" s="34">
        <f>+U15-'Water Heaters Retired'!V15+'Water Heaters Purchased'!V15</f>
        <v>21703.576705647723</v>
      </c>
      <c r="W15" s="34">
        <f>+V15-'Water Heaters Retired'!W15+'Water Heaters Purchased'!W15</f>
        <v>20153.321226672888</v>
      </c>
    </row>
    <row r="16" spans="1:23">
      <c r="A16" s="9" t="str">
        <f>+'Device Energy Use'!A6</f>
        <v>HPWH</v>
      </c>
      <c r="B16" s="34">
        <v>0</v>
      </c>
      <c r="C16" s="34">
        <f>+B16-'Water Heaters Retired'!C16+'Water Heaters Purchased'!C16</f>
        <v>0</v>
      </c>
      <c r="D16" s="34">
        <f>+C16-'Water Heaters Retired'!D16+'Water Heaters Purchased'!D16</f>
        <v>0</v>
      </c>
      <c r="E16" s="34">
        <f>+D16-'Water Heaters Retired'!E16+'Water Heaters Purchased'!E16</f>
        <v>0</v>
      </c>
      <c r="F16" s="34">
        <f>+E16-'Water Heaters Retired'!F16+'Water Heaters Purchased'!F16</f>
        <v>0</v>
      </c>
      <c r="G16" s="34">
        <f>+F16-'Water Heaters Retired'!G16+'Water Heaters Purchased'!G16</f>
        <v>0</v>
      </c>
      <c r="H16" s="34">
        <f>+G16-'Water Heaters Retired'!H16+'Water Heaters Purchased'!H16</f>
        <v>0</v>
      </c>
      <c r="I16" s="34">
        <f>+H16-'Water Heaters Retired'!I16+'Water Heaters Purchased'!I16</f>
        <v>0</v>
      </c>
      <c r="J16" s="34">
        <f>+I16-'Water Heaters Retired'!J16+'Water Heaters Purchased'!J16</f>
        <v>0</v>
      </c>
      <c r="K16" s="34">
        <f>+J16-'Water Heaters Retired'!K16+'Water Heaters Purchased'!K16</f>
        <v>0</v>
      </c>
      <c r="L16" s="34">
        <f>+K16-'Water Heaters Retired'!L16+'Water Heaters Purchased'!L16</f>
        <v>0</v>
      </c>
      <c r="M16" s="34">
        <f>+L16-'Water Heaters Retired'!M16+'Water Heaters Purchased'!M16</f>
        <v>0</v>
      </c>
      <c r="N16" s="34">
        <f>+M16-'Water Heaters Retired'!N16+'Water Heaters Purchased'!N16</f>
        <v>0</v>
      </c>
      <c r="O16" s="34">
        <f>+N16-'Water Heaters Retired'!O16+'Water Heaters Purchased'!O16</f>
        <v>0</v>
      </c>
      <c r="P16" s="34">
        <f>+O16-'Water Heaters Retired'!P16+'Water Heaters Purchased'!P16</f>
        <v>0</v>
      </c>
      <c r="Q16" s="34">
        <f>+P16-'Water Heaters Retired'!Q16+'Water Heaters Purchased'!Q16</f>
        <v>0</v>
      </c>
      <c r="R16" s="34">
        <f>+Q16-'Water Heaters Retired'!R16+'Water Heaters Purchased'!R16</f>
        <v>0</v>
      </c>
      <c r="S16" s="34">
        <f>+R16-'Water Heaters Retired'!S16+'Water Heaters Purchased'!S16</f>
        <v>0</v>
      </c>
      <c r="T16" s="34">
        <f>+S16-'Water Heaters Retired'!T16+'Water Heaters Purchased'!T16</f>
        <v>0</v>
      </c>
      <c r="U16" s="34">
        <f>+T16-'Water Heaters Retired'!U16+'Water Heaters Purchased'!U16</f>
        <v>0</v>
      </c>
      <c r="V16" s="34">
        <f>+U16-'Water Heaters Retired'!V16+'Water Heaters Purchased'!V16</f>
        <v>0</v>
      </c>
      <c r="W16" s="34">
        <f>+V16-'Water Heaters Retired'!W16+'Water Heaters Purchased'!W16</f>
        <v>0</v>
      </c>
    </row>
    <row r="17" spans="1:23">
      <c r="A17" s="9" t="str">
        <f>+'Device Energy Use'!A7</f>
        <v>Gas Tank</v>
      </c>
      <c r="B17" s="34">
        <v>0</v>
      </c>
      <c r="C17" s="34">
        <f>+B17-'Water Heaters Retired'!C17+'Water Heaters Purchased'!C17</f>
        <v>6824.9102142857137</v>
      </c>
      <c r="D17" s="34">
        <f>+C17-'Water Heaters Retired'!D17+'Water Heaters Purchased'!D17</f>
        <v>13162.326841836733</v>
      </c>
      <c r="E17" s="34">
        <f>+D17-'Water Heaters Retired'!E17+'Water Heaters Purchased'!E17</f>
        <v>19047.070853134108</v>
      </c>
      <c r="F17" s="34">
        <f>+E17-'Water Heaters Retired'!F17+'Water Heaters Purchased'!F17</f>
        <v>24511.476006481673</v>
      </c>
      <c r="G17" s="34">
        <f>+F17-'Water Heaters Retired'!G17+'Water Heaters Purchased'!G17</f>
        <v>29585.566506018695</v>
      </c>
      <c r="H17" s="34">
        <f>+G17-'Water Heaters Retired'!H17+'Water Heaters Purchased'!H17</f>
        <v>34297.221969874503</v>
      </c>
      <c r="I17" s="34">
        <f>+H17-'Water Heaters Retired'!I17+'Water Heaters Purchased'!I17</f>
        <v>38672.330614883467</v>
      </c>
      <c r="J17" s="34">
        <f>+I17-'Water Heaters Retired'!J17+'Water Heaters Purchased'!J17</f>
        <v>42734.93149953465</v>
      </c>
      <c r="K17" s="34">
        <f>+J17-'Water Heaters Retired'!K17+'Water Heaters Purchased'!K17</f>
        <v>46507.346606710751</v>
      </c>
      <c r="L17" s="34">
        <f>+K17-'Water Heaters Retired'!L17+'Water Heaters Purchased'!L17</f>
        <v>50010.303491945699</v>
      </c>
      <c r="M17" s="34">
        <f>+L17-'Water Heaters Retired'!M17+'Water Heaters Purchased'!M17</f>
        <v>53263.049171092433</v>
      </c>
      <c r="N17" s="34">
        <f>+M17-'Water Heaters Retired'!N17+'Water Heaters Purchased'!N17</f>
        <v>56283.455873157262</v>
      </c>
      <c r="O17" s="34">
        <f>+N17-'Water Heaters Retired'!O17+'Water Heaters Purchased'!O17</f>
        <v>59088.119239360312</v>
      </c>
      <c r="P17" s="34">
        <f>+O17-'Water Heaters Retired'!P17+'Water Heaters Purchased'!P17</f>
        <v>61692.449507977435</v>
      </c>
      <c r="Q17" s="34">
        <f>+P17-'Water Heaters Retired'!Q17+'Water Heaters Purchased'!Q17</f>
        <v>64110.756185979051</v>
      </c>
      <c r="R17" s="34">
        <f>+Q17-'Water Heaters Retired'!R17+'Water Heaters Purchased'!R17</f>
        <v>66356.326672694835</v>
      </c>
      <c r="S17" s="34">
        <f>+R17-'Water Heaters Retired'!S17+'Water Heaters Purchased'!S17</f>
        <v>68441.499267502339</v>
      </c>
      <c r="T17" s="34">
        <f>+S17-'Water Heaters Retired'!T17+'Water Heaters Purchased'!T17</f>
        <v>70377.73096268074</v>
      </c>
      <c r="U17" s="34">
        <f>+T17-'Water Heaters Retired'!U17+'Water Heaters Purchased'!U17</f>
        <v>72175.660393917831</v>
      </c>
      <c r="V17" s="34">
        <f>+U17-'Water Heaters Retired'!V17+'Water Heaters Purchased'!V17</f>
        <v>73845.166294352268</v>
      </c>
      <c r="W17" s="34">
        <f>+V17-'Water Heaters Retired'!W17+'Water Heaters Purchased'!W17</f>
        <v>75395.421773327107</v>
      </c>
    </row>
    <row r="18" spans="1:23">
      <c r="A18" s="9" t="str">
        <f>+'Device Energy Use'!A8</f>
        <v>Instant Gas</v>
      </c>
      <c r="B18" s="34">
        <v>0</v>
      </c>
      <c r="C18" s="34">
        <f>+B18-'Water Heaters Retired'!C18+'Water Heaters Purchased'!C18</f>
        <v>0</v>
      </c>
      <c r="D18" s="34">
        <f>+C18-'Water Heaters Retired'!D18+'Water Heaters Purchased'!D18</f>
        <v>0</v>
      </c>
      <c r="E18" s="34">
        <f>+D18-'Water Heaters Retired'!E18+'Water Heaters Purchased'!E18</f>
        <v>0</v>
      </c>
      <c r="F18" s="34">
        <f>+E18-'Water Heaters Retired'!F18+'Water Heaters Purchased'!F18</f>
        <v>0</v>
      </c>
      <c r="G18" s="34">
        <f>+F18-'Water Heaters Retired'!G18+'Water Heaters Purchased'!G18</f>
        <v>0</v>
      </c>
      <c r="H18" s="34">
        <f>+G18-'Water Heaters Retired'!H18+'Water Heaters Purchased'!H18</f>
        <v>0</v>
      </c>
      <c r="I18" s="34">
        <f>+H18-'Water Heaters Retired'!I18+'Water Heaters Purchased'!I18</f>
        <v>0</v>
      </c>
      <c r="J18" s="34">
        <f>+I18-'Water Heaters Retired'!J18+'Water Heaters Purchased'!J18</f>
        <v>0</v>
      </c>
      <c r="K18" s="34">
        <f>+J18-'Water Heaters Retired'!K18+'Water Heaters Purchased'!K18</f>
        <v>0</v>
      </c>
      <c r="L18" s="34">
        <f>+K18-'Water Heaters Retired'!L18+'Water Heaters Purchased'!L18</f>
        <v>0</v>
      </c>
      <c r="M18" s="34">
        <f>+L18-'Water Heaters Retired'!M18+'Water Heaters Purchased'!M18</f>
        <v>0</v>
      </c>
      <c r="N18" s="34">
        <f>+M18-'Water Heaters Retired'!N18+'Water Heaters Purchased'!N18</f>
        <v>0</v>
      </c>
      <c r="O18" s="34">
        <f>+N18-'Water Heaters Retired'!O18+'Water Heaters Purchased'!O18</f>
        <v>0</v>
      </c>
      <c r="P18" s="34">
        <f>+O18-'Water Heaters Retired'!P18+'Water Heaters Purchased'!P18</f>
        <v>0</v>
      </c>
      <c r="Q18" s="34">
        <f>+P18-'Water Heaters Retired'!Q18+'Water Heaters Purchased'!Q18</f>
        <v>0</v>
      </c>
      <c r="R18" s="34">
        <f>+Q18-'Water Heaters Retired'!R18+'Water Heaters Purchased'!R18</f>
        <v>0</v>
      </c>
      <c r="S18" s="34">
        <f>+R18-'Water Heaters Retired'!S18+'Water Heaters Purchased'!S18</f>
        <v>0</v>
      </c>
      <c r="T18" s="34">
        <f>+S18-'Water Heaters Retired'!T18+'Water Heaters Purchased'!T18</f>
        <v>0</v>
      </c>
      <c r="U18" s="34">
        <f>+T18-'Water Heaters Retired'!U18+'Water Heaters Purchased'!U18</f>
        <v>0</v>
      </c>
      <c r="V18" s="34">
        <f>+U18-'Water Heaters Retired'!V18+'Water Heaters Purchased'!V18</f>
        <v>0</v>
      </c>
      <c r="W18" s="34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4">
        <v>0</v>
      </c>
      <c r="C19" s="34">
        <f>+B19-'Water Heaters Retired'!C19+'Water Heaters Purchased'!C19</f>
        <v>0</v>
      </c>
      <c r="D19" s="34">
        <f>+C19-'Water Heaters Retired'!D19+'Water Heaters Purchased'!D19</f>
        <v>0</v>
      </c>
      <c r="E19" s="34">
        <f>+D19-'Water Heaters Retired'!E19+'Water Heaters Purchased'!E19</f>
        <v>0</v>
      </c>
      <c r="F19" s="34">
        <f>+E19-'Water Heaters Retired'!F19+'Water Heaters Purchased'!F19</f>
        <v>0</v>
      </c>
      <c r="G19" s="34">
        <f>+F19-'Water Heaters Retired'!G19+'Water Heaters Purchased'!G19</f>
        <v>0</v>
      </c>
      <c r="H19" s="34">
        <f>+G19-'Water Heaters Retired'!H19+'Water Heaters Purchased'!H19</f>
        <v>0</v>
      </c>
      <c r="I19" s="34">
        <f>+H19-'Water Heaters Retired'!I19+'Water Heaters Purchased'!I19</f>
        <v>0</v>
      </c>
      <c r="J19" s="34">
        <f>+I19-'Water Heaters Retired'!J19+'Water Heaters Purchased'!J19</f>
        <v>0</v>
      </c>
      <c r="K19" s="34">
        <f>+J19-'Water Heaters Retired'!K19+'Water Heaters Purchased'!K19</f>
        <v>0</v>
      </c>
      <c r="L19" s="34">
        <f>+K19-'Water Heaters Retired'!L19+'Water Heaters Purchased'!L19</f>
        <v>0</v>
      </c>
      <c r="M19" s="34">
        <f>+L19-'Water Heaters Retired'!M19+'Water Heaters Purchased'!M19</f>
        <v>0</v>
      </c>
      <c r="N19" s="34">
        <f>+M19-'Water Heaters Retired'!N19+'Water Heaters Purchased'!N19</f>
        <v>0</v>
      </c>
      <c r="O19" s="34">
        <f>+N19-'Water Heaters Retired'!O19+'Water Heaters Purchased'!O19</f>
        <v>0</v>
      </c>
      <c r="P19" s="34">
        <f>+O19-'Water Heaters Retired'!P19+'Water Heaters Purchased'!P19</f>
        <v>0</v>
      </c>
      <c r="Q19" s="34">
        <f>+P19-'Water Heaters Retired'!Q19+'Water Heaters Purchased'!Q19</f>
        <v>0</v>
      </c>
      <c r="R19" s="34">
        <f>+Q19-'Water Heaters Retired'!R19+'Water Heaters Purchased'!R19</f>
        <v>0</v>
      </c>
      <c r="S19" s="34">
        <f>+R19-'Water Heaters Retired'!S19+'Water Heaters Purchased'!S19</f>
        <v>0</v>
      </c>
      <c r="T19" s="34">
        <f>+S19-'Water Heaters Retired'!T19+'Water Heaters Purchased'!T19</f>
        <v>0</v>
      </c>
      <c r="U19" s="34">
        <f>+T19-'Water Heaters Retired'!U19+'Water Heaters Purchased'!U19</f>
        <v>0</v>
      </c>
      <c r="V19" s="34">
        <f>+U19-'Water Heaters Retired'!V19+'Water Heaters Purchased'!V19</f>
        <v>0</v>
      </c>
      <c r="W19" s="34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>
      <c r="A3" s="12" t="s">
        <v>109</v>
      </c>
      <c r="D3" s="12"/>
    </row>
    <row r="4" spans="1:23">
      <c r="A4" s="39" t="str">
        <f>'Device Energy Use'!A4</f>
        <v>Water Heat Ending</v>
      </c>
      <c r="B4" s="40">
        <f>'Water Heater Stock'!B4</f>
        <v>2014</v>
      </c>
      <c r="C4" s="40">
        <f>'Water Heater Stock'!C4</f>
        <v>2015</v>
      </c>
      <c r="D4" s="40">
        <f>'Water Heater Stock'!D4</f>
        <v>2016</v>
      </c>
      <c r="E4" s="40">
        <f>'Water Heater Stock'!E4</f>
        <v>2017</v>
      </c>
      <c r="F4" s="40">
        <f>'Water Heater Stock'!F4</f>
        <v>2018</v>
      </c>
      <c r="G4" s="40">
        <f>'Water Heater Stock'!G4</f>
        <v>2019</v>
      </c>
      <c r="H4" s="40">
        <f>'Water Heater Stock'!H4</f>
        <v>2020</v>
      </c>
      <c r="I4" s="40">
        <f>'Water Heater Stock'!I4</f>
        <v>2021</v>
      </c>
      <c r="J4" s="40">
        <f>'Water Heater Stock'!J4</f>
        <v>2022</v>
      </c>
      <c r="K4" s="40">
        <f>'Water Heater Stock'!K4</f>
        <v>2023</v>
      </c>
      <c r="L4" s="40">
        <f>'Water Heater Stock'!L4</f>
        <v>2024</v>
      </c>
      <c r="M4" s="40">
        <f>'Water Heater Stock'!M4</f>
        <v>2025</v>
      </c>
      <c r="N4" s="40">
        <f>'Water Heater Stock'!N4</f>
        <v>2026</v>
      </c>
      <c r="O4" s="40">
        <f>'Water Heater Stock'!O4</f>
        <v>2027</v>
      </c>
      <c r="P4" s="40">
        <f>'Water Heater Stock'!P4</f>
        <v>2028</v>
      </c>
      <c r="Q4" s="40">
        <f>'Water Heater Stock'!Q4</f>
        <v>2029</v>
      </c>
      <c r="R4" s="40">
        <f>'Water Heater Stock'!R4</f>
        <v>2030</v>
      </c>
      <c r="S4" s="40">
        <f>'Water Heater Stock'!S4</f>
        <v>2031</v>
      </c>
      <c r="T4" s="40">
        <f>'Water Heater Stock'!T4</f>
        <v>2032</v>
      </c>
      <c r="U4" s="40">
        <f>'Water Heater Stock'!U4</f>
        <v>2033</v>
      </c>
      <c r="V4" s="40">
        <f>'Water Heater Stock'!V4</f>
        <v>2034</v>
      </c>
      <c r="W4" s="40">
        <f>'Water Heater Stock'!W4</f>
        <v>2035</v>
      </c>
    </row>
    <row r="5" spans="1:23" ht="16.5" thickBot="1">
      <c r="A5" s="49" t="s">
        <v>48</v>
      </c>
      <c r="B5" s="50">
        <f t="shared" ref="B5:W5" si="0">SUM(B6:B10)</f>
        <v>0</v>
      </c>
      <c r="C5" s="50">
        <f t="shared" si="0"/>
        <v>6824.9102142857137</v>
      </c>
      <c r="D5" s="50">
        <f t="shared" si="0"/>
        <v>6824.9102142857128</v>
      </c>
      <c r="E5" s="50">
        <f t="shared" si="0"/>
        <v>6824.9102142857146</v>
      </c>
      <c r="F5" s="50">
        <f t="shared" si="0"/>
        <v>6824.9102142857137</v>
      </c>
      <c r="G5" s="50">
        <f t="shared" si="0"/>
        <v>6824.9102142857155</v>
      </c>
      <c r="H5" s="50">
        <f t="shared" si="0"/>
        <v>6824.9102142857146</v>
      </c>
      <c r="I5" s="50">
        <f t="shared" si="0"/>
        <v>6824.9102142857146</v>
      </c>
      <c r="J5" s="50">
        <f t="shared" si="0"/>
        <v>6824.9102142857155</v>
      </c>
      <c r="K5" s="50">
        <f t="shared" si="0"/>
        <v>6824.9102142857164</v>
      </c>
      <c r="L5" s="50">
        <f t="shared" si="0"/>
        <v>6824.9102142857173</v>
      </c>
      <c r="M5" s="50">
        <f t="shared" si="0"/>
        <v>6824.9102142857173</v>
      </c>
      <c r="N5" s="50">
        <f t="shared" si="0"/>
        <v>6824.9102142857182</v>
      </c>
      <c r="O5" s="50">
        <f t="shared" si="0"/>
        <v>6824.9102142857182</v>
      </c>
      <c r="P5" s="50">
        <f t="shared" si="0"/>
        <v>6824.9102142857182</v>
      </c>
      <c r="Q5" s="50">
        <f t="shared" si="0"/>
        <v>6824.9102142857173</v>
      </c>
      <c r="R5" s="50">
        <f t="shared" si="0"/>
        <v>6824.9102142857173</v>
      </c>
      <c r="S5" s="50">
        <f t="shared" si="0"/>
        <v>6824.9102142857182</v>
      </c>
      <c r="T5" s="50">
        <f t="shared" si="0"/>
        <v>6824.9102142857191</v>
      </c>
      <c r="U5" s="50">
        <f t="shared" si="0"/>
        <v>6824.9102142857191</v>
      </c>
      <c r="V5" s="50">
        <f t="shared" si="0"/>
        <v>6824.91021428572</v>
      </c>
      <c r="W5" s="50">
        <f t="shared" si="0"/>
        <v>6824.9102142857191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'Water Heater Stock'!B6/Lifetime</f>
        <v>6824.9102142857137</v>
      </c>
      <c r="D6" s="34">
        <f>'Water Heater Stock'!C6/Lifetime</f>
        <v>6658.2912454190446</v>
      </c>
      <c r="E6" s="34">
        <f>'Water Heater Stock'!D6/Lifetime</f>
        <v>6503.0489054587424</v>
      </c>
      <c r="F6" s="34">
        <f>'Water Heater Stock'!E6/Lifetime</f>
        <v>6358.3085718602651</v>
      </c>
      <c r="G6" s="34">
        <f>'Water Heater Stock'!F6/Lifetime</f>
        <v>6223.215771870081</v>
      </c>
      <c r="H6" s="34">
        <f>'Water Heater Stock'!G6/Lifetime</f>
        <v>6096.9172357959624</v>
      </c>
      <c r="I6" s="34">
        <f>'Water Heater Stock'!H6/Lifetime</f>
        <v>5978.5404412143325</v>
      </c>
      <c r="J6" s="34">
        <f>'Water Heater Stock'!I6/Lifetime</f>
        <v>5867.173290939435</v>
      </c>
      <c r="K6" s="34">
        <f>'Water Heater Stock'!J6/Lifetime</f>
        <v>5761.846404266943</v>
      </c>
      <c r="L6" s="34">
        <f>'Water Heater Stock'!K6/Lifetime</f>
        <v>5661.5212093479404</v>
      </c>
      <c r="M6" s="34">
        <f>'Water Heater Stock'!L6/Lifetime</f>
        <v>5565.0873649137993</v>
      </c>
      <c r="N6" s="34">
        <f>'Water Heater Stock'!M6/Lifetime</f>
        <v>5471.3727371879404</v>
      </c>
      <c r="O6" s="34">
        <f>'Water Heater Stock'!N6/Lifetime</f>
        <v>5379.1679850337796</v>
      </c>
      <c r="P6" s="34">
        <f>'Water Heater Stock'!O6/Lifetime</f>
        <v>5287.2657125099049</v>
      </c>
      <c r="Q6" s="34">
        <f>'Water Heater Stock'!P6/Lifetime</f>
        <v>5194.5113910764785</v>
      </c>
      <c r="R6" s="34">
        <f>'Water Heater Stock'!Q6/Lifetime</f>
        <v>5099.8604455405075</v>
      </c>
      <c r="S6" s="34">
        <f>'Water Heater Stock'!R6/Lifetime</f>
        <v>5002.4338759977181</v>
      </c>
      <c r="T6" s="34">
        <f>'Water Heater Stock'!S6/Lifetime</f>
        <v>4901.5643097469492</v>
      </c>
      <c r="U6" s="34">
        <f>'Water Heater Stock'!T6/Lifetime</f>
        <v>4796.8257620117947</v>
      </c>
      <c r="V6" s="34">
        <f>'Water Heater Stock'!U6/Lifetime</f>
        <v>4688.0433139196375</v>
      </c>
      <c r="W6" s="34">
        <f>'Water Heater Stock'!V6/Lifetime</f>
        <v>4575.2825359423514</v>
      </c>
    </row>
    <row r="7" spans="1:23">
      <c r="A7" s="9" t="str">
        <f>+'Water Heater Stock'!A7</f>
        <v>HPWH</v>
      </c>
      <c r="B7" s="34">
        <v>0</v>
      </c>
      <c r="C7" s="34">
        <f>'Water Heater Stock'!B7/Lifetime</f>
        <v>0</v>
      </c>
      <c r="D7" s="34">
        <f>'Water Heater Stock'!C7/Lifetime</f>
        <v>4.8538997090375936E-2</v>
      </c>
      <c r="E7" s="34">
        <f>'Water Heater Stock'!D7/Lifetime</f>
        <v>0.1419857306615091</v>
      </c>
      <c r="F7" s="34">
        <f>'Water Heater Stock'!E7/Lifetime</f>
        <v>0.31580445715951549</v>
      </c>
      <c r="G7" s="34">
        <f>'Water Heater Stock'!F7/Lifetime</f>
        <v>0.62641263911572709</v>
      </c>
      <c r="H7" s="34">
        <f>'Water Heater Stock'!G7/Lifetime</f>
        <v>1.1592340901913682</v>
      </c>
      <c r="I7" s="34">
        <f>'Water Heater Stock'!H7/Lifetime</f>
        <v>2.0376391244538148</v>
      </c>
      <c r="J7" s="34">
        <f>'Water Heater Stock'!I7/Lifetime</f>
        <v>3.4318236755901026</v>
      </c>
      <c r="K7" s="34">
        <f>'Water Heater Stock'!J7/Lifetime</f>
        <v>5.5662327714714452</v>
      </c>
      <c r="L7" s="34">
        <f>'Water Heater Stock'!K7/Lifetime</f>
        <v>8.72376944959586</v>
      </c>
      <c r="M7" s="34">
        <f>'Water Heater Stock'!L7/Lifetime</f>
        <v>13.244879212930149</v>
      </c>
      <c r="N7" s="34">
        <f>'Water Heater Stock'!M7/Lifetime</f>
        <v>19.519808946564599</v>
      </c>
      <c r="O7" s="34">
        <f>'Water Heater Stock'!N7/Lifetime</f>
        <v>27.973023811601603</v>
      </c>
      <c r="P7" s="34">
        <f>'Water Heater Stock'!O7/Lifetime</f>
        <v>39.039940954818967</v>
      </c>
      <c r="Q7" s="34">
        <f>'Water Heater Stock'!P7/Lifetime</f>
        <v>53.137649882310996</v>
      </c>
      <c r="R7" s="34">
        <f>'Water Heater Stock'!Q7/Lifetime</f>
        <v>70.632792004675437</v>
      </c>
      <c r="S7" s="34">
        <f>'Water Heater Stock'!R7/Lifetime</f>
        <v>91.810809249137407</v>
      </c>
      <c r="T7" s="34">
        <f>'Water Heater Stock'!S7/Lifetime</f>
        <v>116.85094418130861</v>
      </c>
      <c r="U7" s="34">
        <f>'Water Heater Stock'!T7/Lifetime</f>
        <v>145.8105315125778</v>
      </c>
      <c r="V7" s="34">
        <f>'Water Heater Stock'!U7/Lifetime</f>
        <v>178.62046245237482</v>
      </c>
      <c r="W7" s="34">
        <f>'Water Heater Stock'!V7/Lifetime</f>
        <v>215.09171169822463</v>
      </c>
    </row>
    <row r="8" spans="1:23">
      <c r="A8" s="9" t="str">
        <f>+'Water Heater Stock'!A8</f>
        <v>Gas Tank</v>
      </c>
      <c r="B8" s="34">
        <v>0</v>
      </c>
      <c r="C8" s="34">
        <f>'Water Heater Stock'!B8/Lifetime</f>
        <v>0</v>
      </c>
      <c r="D8" s="34">
        <f>'Water Heater Stock'!C8/Lifetime</f>
        <v>166.48876305406799</v>
      </c>
      <c r="E8" s="34">
        <f>'Water Heater Stock'!D8/Lifetime</f>
        <v>321.47940622379701</v>
      </c>
      <c r="F8" s="34">
        <f>'Water Heater Stock'!E8/Lifetime</f>
        <v>465.7496362410842</v>
      </c>
      <c r="G8" s="34">
        <f>'Water Heater Stock'!F8/Lifetime</f>
        <v>599.99892446694685</v>
      </c>
      <c r="H8" s="34">
        <f>'Water Heater Stock'!G8/Lifetime</f>
        <v>724.84454607142868</v>
      </c>
      <c r="I8" s="34">
        <f>'Water Heater Stock'!H8/Lifetime</f>
        <v>840.81622866755799</v>
      </c>
      <c r="J8" s="34">
        <f>'Water Heater Stock'!I8/Lifetime</f>
        <v>948.35029954719414</v>
      </c>
      <c r="K8" s="34">
        <f>'Water Heater Stock'!J8/Lifetime</f>
        <v>1047.7846879630445</v>
      </c>
      <c r="L8" s="34">
        <f>'Water Heater Stock'!K8/Lifetime</f>
        <v>1139.3565491953705</v>
      </c>
      <c r="M8" s="34">
        <f>'Water Heater Stock'!L8/Lifetime</f>
        <v>1223.2044987725076</v>
      </c>
      <c r="N8" s="34">
        <f>'Water Heater Stock'!M8/Lifetime</f>
        <v>1299.3773233447282</v>
      </c>
      <c r="O8" s="34">
        <f>'Water Heater Stock'!N8/Lifetime</f>
        <v>1367.8504354698453</v>
      </c>
      <c r="P8" s="34">
        <f>'Water Heater Stock'!O8/Lifetime</f>
        <v>1428.550221810782</v>
      </c>
      <c r="Q8" s="34">
        <f>'Water Heater Stock'!P8/Lifetime</f>
        <v>1481.3849249783586</v>
      </c>
      <c r="R8" s="34">
        <f>'Water Heater Stock'!Q8/Lifetime</f>
        <v>1526.2791241138098</v>
      </c>
      <c r="S8" s="34">
        <f>'Water Heater Stock'!R8/Lifetime</f>
        <v>1563.2076986297827</v>
      </c>
      <c r="T8" s="34">
        <f>'Water Heater Stock'!S8/Lifetime</f>
        <v>1592.2248034862114</v>
      </c>
      <c r="U8" s="34">
        <f>'Water Heater Stock'!T8/Lifetime</f>
        <v>1613.4840535338124</v>
      </c>
      <c r="V8" s="34">
        <f>'Water Heater Stock'!U8/Lifetime</f>
        <v>1627.2476603167427</v>
      </c>
      <c r="W8" s="34">
        <f>'Water Heater Stock'!V8/Lifetime</f>
        <v>1633.8842345960693</v>
      </c>
    </row>
    <row r="9" spans="1:23">
      <c r="A9" s="9" t="str">
        <f>+'Water Heater Stock'!A9</f>
        <v>Instant Gas</v>
      </c>
      <c r="B9" s="34">
        <v>0</v>
      </c>
      <c r="C9" s="34">
        <f>'Water Heater Stock'!B9/Lifetime</f>
        <v>0</v>
      </c>
      <c r="D9" s="34">
        <f>'Water Heater Stock'!C9/Lifetime</f>
        <v>1.6111719926009769E-2</v>
      </c>
      <c r="E9" s="34">
        <f>'Water Heater Stock'!D9/Lifetime</f>
        <v>4.7382122798455897E-2</v>
      </c>
      <c r="F9" s="34">
        <f>'Water Heater Stock'!E9/Lifetime</f>
        <v>0.10602286652531141</v>
      </c>
      <c r="G9" s="34">
        <f>'Water Heater Stock'!F9/Lifetime</f>
        <v>0.21166611472840893</v>
      </c>
      <c r="H9" s="34">
        <f>'Water Heater Stock'!G9/Lifetime</f>
        <v>0.39436297563542894</v>
      </c>
      <c r="I9" s="34">
        <f>'Water Heater Stock'!H9/Lifetime</f>
        <v>0.69800770894304498</v>
      </c>
      <c r="J9" s="34">
        <f>'Water Heater Stock'!I9/Lifetime</f>
        <v>1.1838770958494518</v>
      </c>
      <c r="K9" s="34">
        <f>'Water Heater Stock'!J9/Lifetime</f>
        <v>1.9337999039889213</v>
      </c>
      <c r="L9" s="34">
        <f>'Water Heater Stock'!K9/Lifetime</f>
        <v>3.0523151017722725</v>
      </c>
      <c r="M9" s="34">
        <f>'Water Heater Stock'!L9/Lifetime</f>
        <v>4.6670876646748463</v>
      </c>
      <c r="N9" s="34">
        <f>'Water Heater Stock'!M9/Lifetime</f>
        <v>6.9268851517777899</v>
      </c>
      <c r="O9" s="34">
        <f>'Water Heater Stock'!N9/Lifetime</f>
        <v>9.9966278567880433</v>
      </c>
      <c r="P9" s="34">
        <f>'Water Heater Stock'!O9/Lifetime</f>
        <v>14.049428398577053</v>
      </c>
      <c r="Q9" s="34">
        <f>'Water Heater Stock'!P9/Lifetime</f>
        <v>19.256089825399986</v>
      </c>
      <c r="R9" s="34">
        <f>'Water Heater Stock'!Q9/Lifetime</f>
        <v>25.77311739733404</v>
      </c>
      <c r="S9" s="34">
        <f>'Water Heater Stock'!R9/Lifetime</f>
        <v>33.730748928770815</v>
      </c>
      <c r="T9" s="34">
        <f>'Water Heater Stock'!S9/Lifetime</f>
        <v>43.222660504544542</v>
      </c>
      <c r="U9" s="34">
        <f>'Water Heater Stock'!T9/Lifetime</f>
        <v>54.29877900618937</v>
      </c>
      <c r="V9" s="34">
        <f>'Water Heater Stock'!U9/Lifetime</f>
        <v>66.962078666413078</v>
      </c>
      <c r="W9" s="34">
        <f>'Water Heater Stock'!V9/Lifetime</f>
        <v>81.16951834327061</v>
      </c>
    </row>
    <row r="10" spans="1:23">
      <c r="A10" s="9" t="str">
        <f>+'Water Heater Stock'!A10</f>
        <v>Condensing Gas</v>
      </c>
      <c r="B10" s="34">
        <v>0</v>
      </c>
      <c r="C10" s="34">
        <f>'Water Heater Stock'!B10/Lifetime</f>
        <v>0</v>
      </c>
      <c r="D10" s="34">
        <f>'Water Heater Stock'!C10/Lifetime</f>
        <v>6.555509558458586E-2</v>
      </c>
      <c r="E10" s="34">
        <f>'Water Heater Stock'!D10/Lifetime</f>
        <v>0.19253474971405468</v>
      </c>
      <c r="F10" s="34">
        <f>'Water Heater Stock'!E10/Lifetime</f>
        <v>0.43017886068007244</v>
      </c>
      <c r="G10" s="34">
        <f>'Water Heater Stock'!F10/Lifetime</f>
        <v>0.85743919484279019</v>
      </c>
      <c r="H10" s="34">
        <f>'Water Heater Stock'!G10/Lifetime</f>
        <v>1.5948353524969197</v>
      </c>
      <c r="I10" s="34">
        <f>'Water Heater Stock'!H10/Lifetime</f>
        <v>2.8178975704276441</v>
      </c>
      <c r="J10" s="34">
        <f>'Water Heater Stock'!I10/Lifetime</f>
        <v>4.770923027646913</v>
      </c>
      <c r="K10" s="34">
        <f>'Water Heater Stock'!J10/Lifetime</f>
        <v>7.7790893802682177</v>
      </c>
      <c r="L10" s="34">
        <f>'Water Heater Stock'!K10/Lifetime</f>
        <v>12.256371191037962</v>
      </c>
      <c r="M10" s="34">
        <f>'Water Heater Stock'!L10/Lifetime</f>
        <v>18.706383721805867</v>
      </c>
      <c r="N10" s="34">
        <f>'Water Heater Stock'!M10/Lifetime</f>
        <v>27.713459654706924</v>
      </c>
      <c r="O10" s="34">
        <f>'Water Heater Stock'!N10/Lifetime</f>
        <v>39.922142113703835</v>
      </c>
      <c r="P10" s="34">
        <f>'Water Heater Stock'!O10/Lifetime</f>
        <v>56.004910611635005</v>
      </c>
      <c r="Q10" s="34">
        <f>'Water Heater Stock'!P10/Lifetime</f>
        <v>76.620158523169692</v>
      </c>
      <c r="R10" s="34">
        <f>'Water Heater Stock'!Q10/Lifetime</f>
        <v>102.36473522939141</v>
      </c>
      <c r="S10" s="34">
        <f>'Water Heater Stock'!R10/Lifetime</f>
        <v>133.72708148030992</v>
      </c>
      <c r="T10" s="34">
        <f>'Water Heater Stock'!S10/Lifetime</f>
        <v>171.04749636670584</v>
      </c>
      <c r="U10" s="34">
        <f>'Water Heater Stock'!T10/Lifetime</f>
        <v>214.49108822134482</v>
      </c>
      <c r="V10" s="34">
        <f>'Water Heater Stock'!U10/Lifetime</f>
        <v>264.03669893055184</v>
      </c>
      <c r="W10" s="34">
        <f>'Water Heater Stock'!V10/Lifetime</f>
        <v>319.48221370580364</v>
      </c>
    </row>
    <row r="12" spans="1:23">
      <c r="A12" s="12" t="s">
        <v>110</v>
      </c>
      <c r="D12" s="12"/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48</v>
      </c>
      <c r="B14" s="50">
        <f t="shared" ref="B14:W14" si="1">SUM(B15:B19)</f>
        <v>0</v>
      </c>
      <c r="C14" s="50">
        <f t="shared" si="1"/>
        <v>6824.9102142857137</v>
      </c>
      <c r="D14" s="50">
        <f t="shared" si="1"/>
        <v>6824.9102142857137</v>
      </c>
      <c r="E14" s="50">
        <f t="shared" si="1"/>
        <v>6824.9102142857137</v>
      </c>
      <c r="F14" s="50">
        <f t="shared" si="1"/>
        <v>6824.9102142857137</v>
      </c>
      <c r="G14" s="50">
        <f t="shared" si="1"/>
        <v>6824.9102142857137</v>
      </c>
      <c r="H14" s="50">
        <f t="shared" si="1"/>
        <v>6824.9102142857137</v>
      </c>
      <c r="I14" s="50">
        <f t="shared" si="1"/>
        <v>6824.9102142857137</v>
      </c>
      <c r="J14" s="50">
        <f t="shared" si="1"/>
        <v>6824.9102142857137</v>
      </c>
      <c r="K14" s="50">
        <f t="shared" si="1"/>
        <v>6824.9102142857137</v>
      </c>
      <c r="L14" s="50">
        <f t="shared" si="1"/>
        <v>6824.9102142857146</v>
      </c>
      <c r="M14" s="50">
        <f t="shared" si="1"/>
        <v>6824.9102142857146</v>
      </c>
      <c r="N14" s="50">
        <f t="shared" si="1"/>
        <v>6824.9102142857137</v>
      </c>
      <c r="O14" s="50">
        <f t="shared" si="1"/>
        <v>6824.9102142857146</v>
      </c>
      <c r="P14" s="50">
        <f t="shared" si="1"/>
        <v>6824.9102142857137</v>
      </c>
      <c r="Q14" s="50">
        <f t="shared" si="1"/>
        <v>6824.9102142857137</v>
      </c>
      <c r="R14" s="50">
        <f t="shared" si="1"/>
        <v>6824.9102142857155</v>
      </c>
      <c r="S14" s="50">
        <f t="shared" si="1"/>
        <v>6824.9102142857155</v>
      </c>
      <c r="T14" s="50">
        <f t="shared" si="1"/>
        <v>6824.9102142857137</v>
      </c>
      <c r="U14" s="50">
        <f t="shared" si="1"/>
        <v>6824.9102142857137</v>
      </c>
      <c r="V14" s="50">
        <f t="shared" si="1"/>
        <v>6824.9102142857137</v>
      </c>
      <c r="W14" s="50">
        <f t="shared" si="1"/>
        <v>6824.9102142857137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'Water Heater Stock'!B15/Lifetime</f>
        <v>6824.9102142857137</v>
      </c>
      <c r="D15" s="34">
        <f>'Water Heater Stock'!C15/Lifetime</f>
        <v>6337.4166275510197</v>
      </c>
      <c r="E15" s="34">
        <f>'Water Heater Stock'!D15/Lifetime</f>
        <v>5884.7440112973754</v>
      </c>
      <c r="F15" s="34">
        <f>'Water Heater Stock'!E15/Lifetime</f>
        <v>5464.4051533475631</v>
      </c>
      <c r="G15" s="34">
        <f>'Water Heater Stock'!F15/Lifetime</f>
        <v>5074.0904995370229</v>
      </c>
      <c r="H15" s="34">
        <f>'Water Heater Stock'!G15/Lifetime</f>
        <v>4711.6554638558073</v>
      </c>
      <c r="I15" s="34">
        <f>'Water Heater Stock'!H15/Lifetime</f>
        <v>4375.1086450089633</v>
      </c>
      <c r="J15" s="34">
        <f>'Water Heater Stock'!I15/Lifetime</f>
        <v>4062.6008846511804</v>
      </c>
      <c r="K15" s="34">
        <f>'Water Heater Stock'!J15/Lifetime</f>
        <v>3772.4151071760962</v>
      </c>
      <c r="L15" s="34">
        <f>'Water Heater Stock'!K15/Lifetime</f>
        <v>3502.9568852349466</v>
      </c>
      <c r="M15" s="34">
        <f>'Water Heater Stock'!L15/Lifetime</f>
        <v>3252.7456791467362</v>
      </c>
      <c r="N15" s="34">
        <f>'Water Heater Stock'!M15/Lifetime</f>
        <v>3020.4067020648263</v>
      </c>
      <c r="O15" s="34">
        <f>'Water Heater Stock'!N15/Lifetime</f>
        <v>2804.6633662030531</v>
      </c>
      <c r="P15" s="34">
        <f>'Water Heater Stock'!O15/Lifetime</f>
        <v>2604.3302686171205</v>
      </c>
      <c r="Q15" s="34">
        <f>'Water Heater Stock'!P15/Lifetime</f>
        <v>2418.306678001612</v>
      </c>
      <c r="R15" s="34">
        <f>'Water Heater Stock'!Q15/Lifetime</f>
        <v>2245.5704867157824</v>
      </c>
      <c r="S15" s="34">
        <f>'Water Heater Stock'!R15/Lifetime</f>
        <v>2085.1725948075123</v>
      </c>
      <c r="T15" s="34">
        <f>'Water Heater Stock'!S15/Lifetime</f>
        <v>1936.2316951784044</v>
      </c>
      <c r="U15" s="34">
        <f>'Water Heater Stock'!T15/Lifetime</f>
        <v>1797.9294312370896</v>
      </c>
      <c r="V15" s="34">
        <f>'Water Heater Stock'!U15/Lifetime</f>
        <v>1669.5059004344403</v>
      </c>
      <c r="W15" s="34">
        <f>'Water Heater Stock'!V15/Lifetime</f>
        <v>1550.2554789748374</v>
      </c>
    </row>
    <row r="16" spans="1:23">
      <c r="A16" s="9" t="str">
        <f>+'Water Heater Stock'!A16</f>
        <v>HPWH</v>
      </c>
      <c r="B16" s="34">
        <v>0</v>
      </c>
      <c r="C16" s="34">
        <f>'Water Heater Stock'!B16/Lifetime</f>
        <v>0</v>
      </c>
      <c r="D16" s="34">
        <f>'Water Heater Stock'!C16/Lifetime</f>
        <v>0</v>
      </c>
      <c r="E16" s="34">
        <f>'Water Heater Stock'!D16/Lifetime</f>
        <v>0</v>
      </c>
      <c r="F16" s="34">
        <f>'Water Heater Stock'!E16/Lifetime</f>
        <v>0</v>
      </c>
      <c r="G16" s="34">
        <f>'Water Heater Stock'!F16/Lifetime</f>
        <v>0</v>
      </c>
      <c r="H16" s="34">
        <f>'Water Heater Stock'!G16/Lifetime</f>
        <v>0</v>
      </c>
      <c r="I16" s="34">
        <f>'Water Heater Stock'!H16/Lifetime</f>
        <v>0</v>
      </c>
      <c r="J16" s="34">
        <f>'Water Heater Stock'!I16/Lifetime</f>
        <v>0</v>
      </c>
      <c r="K16" s="34">
        <f>'Water Heater Stock'!J16/Lifetime</f>
        <v>0</v>
      </c>
      <c r="L16" s="34">
        <f>'Water Heater Stock'!K16/Lifetime</f>
        <v>0</v>
      </c>
      <c r="M16" s="34">
        <f>'Water Heater Stock'!L16/Lifetime</f>
        <v>0</v>
      </c>
      <c r="N16" s="34">
        <f>'Water Heater Stock'!M16/Lifetime</f>
        <v>0</v>
      </c>
      <c r="O16" s="34">
        <f>'Water Heater Stock'!N16/Lifetime</f>
        <v>0</v>
      </c>
      <c r="P16" s="34">
        <f>'Water Heater Stock'!O16/Lifetime</f>
        <v>0</v>
      </c>
      <c r="Q16" s="34">
        <f>'Water Heater Stock'!P16/Lifetime</f>
        <v>0</v>
      </c>
      <c r="R16" s="34">
        <f>'Water Heater Stock'!Q16/Lifetime</f>
        <v>0</v>
      </c>
      <c r="S16" s="34">
        <f>'Water Heater Stock'!R16/Lifetime</f>
        <v>0</v>
      </c>
      <c r="T16" s="34">
        <f>'Water Heater Stock'!S16/Lifetime</f>
        <v>0</v>
      </c>
      <c r="U16" s="34">
        <f>'Water Heater Stock'!T16/Lifetime</f>
        <v>0</v>
      </c>
      <c r="V16" s="34">
        <f>'Water Heater Stock'!U16/Lifetime</f>
        <v>0</v>
      </c>
      <c r="W16" s="34">
        <f>'Water Heater Stock'!V16/Lifetime</f>
        <v>0</v>
      </c>
    </row>
    <row r="17" spans="1:23">
      <c r="A17" s="9" t="str">
        <f>+'Water Heater Stock'!A17</f>
        <v>Gas Tank</v>
      </c>
      <c r="B17" s="34">
        <v>0</v>
      </c>
      <c r="C17" s="34">
        <f>'Water Heater Stock'!B17/Lifetime</f>
        <v>0</v>
      </c>
      <c r="D17" s="34">
        <f>'Water Heater Stock'!C17/Lifetime</f>
        <v>487.49358673469385</v>
      </c>
      <c r="E17" s="34">
        <f>'Water Heater Stock'!D17/Lifetime</f>
        <v>940.16620298833811</v>
      </c>
      <c r="F17" s="34">
        <f>'Water Heater Stock'!E17/Lifetime</f>
        <v>1360.5050609381506</v>
      </c>
      <c r="G17" s="34">
        <f>'Water Heater Stock'!F17/Lifetime</f>
        <v>1750.819714748691</v>
      </c>
      <c r="H17" s="34">
        <f>'Water Heater Stock'!G17/Lifetime</f>
        <v>2113.2547504299068</v>
      </c>
      <c r="I17" s="34">
        <f>'Water Heater Stock'!H17/Lifetime</f>
        <v>2449.8015692767503</v>
      </c>
      <c r="J17" s="34">
        <f>'Water Heater Stock'!I17/Lifetime</f>
        <v>2762.3093296345332</v>
      </c>
      <c r="K17" s="34">
        <f>'Water Heater Stock'!J17/Lifetime</f>
        <v>3052.4951071096179</v>
      </c>
      <c r="L17" s="34">
        <f>'Water Heater Stock'!K17/Lifetime</f>
        <v>3321.9533290507679</v>
      </c>
      <c r="M17" s="34">
        <f>'Water Heater Stock'!L17/Lifetime</f>
        <v>3572.1645351389784</v>
      </c>
      <c r="N17" s="34">
        <f>'Water Heater Stock'!M17/Lifetime</f>
        <v>3804.5035122208878</v>
      </c>
      <c r="O17" s="34">
        <f>'Water Heater Stock'!N17/Lifetime</f>
        <v>4020.2468480826615</v>
      </c>
      <c r="P17" s="34">
        <f>'Water Heater Stock'!O17/Lifetime</f>
        <v>4220.5799456685936</v>
      </c>
      <c r="Q17" s="34">
        <f>'Water Heater Stock'!P17/Lifetime</f>
        <v>4406.6035362841021</v>
      </c>
      <c r="R17" s="34">
        <f>'Water Heater Stock'!Q17/Lifetime</f>
        <v>4579.3397275699326</v>
      </c>
      <c r="S17" s="34">
        <f>'Water Heater Stock'!R17/Lifetime</f>
        <v>4739.7376194782028</v>
      </c>
      <c r="T17" s="34">
        <f>'Water Heater Stock'!S17/Lifetime</f>
        <v>4888.6785191073095</v>
      </c>
      <c r="U17" s="34">
        <f>'Water Heater Stock'!T17/Lifetime</f>
        <v>5026.9807830486243</v>
      </c>
      <c r="V17" s="34">
        <f>'Water Heater Stock'!U17/Lifetime</f>
        <v>5155.4043138512734</v>
      </c>
      <c r="W17" s="34">
        <f>'Water Heater Stock'!V17/Lifetime</f>
        <v>5274.6547353108763</v>
      </c>
    </row>
    <row r="18" spans="1:23">
      <c r="A18" s="9" t="str">
        <f>+'Water Heater Stock'!A18</f>
        <v>Instant Gas</v>
      </c>
      <c r="B18" s="34">
        <v>0</v>
      </c>
      <c r="C18" s="34">
        <f>'Water Heater Stock'!B18/Lifetime</f>
        <v>0</v>
      </c>
      <c r="D18" s="34">
        <f>'Water Heater Stock'!C18/Lifetime</f>
        <v>0</v>
      </c>
      <c r="E18" s="34">
        <f>'Water Heater Stock'!D18/Lifetime</f>
        <v>0</v>
      </c>
      <c r="F18" s="34">
        <f>'Water Heater Stock'!E18/Lifetime</f>
        <v>0</v>
      </c>
      <c r="G18" s="34">
        <f>'Water Heater Stock'!F18/Lifetime</f>
        <v>0</v>
      </c>
      <c r="H18" s="34">
        <f>'Water Heater Stock'!G18/Lifetime</f>
        <v>0</v>
      </c>
      <c r="I18" s="34">
        <f>'Water Heater Stock'!H18/Lifetime</f>
        <v>0</v>
      </c>
      <c r="J18" s="34">
        <f>'Water Heater Stock'!I18/Lifetime</f>
        <v>0</v>
      </c>
      <c r="K18" s="34">
        <f>'Water Heater Stock'!J18/Lifetime</f>
        <v>0</v>
      </c>
      <c r="L18" s="34">
        <f>'Water Heater Stock'!K18/Lifetime</f>
        <v>0</v>
      </c>
      <c r="M18" s="34">
        <f>'Water Heater Stock'!L18/Lifetime</f>
        <v>0</v>
      </c>
      <c r="N18" s="34">
        <f>'Water Heater Stock'!M18/Lifetime</f>
        <v>0</v>
      </c>
      <c r="O18" s="34">
        <f>'Water Heater Stock'!N18/Lifetime</f>
        <v>0</v>
      </c>
      <c r="P18" s="34">
        <f>'Water Heater Stock'!O18/Lifetime</f>
        <v>0</v>
      </c>
      <c r="Q18" s="34">
        <f>'Water Heater Stock'!P18/Lifetime</f>
        <v>0</v>
      </c>
      <c r="R18" s="34">
        <f>'Water Heater Stock'!Q18/Lifetime</f>
        <v>0</v>
      </c>
      <c r="S18" s="34">
        <f>'Water Heater Stock'!R18/Lifetime</f>
        <v>0</v>
      </c>
      <c r="T18" s="34">
        <f>'Water Heater Stock'!S18/Lifetime</f>
        <v>0</v>
      </c>
      <c r="U18" s="34">
        <f>'Water Heater Stock'!T18/Lifetime</f>
        <v>0</v>
      </c>
      <c r="V18" s="34">
        <f>'Water Heater Stock'!U18/Lifetime</f>
        <v>0</v>
      </c>
      <c r="W18" s="34">
        <f>'Water Heater Stock'!V18/Lifetime</f>
        <v>0</v>
      </c>
    </row>
    <row r="19" spans="1:23">
      <c r="A19" s="9" t="str">
        <f>+'Water Heater Stock'!A19</f>
        <v>Condensing Gas</v>
      </c>
      <c r="B19" s="34">
        <v>0</v>
      </c>
      <c r="C19" s="34">
        <f>'Water Heater Stock'!B19/Lifetime</f>
        <v>0</v>
      </c>
      <c r="D19" s="34">
        <f>'Water Heater Stock'!C19/Lifetime</f>
        <v>0</v>
      </c>
      <c r="E19" s="34">
        <f>'Water Heater Stock'!D19/Lifetime</f>
        <v>0</v>
      </c>
      <c r="F19" s="34">
        <f>'Water Heater Stock'!E19/Lifetime</f>
        <v>0</v>
      </c>
      <c r="G19" s="34">
        <f>'Water Heater Stock'!F19/Lifetime</f>
        <v>0</v>
      </c>
      <c r="H19" s="34">
        <f>'Water Heater Stock'!G19/Lifetime</f>
        <v>0</v>
      </c>
      <c r="I19" s="34">
        <f>'Water Heater Stock'!H19/Lifetime</f>
        <v>0</v>
      </c>
      <c r="J19" s="34">
        <f>'Water Heater Stock'!I19/Lifetime</f>
        <v>0</v>
      </c>
      <c r="K19" s="34">
        <f>'Water Heater Stock'!J19/Lifetime</f>
        <v>0</v>
      </c>
      <c r="L19" s="34">
        <f>'Water Heater Stock'!K19/Lifetime</f>
        <v>0</v>
      </c>
      <c r="M19" s="34">
        <f>'Water Heater Stock'!L19/Lifetime</f>
        <v>0</v>
      </c>
      <c r="N19" s="34">
        <f>'Water Heater Stock'!M19/Lifetime</f>
        <v>0</v>
      </c>
      <c r="O19" s="34">
        <f>'Water Heater Stock'!N19/Lifetime</f>
        <v>0</v>
      </c>
      <c r="P19" s="34">
        <f>'Water Heater Stock'!O19/Lifetime</f>
        <v>0</v>
      </c>
      <c r="Q19" s="34">
        <f>'Water Heater Stock'!P19/Lifetime</f>
        <v>0</v>
      </c>
      <c r="R19" s="34">
        <f>'Water Heater Stock'!Q19/Lifetime</f>
        <v>0</v>
      </c>
      <c r="S19" s="34">
        <f>'Water Heater Stock'!R19/Lifetime</f>
        <v>0</v>
      </c>
      <c r="T19" s="34">
        <f>'Water Heater Stock'!S19/Lifetime</f>
        <v>0</v>
      </c>
      <c r="U19" s="34">
        <f>'Water Heater Stock'!T19/Lifetime</f>
        <v>0</v>
      </c>
      <c r="V19" s="34">
        <f>'Water Heater Stock'!U19/Lifetime</f>
        <v>0</v>
      </c>
      <c r="W19" s="34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>
      <c r="A3" s="12" t="s">
        <v>107</v>
      </c>
    </row>
    <row r="4" spans="1:23">
      <c r="A4" s="39" t="str">
        <f>'Device Energy Use'!A4</f>
        <v>Water Heat Ending</v>
      </c>
      <c r="B4" s="40">
        <f>+'Water Heater Stock'!B4</f>
        <v>2014</v>
      </c>
      <c r="C4" s="40">
        <f>+'Water Heater Stock'!C4</f>
        <v>2015</v>
      </c>
      <c r="D4" s="40">
        <f>+'Water Heater Stock'!D4</f>
        <v>2016</v>
      </c>
      <c r="E4" s="40">
        <f>+'Water Heater Stock'!E4</f>
        <v>2017</v>
      </c>
      <c r="F4" s="40">
        <f>+'Water Heater Stock'!F4</f>
        <v>2018</v>
      </c>
      <c r="G4" s="40">
        <f>+'Water Heater Stock'!G4</f>
        <v>2019</v>
      </c>
      <c r="H4" s="40">
        <f>+'Water Heater Stock'!H4</f>
        <v>2020</v>
      </c>
      <c r="I4" s="40">
        <f>+'Water Heater Stock'!I4</f>
        <v>2021</v>
      </c>
      <c r="J4" s="40">
        <f>+'Water Heater Stock'!J4</f>
        <v>2022</v>
      </c>
      <c r="K4" s="40">
        <f>+'Water Heater Stock'!K4</f>
        <v>2023</v>
      </c>
      <c r="L4" s="40">
        <f>+'Water Heater Stock'!L4</f>
        <v>2024</v>
      </c>
      <c r="M4" s="40">
        <f>+'Water Heater Stock'!M4</f>
        <v>2025</v>
      </c>
      <c r="N4" s="40">
        <f>+'Water Heater Stock'!N4</f>
        <v>2026</v>
      </c>
      <c r="O4" s="40">
        <f>+'Water Heater Stock'!O4</f>
        <v>2027</v>
      </c>
      <c r="P4" s="40">
        <f>+'Water Heater Stock'!P4</f>
        <v>2028</v>
      </c>
      <c r="Q4" s="40">
        <f>+'Water Heater Stock'!Q4</f>
        <v>2029</v>
      </c>
      <c r="R4" s="40">
        <f>+'Water Heater Stock'!R4</f>
        <v>2030</v>
      </c>
      <c r="S4" s="40">
        <f>+'Water Heater Stock'!S4</f>
        <v>2031</v>
      </c>
      <c r="T4" s="40">
        <f>+'Water Heater Stock'!T4</f>
        <v>2032</v>
      </c>
      <c r="U4" s="40">
        <f>+'Water Heater Stock'!U4</f>
        <v>2033</v>
      </c>
      <c r="V4" s="40">
        <f>+'Water Heater Stock'!V4</f>
        <v>2034</v>
      </c>
      <c r="W4" s="40">
        <f>+'Water Heater Stock'!W4</f>
        <v>2035</v>
      </c>
    </row>
    <row r="5" spans="1:23" s="29" customFormat="1" ht="16.5" thickBot="1">
      <c r="A5" s="49" t="s">
        <v>48</v>
      </c>
      <c r="B5" s="50">
        <f t="shared" ref="B5:W5" si="0">SUM(B6:B10)</f>
        <v>0</v>
      </c>
      <c r="C5" s="50">
        <f t="shared" ref="C5" si="1">SUM(C6:C10)</f>
        <v>6824.9102142857137</v>
      </c>
      <c r="D5" s="50">
        <f t="shared" si="0"/>
        <v>6824.9102142857109</v>
      </c>
      <c r="E5" s="50">
        <f t="shared" si="0"/>
        <v>6824.9102142857146</v>
      </c>
      <c r="F5" s="50">
        <f t="shared" si="0"/>
        <v>6824.9102142857146</v>
      </c>
      <c r="G5" s="50">
        <f t="shared" si="0"/>
        <v>6824.9102142857146</v>
      </c>
      <c r="H5" s="50">
        <f t="shared" si="0"/>
        <v>6824.9102142857146</v>
      </c>
      <c r="I5" s="50">
        <f t="shared" si="0"/>
        <v>6824.9102142857137</v>
      </c>
      <c r="J5" s="50">
        <f t="shared" si="0"/>
        <v>6824.9102142857146</v>
      </c>
      <c r="K5" s="50">
        <f t="shared" si="0"/>
        <v>6824.9102142857164</v>
      </c>
      <c r="L5" s="50">
        <f t="shared" si="0"/>
        <v>6824.9102142857182</v>
      </c>
      <c r="M5" s="50">
        <f t="shared" si="0"/>
        <v>6824.9102142857164</v>
      </c>
      <c r="N5" s="50">
        <f t="shared" si="0"/>
        <v>6824.9102142857155</v>
      </c>
      <c r="O5" s="50">
        <f t="shared" si="0"/>
        <v>6824.9102142857173</v>
      </c>
      <c r="P5" s="50">
        <f t="shared" si="0"/>
        <v>6824.9102142857182</v>
      </c>
      <c r="Q5" s="50">
        <f t="shared" si="0"/>
        <v>6824.9102142857173</v>
      </c>
      <c r="R5" s="50">
        <f t="shared" si="0"/>
        <v>6824.9102142857182</v>
      </c>
      <c r="S5" s="50">
        <f t="shared" si="0"/>
        <v>6824.9102142857182</v>
      </c>
      <c r="T5" s="50">
        <f t="shared" si="0"/>
        <v>6824.9102142857191</v>
      </c>
      <c r="U5" s="50">
        <f t="shared" si="0"/>
        <v>6824.9102142857182</v>
      </c>
      <c r="V5" s="50">
        <f t="shared" si="0"/>
        <v>6824.91021428572</v>
      </c>
      <c r="W5" s="50">
        <f t="shared" si="0"/>
        <v>6824.9102142857182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SUM('Water Heaters Retired'!C$6:C$10)*'Marginal Market Share'!C5</f>
        <v>4492.2446501523482</v>
      </c>
      <c r="D6" s="34">
        <f>SUM('Water Heaters Retired'!D$6:D$10)*'Marginal Market Share'!D5</f>
        <v>4484.8984859748134</v>
      </c>
      <c r="E6" s="34">
        <f>SUM('Water Heaters Retired'!E$6:E$10)*'Marginal Market Share'!E5</f>
        <v>4476.6842350800516</v>
      </c>
      <c r="F6" s="34">
        <f>SUM('Water Heaters Retired'!F$6:F$10)*'Marginal Market Share'!F5</f>
        <v>4467.0093719976803</v>
      </c>
      <c r="G6" s="34">
        <f>SUM('Water Heaters Retired'!G$6:G$10)*'Marginal Market Share'!G5</f>
        <v>4455.0362668324196</v>
      </c>
      <c r="H6" s="34">
        <f>SUM('Water Heaters Retired'!H$6:H$10)*'Marginal Market Share'!H5</f>
        <v>4439.6421116531419</v>
      </c>
      <c r="I6" s="34">
        <f>SUM('Water Heaters Retired'!I$6:I$10)*'Marginal Market Share'!I5</f>
        <v>4419.4003373657597</v>
      </c>
      <c r="J6" s="34">
        <f>SUM('Water Heaters Retired'!J$6:J$10)*'Marginal Market Share'!J5</f>
        <v>4392.596877524541</v>
      </c>
      <c r="K6" s="34">
        <f>SUM('Water Heaters Retired'!K$6:K$10)*'Marginal Market Share'!K5</f>
        <v>4357.2936754008924</v>
      </c>
      <c r="L6" s="34">
        <f>SUM('Water Heaters Retired'!L$6:L$10)*'Marginal Market Share'!L5</f>
        <v>4311.4473872699546</v>
      </c>
      <c r="M6" s="34">
        <f>SUM('Water Heaters Retired'!M$6:M$10)*'Marginal Market Share'!M5</f>
        <v>4253.0825767517717</v>
      </c>
      <c r="N6" s="34">
        <f>SUM('Water Heaters Retired'!N$6:N$10)*'Marginal Market Share'!N5</f>
        <v>4180.5062070296817</v>
      </c>
      <c r="O6" s="34">
        <f>SUM('Water Heaters Retired'!O$6:O$10)*'Marginal Market Share'!O5</f>
        <v>4092.5361696995387</v>
      </c>
      <c r="P6" s="34">
        <f>SUM('Water Heaters Retired'!P$6:P$10)*'Marginal Market Share'!P5</f>
        <v>3988.7052124419356</v>
      </c>
      <c r="Q6" s="34">
        <f>SUM('Water Heaters Retired'!Q$6:Q$10)*'Marginal Market Share'!Q5</f>
        <v>3869.3981535728776</v>
      </c>
      <c r="R6" s="34">
        <f>SUM('Water Heaters Retired'!R$6:R$10)*'Marginal Market Share'!R5</f>
        <v>3735.8884719414441</v>
      </c>
      <c r="S6" s="34">
        <f>SUM('Water Heaters Retired'!S$6:S$10)*'Marginal Market Share'!S5</f>
        <v>3590.2599484869434</v>
      </c>
      <c r="T6" s="34">
        <f>SUM('Water Heaters Retired'!T$6:T$10)*'Marginal Market Share'!T5</f>
        <v>3435.2246414547926</v>
      </c>
      <c r="U6" s="34">
        <f>SUM('Water Heaters Retired'!U$6:U$10)*'Marginal Market Share'!U5</f>
        <v>3273.8714887215847</v>
      </c>
      <c r="V6" s="34">
        <f>SUM('Water Heaters Retired'!V$6:V$10)*'Marginal Market Share'!V5</f>
        <v>3109.3924222376368</v>
      </c>
      <c r="W6" s="34">
        <f>SUM('Water Heaters Retired'!W$6:W$10)*'Marginal Market Share'!W5</f>
        <v>2944.8317660160233</v>
      </c>
    </row>
    <row r="7" spans="1:23">
      <c r="A7" s="9" t="str">
        <f>+'Water Heater Stock'!A7</f>
        <v>HPWH</v>
      </c>
      <c r="B7" s="34">
        <v>0</v>
      </c>
      <c r="C7" s="34">
        <f>SUM('Water Heaters Retired'!C$6:C$10)*'Marginal Market Share'!C6</f>
        <v>0.67954595926526307</v>
      </c>
      <c r="D7" s="34">
        <f>SUM('Water Heaters Retired'!D$6:D$10)*'Marginal Market Share'!D6</f>
        <v>1.3567932670862404</v>
      </c>
      <c r="E7" s="34">
        <f>SUM('Water Heaters Retired'!E$6:E$10)*'Marginal Market Share'!E6</f>
        <v>2.5754479016335985</v>
      </c>
      <c r="F7" s="34">
        <f>SUM('Water Heaters Retired'!F$6:F$10)*'Marginal Market Share'!F6</f>
        <v>4.6643190045464795</v>
      </c>
      <c r="G7" s="34">
        <f>SUM('Water Heaters Retired'!G$6:G$10)*'Marginal Market Share'!G6</f>
        <v>8.0859129541747006</v>
      </c>
      <c r="H7" s="34">
        <f>SUM('Water Heaters Retired'!H$6:H$10)*'Marginal Market Share'!H6</f>
        <v>13.456904569865619</v>
      </c>
      <c r="I7" s="34">
        <f>SUM('Water Heaters Retired'!I$6:I$10)*'Marginal Market Share'!I6</f>
        <v>21.556222840361844</v>
      </c>
      <c r="J7" s="34">
        <f>SUM('Water Heaters Retired'!J$6:J$10)*'Marginal Market Share'!J6</f>
        <v>33.313551017928894</v>
      </c>
      <c r="K7" s="34">
        <f>SUM('Water Heaters Retired'!K$6:K$10)*'Marginal Market Share'!K6</f>
        <v>49.771746265213253</v>
      </c>
      <c r="L7" s="34">
        <f>SUM('Water Heaters Retired'!L$6:L$10)*'Marginal Market Share'!L6</f>
        <v>72.019306136275915</v>
      </c>
      <c r="M7" s="34">
        <f>SUM('Water Heaters Retired'!M$6:M$10)*'Marginal Market Share'!M6</f>
        <v>101.0938954838124</v>
      </c>
      <c r="N7" s="34">
        <f>SUM('Water Heaters Retired'!N$6:N$10)*'Marginal Market Share'!N6</f>
        <v>137.86481705708272</v>
      </c>
      <c r="O7" s="34">
        <f>SUM('Water Heaters Retired'!O$6:O$10)*'Marginal Market Share'!O6</f>
        <v>182.90986381664467</v>
      </c>
      <c r="P7" s="34">
        <f>SUM('Water Heaters Retired'!P$6:P$10)*'Marginal Market Share'!P6</f>
        <v>236.40786593970742</v>
      </c>
      <c r="Q7" s="34">
        <f>SUM('Water Heaters Retired'!Q$6:Q$10)*'Marginal Market Share'!Q6</f>
        <v>298.06963959541315</v>
      </c>
      <c r="R7" s="34">
        <f>SUM('Water Heaters Retired'!R$6:R$10)*'Marginal Market Share'!R6</f>
        <v>367.12503342714314</v>
      </c>
      <c r="S7" s="34">
        <f>SUM('Water Heaters Retired'!S$6:S$10)*'Marginal Market Share'!S6</f>
        <v>442.37269829953436</v>
      </c>
      <c r="T7" s="34">
        <f>SUM('Water Heaters Retired'!T$6:T$10)*'Marginal Market Share'!T6</f>
        <v>522.28516681907718</v>
      </c>
      <c r="U7" s="34">
        <f>SUM('Water Heaters Retired'!U$6:U$10)*'Marginal Market Share'!U6</f>
        <v>605.14956466973661</v>
      </c>
      <c r="V7" s="34">
        <f>SUM('Water Heaters Retired'!V$6:V$10)*'Marginal Market Share'!V6</f>
        <v>689.21795189427201</v>
      </c>
      <c r="W7" s="34">
        <f>SUM('Water Heaters Retired'!W$6:W$10)*'Marginal Market Share'!W6</f>
        <v>772.84250039999768</v>
      </c>
    </row>
    <row r="8" spans="1:23">
      <c r="A8" s="9" t="str">
        <f>+'Water Heater Stock'!A8</f>
        <v>Gas Tank</v>
      </c>
      <c r="B8" s="34">
        <v>0</v>
      </c>
      <c r="C8" s="34">
        <f>SUM('Water Heaters Retired'!C$6:C$10)*'Marginal Market Share'!C7</f>
        <v>2330.8426827569519</v>
      </c>
      <c r="D8" s="34">
        <f>SUM('Water Heaters Retired'!D$6:D$10)*'Marginal Market Share'!D7</f>
        <v>2336.3577674302737</v>
      </c>
      <c r="E8" s="34">
        <f>SUM('Water Heaters Retired'!E$6:E$10)*'Marginal Market Share'!E7</f>
        <v>2341.2626264658174</v>
      </c>
      <c r="F8" s="34">
        <f>SUM('Water Heaters Retired'!F$6:F$10)*'Marginal Market Share'!F7</f>
        <v>2345.2396714031615</v>
      </c>
      <c r="G8" s="34">
        <f>SUM('Water Heaters Retired'!G$6:G$10)*'Marginal Market Share'!G7</f>
        <v>2347.8376269296932</v>
      </c>
      <c r="H8" s="34">
        <f>SUM('Water Heaters Retired'!H$6:H$10)*'Marginal Market Share'!H7</f>
        <v>2348.4481024172383</v>
      </c>
      <c r="I8" s="34">
        <f>SUM('Water Heaters Retired'!I$6:I$10)*'Marginal Market Share'!I7</f>
        <v>2346.2932209824621</v>
      </c>
      <c r="J8" s="34">
        <f>SUM('Water Heaters Retired'!J$6:J$10)*'Marginal Market Share'!J7</f>
        <v>2340.4317373690974</v>
      </c>
      <c r="K8" s="34">
        <f>SUM('Water Heaters Retired'!K$6:K$10)*'Marginal Market Share'!K7</f>
        <v>2329.7907452156105</v>
      </c>
      <c r="L8" s="34">
        <f>SUM('Water Heaters Retired'!L$6:L$10)*'Marginal Market Share'!L7</f>
        <v>2313.2278432752905</v>
      </c>
      <c r="M8" s="34">
        <f>SUM('Water Heaters Retired'!M$6:M$10)*'Marginal Market Share'!M7</f>
        <v>2289.6240427835969</v>
      </c>
      <c r="N8" s="34">
        <f>SUM('Water Heaters Retired'!N$6:N$10)*'Marginal Market Share'!N7</f>
        <v>2258.0008930963672</v>
      </c>
      <c r="O8" s="34">
        <f>SUM('Water Heaters Retired'!O$6:O$10)*'Marginal Market Share'!O7</f>
        <v>2217.6474442429599</v>
      </c>
      <c r="P8" s="34">
        <f>SUM('Water Heaters Retired'!P$6:P$10)*'Marginal Market Share'!P7</f>
        <v>2168.2360661568564</v>
      </c>
      <c r="Q8" s="34">
        <f>SUM('Water Heaters Retired'!Q$6:Q$10)*'Marginal Market Share'!Q7</f>
        <v>2109.9037128746759</v>
      </c>
      <c r="R8" s="34">
        <f>SUM('Water Heaters Retired'!R$6:R$10)*'Marginal Market Share'!R7</f>
        <v>2043.2791673374311</v>
      </c>
      <c r="S8" s="34">
        <f>SUM('Water Heaters Retired'!S$6:S$10)*'Marginal Market Share'!S7</f>
        <v>1969.4471666197846</v>
      </c>
      <c r="T8" s="34">
        <f>SUM('Water Heaters Retired'!T$6:T$10)*'Marginal Market Share'!T7</f>
        <v>1889.8543041526259</v>
      </c>
      <c r="U8" s="34">
        <f>SUM('Water Heaters Retired'!U$6:U$10)*'Marginal Market Share'!U7</f>
        <v>1806.1745484948326</v>
      </c>
      <c r="V8" s="34">
        <f>SUM('Water Heaters Retired'!V$6:V$10)*'Marginal Market Share'!V7</f>
        <v>1720.1597002273165</v>
      </c>
      <c r="W8" s="34">
        <f>SUM('Water Heaters Retired'!W$6:W$10)*'Marginal Market Share'!W7</f>
        <v>1633.5001168297567</v>
      </c>
    </row>
    <row r="9" spans="1:23">
      <c r="A9" s="9" t="str">
        <f>+'Water Heater Stock'!A9</f>
        <v>Instant Gas</v>
      </c>
      <c r="B9" s="34">
        <v>0</v>
      </c>
      <c r="C9" s="34">
        <f>SUM('Water Heaters Retired'!C$6:C$10)*'Marginal Market Share'!C8</f>
        <v>0.22556407896413677</v>
      </c>
      <c r="D9" s="34">
        <f>SUM('Water Heaters Retired'!D$6:D$10)*'Marginal Market Share'!D8</f>
        <v>0.45389736014025561</v>
      </c>
      <c r="E9" s="34">
        <f>SUM('Water Heaters Retired'!E$6:E$10)*'Marginal Market Share'!E8</f>
        <v>0.86835253497443299</v>
      </c>
      <c r="F9" s="34">
        <f>SUM('Water Heaters Retired'!F$6:F$10)*'Marginal Market Share'!F8</f>
        <v>1.585028341368677</v>
      </c>
      <c r="G9" s="34">
        <f>SUM('Water Heaters Retired'!G$6:G$10)*'Marginal Market Share'!G8</f>
        <v>2.769422167426689</v>
      </c>
      <c r="H9" s="34">
        <f>SUM('Water Heaters Retired'!H$6:H$10)*'Marginal Market Share'!H8</f>
        <v>4.6453892419420537</v>
      </c>
      <c r="I9" s="34">
        <f>SUM('Water Heaters Retired'!I$6:I$10)*'Marginal Market Share'!I8</f>
        <v>7.5001791256327417</v>
      </c>
      <c r="J9" s="34">
        <f>SUM('Water Heaters Retired'!J$6:J$10)*'Marginal Market Share'!J8</f>
        <v>11.682796409802023</v>
      </c>
      <c r="K9" s="34">
        <f>SUM('Water Heaters Retired'!K$6:K$10)*'Marginal Market Share'!K8</f>
        <v>17.59301267295584</v>
      </c>
      <c r="L9" s="34">
        <f>SUM('Water Heaters Retired'!L$6:L$10)*'Marginal Market Share'!L8</f>
        <v>25.6591309824083</v>
      </c>
      <c r="M9" s="34">
        <f>SUM('Water Heaters Retired'!M$6:M$10)*'Marginal Market Share'!M8</f>
        <v>36.304252484116049</v>
      </c>
      <c r="N9" s="34">
        <f>SUM('Water Heaters Retired'!N$6:N$10)*'Marginal Market Share'!N8</f>
        <v>49.903283021921354</v>
      </c>
      <c r="O9" s="34">
        <f>SUM('Water Heaters Retired'!O$6:O$10)*'Marginal Market Share'!O8</f>
        <v>66.735835441834169</v>
      </c>
      <c r="P9" s="34">
        <f>SUM('Water Heaters Retired'!P$6:P$10)*'Marginal Market Share'!P8</f>
        <v>86.94268837409814</v>
      </c>
      <c r="Q9" s="34">
        <f>SUM('Water Heaters Retired'!Q$6:Q$10)*'Marginal Market Share'!Q8</f>
        <v>110.49447583247678</v>
      </c>
      <c r="R9" s="34">
        <f>SUM('Water Heaters Retired'!R$6:R$10)*'Marginal Market Share'!R8</f>
        <v>137.17995883744888</v>
      </c>
      <c r="S9" s="34">
        <f>SUM('Water Heaters Retired'!S$6:S$10)*'Marginal Market Share'!S8</f>
        <v>166.61751098960301</v>
      </c>
      <c r="T9" s="34">
        <f>SUM('Water Heaters Retired'!T$6:T$10)*'Marginal Market Share'!T8</f>
        <v>198.28831952757213</v>
      </c>
      <c r="U9" s="34">
        <f>SUM('Water Heaters Retired'!U$6:U$10)*'Marginal Market Share'!U8</f>
        <v>231.58497424932131</v>
      </c>
      <c r="V9" s="34">
        <f>SUM('Water Heaters Retired'!V$6:V$10)*'Marginal Market Share'!V8</f>
        <v>265.86623414241836</v>
      </c>
      <c r="W9" s="34">
        <f>SUM('Water Heaters Retired'!W$6:W$10)*'Marginal Market Share'!W8</f>
        <v>300.50861402632876</v>
      </c>
    </row>
    <row r="10" spans="1:23">
      <c r="A10" s="9" t="str">
        <f>+'Water Heater Stock'!A10</f>
        <v>Condensing Gas</v>
      </c>
      <c r="B10" s="34">
        <v>0</v>
      </c>
      <c r="C10" s="34">
        <f>SUM('Water Heaters Retired'!C$6:C$10)*'Marginal Market Share'!C9</f>
        <v>0.91777133818420209</v>
      </c>
      <c r="D10" s="34">
        <f>SUM('Water Heaters Retired'!D$6:D$10)*'Marginal Market Share'!D9</f>
        <v>1.8432702533971494</v>
      </c>
      <c r="E10" s="34">
        <f>SUM('Water Heaters Retired'!E$6:E$10)*'Marginal Market Share'!E9</f>
        <v>3.5195523032383034</v>
      </c>
      <c r="F10" s="34">
        <f>SUM('Water Heaters Retired'!F$6:F$10)*'Marginal Market Share'!F9</f>
        <v>6.41182353895812</v>
      </c>
      <c r="G10" s="34">
        <f>SUM('Water Heaters Retired'!G$6:G$10)*'Marginal Market Share'!G9</f>
        <v>11.180985402000601</v>
      </c>
      <c r="H10" s="34">
        <f>SUM('Water Heaters Retired'!H$6:H$10)*'Marginal Market Share'!H9</f>
        <v>18.717706403527064</v>
      </c>
      <c r="I10" s="34">
        <f>SUM('Water Heaters Retired'!I$6:I$10)*'Marginal Market Share'!I9</f>
        <v>30.160253971497408</v>
      </c>
      <c r="J10" s="34">
        <f>SUM('Water Heaters Retired'!J$6:J$10)*'Marginal Market Share'!J9</f>
        <v>46.885251964345187</v>
      </c>
      <c r="K10" s="34">
        <f>SUM('Water Heaters Retired'!K$6:K$10)*'Marginal Market Share'!K9</f>
        <v>70.461034731044649</v>
      </c>
      <c r="L10" s="34">
        <f>SUM('Water Heaters Retired'!L$6:L$10)*'Marginal Market Share'!L9</f>
        <v>102.5565466217886</v>
      </c>
      <c r="M10" s="34">
        <f>SUM('Water Heaters Retired'!M$6:M$10)*'Marginal Market Share'!M9</f>
        <v>144.80544678242072</v>
      </c>
      <c r="N10" s="34">
        <f>SUM('Water Heaters Retired'!N$6:N$10)*'Marginal Market Share'!N9</f>
        <v>198.63501408066369</v>
      </c>
      <c r="O10" s="34">
        <f>SUM('Water Heaters Retired'!O$6:O$10)*'Marginal Market Share'!O9</f>
        <v>265.08090108474022</v>
      </c>
      <c r="P10" s="34">
        <f>SUM('Water Heaters Retired'!P$6:P$10)*'Marginal Market Share'!P9</f>
        <v>344.61838137312049</v>
      </c>
      <c r="Q10" s="34">
        <f>SUM('Water Heaters Retired'!Q$6:Q$10)*'Marginal Market Share'!Q9</f>
        <v>437.04423241027388</v>
      </c>
      <c r="R10" s="34">
        <f>SUM('Water Heaters Retired'!R$6:R$10)*'Marginal Market Share'!R9</f>
        <v>541.43758274225058</v>
      </c>
      <c r="S10" s="34">
        <f>SUM('Water Heaters Retired'!S$6:S$10)*'Marginal Market Share'!S9</f>
        <v>656.21288988985248</v>
      </c>
      <c r="T10" s="34">
        <f>SUM('Water Heaters Retired'!T$6:T$10)*'Marginal Market Share'!T9</f>
        <v>779.25778233165158</v>
      </c>
      <c r="U10" s="34">
        <f>SUM('Water Heaters Retired'!U$6:U$10)*'Marginal Market Share'!U9</f>
        <v>908.12963815024341</v>
      </c>
      <c r="V10" s="34">
        <f>SUM('Water Heaters Retired'!V$6:V$10)*'Marginal Market Share'!V9</f>
        <v>1040.2739057840765</v>
      </c>
      <c r="W10" s="34">
        <f>SUM('Water Heaters Retired'!W$6:W$10)*'Marginal Market Share'!W9</f>
        <v>1173.2272170136118</v>
      </c>
    </row>
    <row r="11" spans="1:23">
      <c r="D11" s="12"/>
    </row>
    <row r="12" spans="1:23">
      <c r="A12" s="12" t="s">
        <v>108</v>
      </c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48</v>
      </c>
      <c r="B14" s="50">
        <f t="shared" ref="B14:W14" si="2">SUM(B15:B19)</f>
        <v>0</v>
      </c>
      <c r="C14" s="50">
        <f t="shared" ref="C14" si="3">SUM(C15:C19)</f>
        <v>6824.9102142857137</v>
      </c>
      <c r="D14" s="50">
        <f t="shared" si="2"/>
        <v>6824.9102142857137</v>
      </c>
      <c r="E14" s="50">
        <f t="shared" si="2"/>
        <v>6824.9102142857137</v>
      </c>
      <c r="F14" s="50">
        <f t="shared" si="2"/>
        <v>6824.9102142857137</v>
      </c>
      <c r="G14" s="50">
        <f t="shared" si="2"/>
        <v>6824.9102142857137</v>
      </c>
      <c r="H14" s="50">
        <f t="shared" si="2"/>
        <v>6824.9102142857137</v>
      </c>
      <c r="I14" s="50">
        <f t="shared" si="2"/>
        <v>6824.9102142857137</v>
      </c>
      <c r="J14" s="50">
        <f t="shared" si="2"/>
        <v>6824.9102142857137</v>
      </c>
      <c r="K14" s="50">
        <f t="shared" si="2"/>
        <v>6824.9102142857137</v>
      </c>
      <c r="L14" s="50">
        <f t="shared" si="2"/>
        <v>6824.9102142857146</v>
      </c>
      <c r="M14" s="50">
        <f t="shared" si="2"/>
        <v>6824.9102142857146</v>
      </c>
      <c r="N14" s="50">
        <f t="shared" si="2"/>
        <v>6824.9102142857137</v>
      </c>
      <c r="O14" s="50">
        <f t="shared" si="2"/>
        <v>6824.9102142857146</v>
      </c>
      <c r="P14" s="50">
        <f t="shared" si="2"/>
        <v>6824.9102142857137</v>
      </c>
      <c r="Q14" s="50">
        <f t="shared" si="2"/>
        <v>6824.9102142857137</v>
      </c>
      <c r="R14" s="50">
        <f t="shared" si="2"/>
        <v>6824.9102142857155</v>
      </c>
      <c r="S14" s="50">
        <f t="shared" si="2"/>
        <v>6824.9102142857155</v>
      </c>
      <c r="T14" s="50">
        <f t="shared" si="2"/>
        <v>6824.9102142857137</v>
      </c>
      <c r="U14" s="50">
        <f t="shared" si="2"/>
        <v>6824.9102142857137</v>
      </c>
      <c r="V14" s="50">
        <f t="shared" si="2"/>
        <v>6824.9102142857137</v>
      </c>
      <c r="W14" s="50">
        <f t="shared" si="2"/>
        <v>6824.9102142857137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SUM('Water Heaters Retired'!C$15:C$19)*'Marginal Market Share'!C13</f>
        <v>0</v>
      </c>
      <c r="D15" s="34">
        <f>SUM('Water Heaters Retired'!D$15:D$19)*'Marginal Market Share'!D13</f>
        <v>0</v>
      </c>
      <c r="E15" s="34">
        <f>SUM('Water Heaters Retired'!E$15:E$19)*'Marginal Market Share'!E13</f>
        <v>0</v>
      </c>
      <c r="F15" s="34">
        <f>SUM('Water Heaters Retired'!F$15:F$19)*'Marginal Market Share'!F13</f>
        <v>0</v>
      </c>
      <c r="G15" s="34">
        <f>SUM('Water Heaters Retired'!G$15:G$19)*'Marginal Market Share'!G13</f>
        <v>0</v>
      </c>
      <c r="H15" s="34">
        <f>SUM('Water Heaters Retired'!H$15:H$19)*'Marginal Market Share'!H13</f>
        <v>0</v>
      </c>
      <c r="I15" s="34">
        <f>SUM('Water Heaters Retired'!I$15:I$19)*'Marginal Market Share'!I13</f>
        <v>0</v>
      </c>
      <c r="J15" s="34">
        <f>SUM('Water Heaters Retired'!J$15:J$19)*'Marginal Market Share'!J13</f>
        <v>0</v>
      </c>
      <c r="K15" s="34">
        <f>SUM('Water Heaters Retired'!K$15:K$19)*'Marginal Market Share'!K13</f>
        <v>0</v>
      </c>
      <c r="L15" s="34">
        <f>SUM('Water Heaters Retired'!L$15:L$19)*'Marginal Market Share'!L13</f>
        <v>0</v>
      </c>
      <c r="M15" s="34">
        <f>SUM('Water Heaters Retired'!M$15:M$19)*'Marginal Market Share'!M13</f>
        <v>0</v>
      </c>
      <c r="N15" s="34">
        <f>SUM('Water Heaters Retired'!N$15:N$19)*'Marginal Market Share'!N13</f>
        <v>0</v>
      </c>
      <c r="O15" s="34">
        <f>SUM('Water Heaters Retired'!O$15:O$19)*'Marginal Market Share'!O13</f>
        <v>0</v>
      </c>
      <c r="P15" s="34">
        <f>SUM('Water Heaters Retired'!P$15:P$19)*'Marginal Market Share'!P13</f>
        <v>0</v>
      </c>
      <c r="Q15" s="34">
        <f>SUM('Water Heaters Retired'!Q$15:Q$19)*'Marginal Market Share'!Q13</f>
        <v>0</v>
      </c>
      <c r="R15" s="34">
        <f>SUM('Water Heaters Retired'!R$15:R$19)*'Marginal Market Share'!R13</f>
        <v>0</v>
      </c>
      <c r="S15" s="34">
        <f>SUM('Water Heaters Retired'!S$15:S$19)*'Marginal Market Share'!S13</f>
        <v>0</v>
      </c>
      <c r="T15" s="34">
        <f>SUM('Water Heaters Retired'!T$15:T$19)*'Marginal Market Share'!T13</f>
        <v>0</v>
      </c>
      <c r="U15" s="34">
        <f>SUM('Water Heaters Retired'!U$15:U$19)*'Marginal Market Share'!U13</f>
        <v>0</v>
      </c>
      <c r="V15" s="34">
        <f>SUM('Water Heaters Retired'!V$15:V$19)*'Marginal Market Share'!V13</f>
        <v>0</v>
      </c>
      <c r="W15" s="34">
        <f>SUM('Water Heaters Retired'!W$15:W$19)*'Marginal Market Share'!W13</f>
        <v>0</v>
      </c>
    </row>
    <row r="16" spans="1:23">
      <c r="A16" s="9" t="str">
        <f>+'Water Heater Stock'!A16</f>
        <v>HPWH</v>
      </c>
      <c r="B16" s="34">
        <v>0</v>
      </c>
      <c r="C16" s="34">
        <f>SUM('Water Heaters Retired'!C$15:C$19)*'Marginal Market Share'!C14</f>
        <v>0</v>
      </c>
      <c r="D16" s="34">
        <f>SUM('Water Heaters Retired'!D$15:D$19)*'Marginal Market Share'!D14</f>
        <v>0</v>
      </c>
      <c r="E16" s="34">
        <f>SUM('Water Heaters Retired'!E$15:E$19)*'Marginal Market Share'!E14</f>
        <v>0</v>
      </c>
      <c r="F16" s="34">
        <f>SUM('Water Heaters Retired'!F$15:F$19)*'Marginal Market Share'!F14</f>
        <v>0</v>
      </c>
      <c r="G16" s="34">
        <f>SUM('Water Heaters Retired'!G$15:G$19)*'Marginal Market Share'!G14</f>
        <v>0</v>
      </c>
      <c r="H16" s="34">
        <f>SUM('Water Heaters Retired'!H$15:H$19)*'Marginal Market Share'!H14</f>
        <v>0</v>
      </c>
      <c r="I16" s="34">
        <f>SUM('Water Heaters Retired'!I$15:I$19)*'Marginal Market Share'!I14</f>
        <v>0</v>
      </c>
      <c r="J16" s="34">
        <f>SUM('Water Heaters Retired'!J$15:J$19)*'Marginal Market Share'!J14</f>
        <v>0</v>
      </c>
      <c r="K16" s="34">
        <f>SUM('Water Heaters Retired'!K$15:K$19)*'Marginal Market Share'!K14</f>
        <v>0</v>
      </c>
      <c r="L16" s="34">
        <f>SUM('Water Heaters Retired'!L$15:L$19)*'Marginal Market Share'!L14</f>
        <v>0</v>
      </c>
      <c r="M16" s="34">
        <f>SUM('Water Heaters Retired'!M$15:M$19)*'Marginal Market Share'!M14</f>
        <v>0</v>
      </c>
      <c r="N16" s="34">
        <f>SUM('Water Heaters Retired'!N$15:N$19)*'Marginal Market Share'!N14</f>
        <v>0</v>
      </c>
      <c r="O16" s="34">
        <f>SUM('Water Heaters Retired'!O$15:O$19)*'Marginal Market Share'!O14</f>
        <v>0</v>
      </c>
      <c r="P16" s="34">
        <f>SUM('Water Heaters Retired'!P$15:P$19)*'Marginal Market Share'!P14</f>
        <v>0</v>
      </c>
      <c r="Q16" s="34">
        <f>SUM('Water Heaters Retired'!Q$15:Q$19)*'Marginal Market Share'!Q14</f>
        <v>0</v>
      </c>
      <c r="R16" s="34">
        <f>SUM('Water Heaters Retired'!R$15:R$19)*'Marginal Market Share'!R14</f>
        <v>0</v>
      </c>
      <c r="S16" s="34">
        <f>SUM('Water Heaters Retired'!S$15:S$19)*'Marginal Market Share'!S14</f>
        <v>0</v>
      </c>
      <c r="T16" s="34">
        <f>SUM('Water Heaters Retired'!T$15:T$19)*'Marginal Market Share'!T14</f>
        <v>0</v>
      </c>
      <c r="U16" s="34">
        <f>SUM('Water Heaters Retired'!U$15:U$19)*'Marginal Market Share'!U14</f>
        <v>0</v>
      </c>
      <c r="V16" s="34">
        <f>SUM('Water Heaters Retired'!V$15:V$19)*'Marginal Market Share'!V14</f>
        <v>0</v>
      </c>
      <c r="W16" s="34">
        <f>SUM('Water Heaters Retired'!W$15:W$19)*'Marginal Market Share'!W14</f>
        <v>0</v>
      </c>
    </row>
    <row r="17" spans="1:23">
      <c r="A17" s="9" t="str">
        <f>+'Water Heater Stock'!A17</f>
        <v>Gas Tank</v>
      </c>
      <c r="B17" s="34">
        <v>0</v>
      </c>
      <c r="C17" s="34">
        <f>SUM('Water Heaters Retired'!C$15:C$19)*'Marginal Market Share'!C15</f>
        <v>6824.9102142857137</v>
      </c>
      <c r="D17" s="34">
        <f>SUM('Water Heaters Retired'!D$15:D$19)*'Marginal Market Share'!D15</f>
        <v>6824.9102142857137</v>
      </c>
      <c r="E17" s="34">
        <f>SUM('Water Heaters Retired'!E$15:E$19)*'Marginal Market Share'!E15</f>
        <v>6824.9102142857137</v>
      </c>
      <c r="F17" s="34">
        <f>SUM('Water Heaters Retired'!F$15:F$19)*'Marginal Market Share'!F15</f>
        <v>6824.9102142857137</v>
      </c>
      <c r="G17" s="34">
        <f>SUM('Water Heaters Retired'!G$15:G$19)*'Marginal Market Share'!G15</f>
        <v>6824.9102142857137</v>
      </c>
      <c r="H17" s="34">
        <f>SUM('Water Heaters Retired'!H$15:H$19)*'Marginal Market Share'!H15</f>
        <v>6824.9102142857137</v>
      </c>
      <c r="I17" s="34">
        <f>SUM('Water Heaters Retired'!I$15:I$19)*'Marginal Market Share'!I15</f>
        <v>6824.9102142857137</v>
      </c>
      <c r="J17" s="34">
        <f>SUM('Water Heaters Retired'!J$15:J$19)*'Marginal Market Share'!J15</f>
        <v>6824.9102142857137</v>
      </c>
      <c r="K17" s="34">
        <f>SUM('Water Heaters Retired'!K$15:K$19)*'Marginal Market Share'!K15</f>
        <v>6824.9102142857137</v>
      </c>
      <c r="L17" s="34">
        <f>SUM('Water Heaters Retired'!L$15:L$19)*'Marginal Market Share'!L15</f>
        <v>6824.9102142857146</v>
      </c>
      <c r="M17" s="34">
        <f>SUM('Water Heaters Retired'!M$15:M$19)*'Marginal Market Share'!M15</f>
        <v>6824.9102142857146</v>
      </c>
      <c r="N17" s="34">
        <f>SUM('Water Heaters Retired'!N$15:N$19)*'Marginal Market Share'!N15</f>
        <v>6824.9102142857137</v>
      </c>
      <c r="O17" s="34">
        <f>SUM('Water Heaters Retired'!O$15:O$19)*'Marginal Market Share'!O15</f>
        <v>6824.9102142857146</v>
      </c>
      <c r="P17" s="34">
        <f>SUM('Water Heaters Retired'!P$15:P$19)*'Marginal Market Share'!P15</f>
        <v>6824.9102142857137</v>
      </c>
      <c r="Q17" s="34">
        <f>SUM('Water Heaters Retired'!Q$15:Q$19)*'Marginal Market Share'!Q15</f>
        <v>6824.9102142857137</v>
      </c>
      <c r="R17" s="34">
        <f>SUM('Water Heaters Retired'!R$15:R$19)*'Marginal Market Share'!R15</f>
        <v>6824.9102142857155</v>
      </c>
      <c r="S17" s="34">
        <f>SUM('Water Heaters Retired'!S$15:S$19)*'Marginal Market Share'!S15</f>
        <v>6824.9102142857155</v>
      </c>
      <c r="T17" s="34">
        <f>SUM('Water Heaters Retired'!T$15:T$19)*'Marginal Market Share'!T15</f>
        <v>6824.9102142857137</v>
      </c>
      <c r="U17" s="34">
        <f>SUM('Water Heaters Retired'!U$15:U$19)*'Marginal Market Share'!U15</f>
        <v>6824.9102142857137</v>
      </c>
      <c r="V17" s="34">
        <f>SUM('Water Heaters Retired'!V$15:V$19)*'Marginal Market Share'!V15</f>
        <v>6824.9102142857137</v>
      </c>
      <c r="W17" s="34">
        <f>SUM('Water Heaters Retired'!W$15:W$19)*'Marginal Market Share'!W15</f>
        <v>6824.9102142857137</v>
      </c>
    </row>
    <row r="18" spans="1:23">
      <c r="A18" s="9" t="str">
        <f>+'Water Heater Stock'!A18</f>
        <v>Instant Gas</v>
      </c>
      <c r="B18" s="34">
        <v>0</v>
      </c>
      <c r="C18" s="34">
        <f>SUM('Water Heaters Retired'!C$15:C$19)*'Marginal Market Share'!C16</f>
        <v>0</v>
      </c>
      <c r="D18" s="34">
        <f>SUM('Water Heaters Retired'!D$15:D$19)*'Marginal Market Share'!D16</f>
        <v>0</v>
      </c>
      <c r="E18" s="34">
        <f>SUM('Water Heaters Retired'!E$15:E$19)*'Marginal Market Share'!E16</f>
        <v>0</v>
      </c>
      <c r="F18" s="34">
        <f>SUM('Water Heaters Retired'!F$15:F$19)*'Marginal Market Share'!F16</f>
        <v>0</v>
      </c>
      <c r="G18" s="34">
        <f>SUM('Water Heaters Retired'!G$15:G$19)*'Marginal Market Share'!G16</f>
        <v>0</v>
      </c>
      <c r="H18" s="34">
        <f>SUM('Water Heaters Retired'!H$15:H$19)*'Marginal Market Share'!H16</f>
        <v>0</v>
      </c>
      <c r="I18" s="34">
        <f>SUM('Water Heaters Retired'!I$15:I$19)*'Marginal Market Share'!I16</f>
        <v>0</v>
      </c>
      <c r="J18" s="34">
        <f>SUM('Water Heaters Retired'!J$15:J$19)*'Marginal Market Share'!J16</f>
        <v>0</v>
      </c>
      <c r="K18" s="34">
        <f>SUM('Water Heaters Retired'!K$15:K$19)*'Marginal Market Share'!K16</f>
        <v>0</v>
      </c>
      <c r="L18" s="34">
        <f>SUM('Water Heaters Retired'!L$15:L$19)*'Marginal Market Share'!L16</f>
        <v>0</v>
      </c>
      <c r="M18" s="34">
        <f>SUM('Water Heaters Retired'!M$15:M$19)*'Marginal Market Share'!M16</f>
        <v>0</v>
      </c>
      <c r="N18" s="34">
        <f>SUM('Water Heaters Retired'!N$15:N$19)*'Marginal Market Share'!N16</f>
        <v>0</v>
      </c>
      <c r="O18" s="34">
        <f>SUM('Water Heaters Retired'!O$15:O$19)*'Marginal Market Share'!O16</f>
        <v>0</v>
      </c>
      <c r="P18" s="34">
        <f>SUM('Water Heaters Retired'!P$15:P$19)*'Marginal Market Share'!P16</f>
        <v>0</v>
      </c>
      <c r="Q18" s="34">
        <f>SUM('Water Heaters Retired'!Q$15:Q$19)*'Marginal Market Share'!Q16</f>
        <v>0</v>
      </c>
      <c r="R18" s="34">
        <f>SUM('Water Heaters Retired'!R$15:R$19)*'Marginal Market Share'!R16</f>
        <v>0</v>
      </c>
      <c r="S18" s="34">
        <f>SUM('Water Heaters Retired'!S$15:S$19)*'Marginal Market Share'!S16</f>
        <v>0</v>
      </c>
      <c r="T18" s="34">
        <f>SUM('Water Heaters Retired'!T$15:T$19)*'Marginal Market Share'!T16</f>
        <v>0</v>
      </c>
      <c r="U18" s="34">
        <f>SUM('Water Heaters Retired'!U$15:U$19)*'Marginal Market Share'!U16</f>
        <v>0</v>
      </c>
      <c r="V18" s="34">
        <f>SUM('Water Heaters Retired'!V$15:V$19)*'Marginal Market Share'!V16</f>
        <v>0</v>
      </c>
      <c r="W18" s="34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4">
        <v>0</v>
      </c>
      <c r="C19" s="34">
        <f>SUM('Water Heaters Retired'!C$15:C$19)*'Marginal Market Share'!C17</f>
        <v>0</v>
      </c>
      <c r="D19" s="34">
        <f>SUM('Water Heaters Retired'!D$15:D$19)*'Marginal Market Share'!D17</f>
        <v>0</v>
      </c>
      <c r="E19" s="34">
        <f>SUM('Water Heaters Retired'!E$15:E$19)*'Marginal Market Share'!E17</f>
        <v>0</v>
      </c>
      <c r="F19" s="34">
        <f>SUM('Water Heaters Retired'!F$15:F$19)*'Marginal Market Share'!F17</f>
        <v>0</v>
      </c>
      <c r="G19" s="34">
        <f>SUM('Water Heaters Retired'!G$15:G$19)*'Marginal Market Share'!G17</f>
        <v>0</v>
      </c>
      <c r="H19" s="34">
        <f>SUM('Water Heaters Retired'!H$15:H$19)*'Marginal Market Share'!H17</f>
        <v>0</v>
      </c>
      <c r="I19" s="34">
        <f>SUM('Water Heaters Retired'!I$15:I$19)*'Marginal Market Share'!I17</f>
        <v>0</v>
      </c>
      <c r="J19" s="34">
        <f>SUM('Water Heaters Retired'!J$15:J$19)*'Marginal Market Share'!J17</f>
        <v>0</v>
      </c>
      <c r="K19" s="34">
        <f>SUM('Water Heaters Retired'!K$15:K$19)*'Marginal Market Share'!K17</f>
        <v>0</v>
      </c>
      <c r="L19" s="34">
        <f>SUM('Water Heaters Retired'!L$15:L$19)*'Marginal Market Share'!L17</f>
        <v>0</v>
      </c>
      <c r="M19" s="34">
        <f>SUM('Water Heaters Retired'!M$15:M$19)*'Marginal Market Share'!M17</f>
        <v>0</v>
      </c>
      <c r="N19" s="34">
        <f>SUM('Water Heaters Retired'!N$15:N$19)*'Marginal Market Share'!N17</f>
        <v>0</v>
      </c>
      <c r="O19" s="34">
        <f>SUM('Water Heaters Retired'!O$15:O$19)*'Marginal Market Share'!O17</f>
        <v>0</v>
      </c>
      <c r="P19" s="34">
        <f>SUM('Water Heaters Retired'!P$15:P$19)*'Marginal Market Share'!P17</f>
        <v>0</v>
      </c>
      <c r="Q19" s="34">
        <f>SUM('Water Heaters Retired'!Q$15:Q$19)*'Marginal Market Share'!Q17</f>
        <v>0</v>
      </c>
      <c r="R19" s="34">
        <f>SUM('Water Heaters Retired'!R$15:R$19)*'Marginal Market Share'!R17</f>
        <v>0</v>
      </c>
      <c r="S19" s="34">
        <f>SUM('Water Heaters Retired'!S$15:S$19)*'Marginal Market Share'!S17</f>
        <v>0</v>
      </c>
      <c r="T19" s="34">
        <f>SUM('Water Heaters Retired'!T$15:T$19)*'Marginal Market Share'!T17</f>
        <v>0</v>
      </c>
      <c r="U19" s="34">
        <f>SUM('Water Heaters Retired'!U$15:U$19)*'Marginal Market Share'!U17</f>
        <v>0</v>
      </c>
      <c r="V19" s="34">
        <f>SUM('Water Heaters Retired'!V$15:V$19)*'Marginal Market Share'!V17</f>
        <v>0</v>
      </c>
      <c r="W19" s="34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 ht="18" customHeight="1">
      <c r="A3" s="43" t="s">
        <v>113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'Water Heater Stock'!B6/'Water Heater Stock'!B$5</f>
        <v>1</v>
      </c>
      <c r="C5" s="33">
        <f>'Water Heater Stock'!C6/'Water Heater Stock'!C$5</f>
        <v>0.97558664310075371</v>
      </c>
      <c r="D5" s="33">
        <f>'Water Heater Stock'!D6/'Water Heater Stock'!D$5</f>
        <v>0.95284021346489511</v>
      </c>
      <c r="E5" s="33">
        <f>'Water Heater Stock'!E6/'Water Heater Stock'!E$5</f>
        <v>0.93163255958316171</v>
      </c>
      <c r="F5" s="33">
        <f>'Water Heater Stock'!F6/'Water Heater Stock'!F$5</f>
        <v>0.91183848233546239</v>
      </c>
      <c r="G5" s="33">
        <f>'Water Heater Stock'!G6/'Water Heater Stock'!G$5</f>
        <v>0.89333295887674291</v>
      </c>
      <c r="H5" s="33">
        <f>'Water Heater Stock'!H6/'Water Heater Stock'!H$5</f>
        <v>0.87598814541182024</v>
      </c>
      <c r="I5" s="33">
        <f>'Water Heater Stock'!I6/'Water Heater Stock'!I$5</f>
        <v>0.85967039956927616</v>
      </c>
      <c r="J5" s="33">
        <f>'Water Heater Stock'!J6/'Water Heater Stock'!J$5</f>
        <v>0.84423768567774038</v>
      </c>
      <c r="K5" s="33">
        <f>'Water Heater Stock'!K6/'Water Heater Stock'!K$5</f>
        <v>0.82953783003582926</v>
      </c>
      <c r="L5" s="33">
        <f>'Water Heater Stock'!L6/'Water Heater Stock'!L$5</f>
        <v>0.81540814313792853</v>
      </c>
      <c r="M5" s="33">
        <f>'Water Heater Stock'!M6/'Water Heater Stock'!M$5</f>
        <v>0.80167688151199556</v>
      </c>
      <c r="N5" s="33">
        <f>'Water Heater Stock'!N6/'Water Heater Stock'!N$5</f>
        <v>0.78816684998642916</v>
      </c>
      <c r="O5" s="33">
        <f>'Water Heater Stock'!O6/'Water Heater Stock'!O$5</f>
        <v>0.77470113840365884</v>
      </c>
      <c r="P5" s="33">
        <f>'Water Heater Stock'!P6/'Water Heater Stock'!P$5</f>
        <v>0.76111058284744426</v>
      </c>
      <c r="Q5" s="33">
        <f>'Water Heater Stock'!Q6/'Water Heater Stock'!Q$5</f>
        <v>0.74724212999397666</v>
      </c>
      <c r="R5" s="33">
        <f>'Water Heater Stock'!R6/'Water Heater Stock'!R$5</f>
        <v>0.73296698695416651</v>
      </c>
      <c r="S5" s="33">
        <f>'Water Heater Stock'!S6/'Water Heater Stock'!S$5</f>
        <v>0.71818736889565615</v>
      </c>
      <c r="T5" s="33">
        <f>'Water Heater Stock'!T6/'Water Heater Stock'!T$5</f>
        <v>0.7028408596454806</v>
      </c>
      <c r="U5" s="33">
        <f>'Water Heater Stock'!U6/'Water Heater Stock'!U$5</f>
        <v>0.68690182972762792</v>
      </c>
      <c r="V5" s="33">
        <f>'Water Heater Stock'!V6/'Water Heater Stock'!V$5</f>
        <v>0.67037988666363579</v>
      </c>
      <c r="W5" s="33">
        <f>'Water Heater Stock'!W6/'Water Heater Stock'!W$5</f>
        <v>0.65331581319982968</v>
      </c>
    </row>
    <row r="6" spans="1:23">
      <c r="A6" s="9" t="str">
        <f>+'Device Energy Use'!A6</f>
        <v>HPWH</v>
      </c>
      <c r="B6" s="33">
        <f>'Water Heater Stock'!B7/'Water Heater Stock'!B$5</f>
        <v>0</v>
      </c>
      <c r="C6" s="33">
        <f>'Water Heater Stock'!C7/'Water Heater Stock'!C$5</f>
        <v>7.1120345273957518E-6</v>
      </c>
      <c r="D6" s="33">
        <f>'Water Heater Stock'!D7/'Water Heater Stock'!D$5</f>
        <v>2.0804043746144602E-5</v>
      </c>
      <c r="E6" s="33">
        <f>'Water Heater Stock'!E7/'Water Heater Stock'!E$5</f>
        <v>4.6272324066400505E-5</v>
      </c>
      <c r="F6" s="33">
        <f>'Water Heater Stock'!F7/'Water Heater Stock'!F$5</f>
        <v>9.1783279112527739E-5</v>
      </c>
      <c r="G6" s="33">
        <f>'Water Heater Stock'!G7/'Water Heater Stock'!G$5</f>
        <v>1.6985338323790563E-4</v>
      </c>
      <c r="H6" s="33">
        <f>'Water Heater Stock'!H7/'Water Heater Stock'!H$5</f>
        <v>2.9855911073946209E-4</v>
      </c>
      <c r="I6" s="33">
        <f>'Water Heater Stock'!I7/'Water Heater Stock'!I$5</f>
        <v>5.0283792282083115E-4</v>
      </c>
      <c r="J6" s="33">
        <f>'Water Heater Stock'!J7/'Water Heater Stock'!J$5</f>
        <v>8.1557597048241884E-4</v>
      </c>
      <c r="K6" s="33">
        <f>'Water Heater Stock'!K7/'Water Heater Stock'!K$5</f>
        <v>1.2782247935416795E-3</v>
      </c>
      <c r="L6" s="33">
        <f>'Water Heater Stock'!L7/'Water Heater Stock'!L$5</f>
        <v>1.9406671732041729E-3</v>
      </c>
      <c r="M6" s="33">
        <f>'Water Heater Stock'!M7/'Water Heater Stock'!M$5</f>
        <v>2.8600828924761909E-3</v>
      </c>
      <c r="N6" s="33">
        <f>'Water Heater Stock'!N7/'Water Heater Stock'!N$5</f>
        <v>4.0986654671367291E-3</v>
      </c>
      <c r="O6" s="33">
        <f>'Water Heater Stock'!O7/'Water Heater Stock'!O$5</f>
        <v>5.7202131206212231E-3</v>
      </c>
      <c r="P6" s="33">
        <f>'Water Heater Stock'!P7/'Water Heater Stock'!P$5</f>
        <v>7.7858386724391909E-3</v>
      </c>
      <c r="Q6" s="33">
        <f>'Water Heater Stock'!Q7/'Water Heater Stock'!Q$5</f>
        <v>1.0349263182514664E-2</v>
      </c>
      <c r="R6" s="33">
        <f>'Water Heater Stock'!R7/'Water Heater Stock'!R$5</f>
        <v>1.3452310194053761E-2</v>
      </c>
      <c r="S6" s="33">
        <f>'Water Heater Stock'!S7/'Water Heater Stock'!S$5</f>
        <v>1.7121242699533152E-2</v>
      </c>
      <c r="T6" s="33">
        <f>'Water Heater Stock'!T7/'Water Heater Stock'!T$5</f>
        <v>2.1364461499782241E-2</v>
      </c>
      <c r="U6" s="33">
        <f>'Water Heater Stock'!U7/'Water Heater Stock'!U$5</f>
        <v>2.6171840631469594E-2</v>
      </c>
      <c r="V6" s="33">
        <f>'Water Heater Stock'!V7/'Water Heater Stock'!V$5</f>
        <v>3.1515683715223154E-2</v>
      </c>
      <c r="W6" s="33">
        <f>'Water Heater Stock'!W7/'Water Heater Stock'!W$5</f>
        <v>3.7353026742349867E-2</v>
      </c>
    </row>
    <row r="7" spans="1:23">
      <c r="A7" s="9" t="str">
        <f>+'Device Energy Use'!A7</f>
        <v>Gas Tank</v>
      </c>
      <c r="B7" s="33">
        <f>'Water Heater Stock'!B8/'Water Heater Stock'!B$5</f>
        <v>0</v>
      </c>
      <c r="C7" s="33">
        <f>'Water Heater Stock'!C8/'Water Heater Stock'!C$5</f>
        <v>2.4394278873526909E-2</v>
      </c>
      <c r="D7" s="33">
        <f>'Water Heater Stock'!D8/'Water Heater Stock'!D$5</f>
        <v>4.7103829373591644E-2</v>
      </c>
      <c r="E7" s="33">
        <f>'Water Heater Stock'!E8/'Water Heater Stock'!E$5</f>
        <v>6.8242602703576946E-2</v>
      </c>
      <c r="F7" s="33">
        <f>'Water Heater Stock'!F8/'Water Heater Stock'!F$5</f>
        <v>8.7913086858057959E-2</v>
      </c>
      <c r="G7" s="33">
        <f>'Water Heater Stock'!G8/'Water Heater Stock'!G$5</f>
        <v>0.1062057262752269</v>
      </c>
      <c r="H7" s="33">
        <f>'Water Heater Stock'!H8/'Water Heater Stock'!H$5</f>
        <v>0.12319813774364159</v>
      </c>
      <c r="I7" s="33">
        <f>'Water Heater Stock'!I8/'Water Heater Stock'!I$5</f>
        <v>0.13895425284308255</v>
      </c>
      <c r="J7" s="33">
        <f>'Water Heater Stock'!J8/'Water Heater Stock'!J$5</f>
        <v>0.15352358566854846</v>
      </c>
      <c r="K7" s="33">
        <f>'Water Heater Stock'!K8/'Water Heater Stock'!K$5</f>
        <v>0.16694088470358193</v>
      </c>
      <c r="L7" s="33">
        <f>'Water Heater Stock'!L8/'Water Heater Stock'!L$5</f>
        <v>0.17922646018289426</v>
      </c>
      <c r="M7" s="33">
        <f>'Water Heater Stock'!M8/'Water Heater Stock'!M$5</f>
        <v>0.19038746042767077</v>
      </c>
      <c r="N7" s="33">
        <f>'Water Heater Stock'!N8/'Water Heater Stock'!N$5</f>
        <v>0.20042028283488589</v>
      </c>
      <c r="O7" s="33">
        <f>'Water Heater Stock'!O8/'Water Heater Stock'!O$5</f>
        <v>0.20931414142571125</v>
      </c>
      <c r="P7" s="33">
        <f>'Water Heater Stock'!P8/'Water Heater Stock'!P$5</f>
        <v>0.21705559171717215</v>
      </c>
      <c r="Q7" s="33">
        <f>'Water Heater Stock'!Q8/'Water Heater Stock'!Q$5</f>
        <v>0.22363358288861349</v>
      </c>
      <c r="R7" s="33">
        <f>'Water Heater Stock'!R8/'Water Heater Stock'!R$5</f>
        <v>0.22904443421947418</v>
      </c>
      <c r="S7" s="33">
        <f>'Water Heater Stock'!S8/'Water Heater Stock'!S$5</f>
        <v>0.23329608060680554</v>
      </c>
      <c r="T7" s="33">
        <f>'Water Heater Stock'!T8/'Water Heater Stock'!T$5</f>
        <v>0.23641103001714386</v>
      </c>
      <c r="U7" s="33">
        <f>'Water Heater Stock'!U8/'Water Heater Stock'!U$5</f>
        <v>0.23842770222978635</v>
      </c>
      <c r="V7" s="33">
        <f>'Water Heater Stock'!V8/'Water Heater Stock'!V$5</f>
        <v>0.23940010685797247</v>
      </c>
      <c r="W7" s="33">
        <f>'Water Heater Stock'!W8/'Water Heater Stock'!W$5</f>
        <v>0.23939608673427171</v>
      </c>
    </row>
    <row r="8" spans="1:23">
      <c r="A8" s="9" t="str">
        <f>+'Device Energy Use'!A8</f>
        <v>Instant Gas</v>
      </c>
      <c r="B8" s="33">
        <f>'Water Heater Stock'!B9/'Water Heater Stock'!B$5</f>
        <v>0</v>
      </c>
      <c r="C8" s="33">
        <f>'Water Heater Stock'!C9/'Water Heater Stock'!C$5</f>
        <v>2.3607226205386795E-6</v>
      </c>
      <c r="D8" s="33">
        <f>'Water Heater Stock'!D9/'Water Heater Stock'!D$5</f>
        <v>6.9425269066949702E-6</v>
      </c>
      <c r="E8" s="33">
        <f>'Water Heater Stock'!E9/'Water Heater Stock'!E$5</f>
        <v>1.5534690303088129E-5</v>
      </c>
      <c r="F8" s="33">
        <f>'Water Heater Stock'!F9/'Water Heater Stock'!F$5</f>
        <v>3.1013758142247098E-5</v>
      </c>
      <c r="G8" s="33">
        <f>'Water Heater Stock'!G9/'Water Heater Stock'!G$5</f>
        <v>5.7782881130063684E-5</v>
      </c>
      <c r="H8" s="33">
        <f>'Water Heater Stock'!H9/'Water Heater Stock'!H$5</f>
        <v>1.0227353723745614E-4</v>
      </c>
      <c r="I8" s="33">
        <f>'Water Heater Stock'!I9/'Water Heater Stock'!I$5</f>
        <v>1.7346412753846822E-4</v>
      </c>
      <c r="J8" s="33">
        <f>'Water Heater Stock'!J9/'Water Heater Stock'!J$5</f>
        <v>2.8334437278620082E-4</v>
      </c>
      <c r="K8" s="33">
        <f>'Water Heater Stock'!K9/'Water Heater Stock'!K$5</f>
        <v>4.472315394542846E-4</v>
      </c>
      <c r="L8" s="33">
        <f>'Water Heater Stock'!L9/'Water Heater Stock'!L$5</f>
        <v>6.8383136453660954E-4</v>
      </c>
      <c r="M8" s="33">
        <f>'Water Heater Stock'!M9/'Water Heater Stock'!M$5</f>
        <v>1.0149415793454133E-3</v>
      </c>
      <c r="N8" s="33">
        <f>'Water Heater Stock'!N9/'Water Heater Stock'!N$5</f>
        <v>1.4647266473723527E-3</v>
      </c>
      <c r="O8" s="33">
        <f>'Water Heater Stock'!O9/'Water Heater Stock'!O$5</f>
        <v>2.0585513885837165E-3</v>
      </c>
      <c r="P8" s="33">
        <f>'Water Heater Stock'!P9/'Water Heater Stock'!P$5</f>
        <v>2.8214422198688648E-3</v>
      </c>
      <c r="Q8" s="33">
        <f>'Water Heater Stock'!Q9/'Water Heater Stock'!Q$5</f>
        <v>3.7763306165385807E-3</v>
      </c>
      <c r="R8" s="33">
        <f>'Water Heater Stock'!R9/'Water Heater Stock'!R$5</f>
        <v>4.9422992932810338E-3</v>
      </c>
      <c r="S8" s="33">
        <f>'Water Heater Stock'!S9/'Water Heater Stock'!S$5</f>
        <v>6.3330738643377366E-3</v>
      </c>
      <c r="T8" s="33">
        <f>'Water Heater Stock'!T9/'Water Heater Stock'!T$5</f>
        <v>7.9559697199433673E-3</v>
      </c>
      <c r="U8" s="33">
        <f>'Water Heater Stock'!U9/'Water Heater Stock'!U$5</f>
        <v>9.8114226508430637E-3</v>
      </c>
      <c r="V8" s="33">
        <f>'Water Heater Stock'!V9/'Water Heater Stock'!V$5</f>
        <v>1.1893126179648302E-2</v>
      </c>
      <c r="W8" s="33">
        <f>'Water Heater Stock'!W9/'Water Heater Stock'!W$5</f>
        <v>1.4188698981511934E-2</v>
      </c>
    </row>
    <row r="9" spans="1:23">
      <c r="A9" s="9" t="str">
        <f>+'Device Energy Use'!A9</f>
        <v>Condensing Gas</v>
      </c>
      <c r="B9" s="33">
        <f>'Water Heater Stock'!B10/'Water Heater Stock'!B$5</f>
        <v>0</v>
      </c>
      <c r="C9" s="33">
        <f>'Water Heater Stock'!C10/'Water Heater Stock'!C$5</f>
        <v>9.6052685714997026E-6</v>
      </c>
      <c r="D9" s="33">
        <f>'Water Heater Stock'!D10/'Water Heater Stock'!D$5</f>
        <v>2.8210590860381763E-5</v>
      </c>
      <c r="E9" s="33">
        <f>'Water Heater Stock'!E10/'Water Heater Stock'!E$5</f>
        <v>6.3030698891779395E-5</v>
      </c>
      <c r="F9" s="33">
        <f>'Water Heater Stock'!F10/'Water Heater Stock'!F$5</f>
        <v>1.2563376922498148E-4</v>
      </c>
      <c r="G9" s="33">
        <f>'Water Heater Stock'!G10/'Water Heater Stock'!G$5</f>
        <v>2.3367858366233948E-4</v>
      </c>
      <c r="H9" s="33">
        <f>'Water Heater Stock'!H10/'Water Heater Stock'!H$5</f>
        <v>4.1288419656119405E-4</v>
      </c>
      <c r="I9" s="33">
        <f>'Water Heater Stock'!I10/'Water Heater Stock'!I$5</f>
        <v>6.990455372820212E-4</v>
      </c>
      <c r="J9" s="33">
        <f>'Water Heater Stock'!J10/'Water Heater Stock'!J$5</f>
        <v>1.1398083104427134E-3</v>
      </c>
      <c r="K9" s="33">
        <f>'Water Heater Stock'!K10/'Water Heater Stock'!K$5</f>
        <v>1.7958289275928144E-3</v>
      </c>
      <c r="L9" s="33">
        <f>'Water Heater Stock'!L10/'Water Heater Stock'!L$5</f>
        <v>2.7408981414363764E-3</v>
      </c>
      <c r="M9" s="33">
        <f>'Water Heater Stock'!M10/'Water Heater Stock'!M$5</f>
        <v>4.0606335885119563E-3</v>
      </c>
      <c r="N9" s="33">
        <f>'Water Heater Stock'!N10/'Water Heater Stock'!N$5</f>
        <v>5.8494750641759187E-3</v>
      </c>
      <c r="O9" s="33">
        <f>'Water Heater Stock'!O10/'Water Heater Stock'!O$5</f>
        <v>8.205955661424973E-3</v>
      </c>
      <c r="P9" s="33">
        <f>'Water Heater Stock'!P10/'Water Heater Stock'!P$5</f>
        <v>1.1226544543075517E-2</v>
      </c>
      <c r="Q9" s="33">
        <f>'Water Heater Stock'!Q10/'Water Heater Stock'!Q$5</f>
        <v>1.4998693318356675E-2</v>
      </c>
      <c r="R9" s="33">
        <f>'Water Heater Stock'!R10/'Water Heater Stock'!R$5</f>
        <v>1.9593969339024565E-2</v>
      </c>
      <c r="S9" s="33">
        <f>'Water Heater Stock'!S10/'Water Heater Stock'!S$5</f>
        <v>2.5062233933667553E-2</v>
      </c>
      <c r="T9" s="33">
        <f>'Water Heater Stock'!T10/'Water Heater Stock'!T$5</f>
        <v>3.1427679117650202E-2</v>
      </c>
      <c r="U9" s="33">
        <f>'Water Heater Stock'!U10/'Water Heater Stock'!U$5</f>
        <v>3.8687204760273229E-2</v>
      </c>
      <c r="V9" s="33">
        <f>'Water Heater Stock'!V10/'Water Heater Stock'!V$5</f>
        <v>4.6811196583520169E-2</v>
      </c>
      <c r="W9" s="33">
        <f>'Water Heater Stock'!W10/'Water Heater Stock'!W$5</f>
        <v>5.5746374342036657E-2</v>
      </c>
    </row>
    <row r="11" spans="1:23">
      <c r="A11" s="43" t="s">
        <v>114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f>'Water Heater Stock'!B15/'Water Heater Stock'!B$14</f>
        <v>1</v>
      </c>
      <c r="C13" s="33">
        <f>'Water Heater Stock'!C15/'Water Heater Stock'!C$14</f>
        <v>0.9285714285714286</v>
      </c>
      <c r="D13" s="33">
        <f>'Water Heater Stock'!D15/'Water Heater Stock'!D$14</f>
        <v>0.86224489795918358</v>
      </c>
      <c r="E13" s="33">
        <f>'Water Heater Stock'!E15/'Water Heater Stock'!E$14</f>
        <v>0.80065597667638488</v>
      </c>
      <c r="F13" s="33">
        <f>'Water Heater Stock'!F15/'Water Heater Stock'!F$14</f>
        <v>0.74346626405664318</v>
      </c>
      <c r="G13" s="33">
        <f>'Water Heater Stock'!G15/'Water Heater Stock'!G$14</f>
        <v>0.69036153090974006</v>
      </c>
      <c r="H13" s="33">
        <f>'Water Heater Stock'!H15/'Water Heater Stock'!H$14</f>
        <v>0.64104999298761578</v>
      </c>
      <c r="I13" s="33">
        <f>'Water Heater Stock'!I15/'Water Heater Stock'!I$14</f>
        <v>0.59526070777421458</v>
      </c>
      <c r="J13" s="33">
        <f>'Water Heater Stock'!J15/'Water Heater Stock'!J$14</f>
        <v>0.55274208579034212</v>
      </c>
      <c r="K13" s="33">
        <f>'Water Heater Stock'!K15/'Water Heater Stock'!K$14</f>
        <v>0.51326050823388902</v>
      </c>
      <c r="L13" s="33">
        <f>'Water Heater Stock'!L15/'Water Heater Stock'!L$14</f>
        <v>0.47659904336003983</v>
      </c>
      <c r="M13" s="33">
        <f>'Water Heater Stock'!M15/'Water Heater Stock'!M$14</f>
        <v>0.44255625454860842</v>
      </c>
      <c r="N13" s="33">
        <f>'Water Heater Stock'!N15/'Water Heater Stock'!N$14</f>
        <v>0.4109450935094221</v>
      </c>
      <c r="O13" s="33">
        <f>'Water Heater Stock'!O15/'Water Heater Stock'!O$14</f>
        <v>0.38159187254446342</v>
      </c>
      <c r="P13" s="33">
        <f>'Water Heater Stock'!P15/'Water Heater Stock'!P$14</f>
        <v>0.35433531021985887</v>
      </c>
      <c r="Q13" s="33">
        <f>'Water Heater Stock'!Q15/'Water Heater Stock'!Q$14</f>
        <v>0.32902564520415462</v>
      </c>
      <c r="R13" s="33">
        <f>'Water Heater Stock'!R15/'Water Heater Stock'!R$14</f>
        <v>0.30552381340385787</v>
      </c>
      <c r="S13" s="33">
        <f>'Water Heater Stock'!S15/'Water Heater Stock'!S$14</f>
        <v>0.28370068387501091</v>
      </c>
      <c r="T13" s="33">
        <f>'Water Heater Stock'!T15/'Water Heater Stock'!T$14</f>
        <v>0.26343634931251014</v>
      </c>
      <c r="U13" s="33">
        <f>'Water Heater Stock'!U15/'Water Heater Stock'!U$14</f>
        <v>0.24461946721875941</v>
      </c>
      <c r="V13" s="33">
        <f>'Water Heater Stock'!V15/'Water Heater Stock'!V$14</f>
        <v>0.22714664813170515</v>
      </c>
      <c r="W13" s="33">
        <f>'Water Heater Stock'!W15/'Water Heater Stock'!W$14</f>
        <v>0.2109218875508691</v>
      </c>
    </row>
    <row r="14" spans="1:23">
      <c r="A14" s="9" t="str">
        <f>+'Device Energy Use'!A6</f>
        <v>HPWH</v>
      </c>
      <c r="B14" s="33">
        <f>'Water Heater Stock'!B16/'Water Heater Stock'!B$14</f>
        <v>0</v>
      </c>
      <c r="C14" s="33">
        <f>'Water Heater Stock'!C16/'Water Heater Stock'!C$14</f>
        <v>0</v>
      </c>
      <c r="D14" s="33">
        <f>'Water Heater Stock'!D16/'Water Heater Stock'!D$14</f>
        <v>0</v>
      </c>
      <c r="E14" s="33">
        <f>'Water Heater Stock'!E16/'Water Heater Stock'!E$14</f>
        <v>0</v>
      </c>
      <c r="F14" s="33">
        <f>'Water Heater Stock'!F16/'Water Heater Stock'!F$14</f>
        <v>0</v>
      </c>
      <c r="G14" s="33">
        <f>'Water Heater Stock'!G16/'Water Heater Stock'!G$14</f>
        <v>0</v>
      </c>
      <c r="H14" s="33">
        <f>'Water Heater Stock'!H16/'Water Heater Stock'!H$14</f>
        <v>0</v>
      </c>
      <c r="I14" s="33">
        <f>'Water Heater Stock'!I16/'Water Heater Stock'!I$14</f>
        <v>0</v>
      </c>
      <c r="J14" s="33">
        <f>'Water Heater Stock'!J16/'Water Heater Stock'!J$14</f>
        <v>0</v>
      </c>
      <c r="K14" s="33">
        <f>'Water Heater Stock'!K16/'Water Heater Stock'!K$14</f>
        <v>0</v>
      </c>
      <c r="L14" s="33">
        <f>'Water Heater Stock'!L16/'Water Heater Stock'!L$14</f>
        <v>0</v>
      </c>
      <c r="M14" s="33">
        <f>'Water Heater Stock'!M16/'Water Heater Stock'!M$14</f>
        <v>0</v>
      </c>
      <c r="N14" s="33">
        <f>'Water Heater Stock'!N16/'Water Heater Stock'!N$14</f>
        <v>0</v>
      </c>
      <c r="O14" s="33">
        <f>'Water Heater Stock'!O16/'Water Heater Stock'!O$14</f>
        <v>0</v>
      </c>
      <c r="P14" s="33">
        <f>'Water Heater Stock'!P16/'Water Heater Stock'!P$14</f>
        <v>0</v>
      </c>
      <c r="Q14" s="33">
        <f>'Water Heater Stock'!Q16/'Water Heater Stock'!Q$14</f>
        <v>0</v>
      </c>
      <c r="R14" s="33">
        <f>'Water Heater Stock'!R16/'Water Heater Stock'!R$14</f>
        <v>0</v>
      </c>
      <c r="S14" s="33">
        <f>'Water Heater Stock'!S16/'Water Heater Stock'!S$14</f>
        <v>0</v>
      </c>
      <c r="T14" s="33">
        <f>'Water Heater Stock'!T16/'Water Heater Stock'!T$14</f>
        <v>0</v>
      </c>
      <c r="U14" s="33">
        <f>'Water Heater Stock'!U16/'Water Heater Stock'!U$14</f>
        <v>0</v>
      </c>
      <c r="V14" s="33">
        <f>'Water Heater Stock'!V16/'Water Heater Stock'!V$14</f>
        <v>0</v>
      </c>
      <c r="W14" s="33">
        <f>'Water Heater Stock'!W16/'Water Heater Stock'!W$14</f>
        <v>0</v>
      </c>
    </row>
    <row r="15" spans="1:23">
      <c r="A15" s="9" t="str">
        <f>+'Device Energy Use'!A7</f>
        <v>Gas Tank</v>
      </c>
      <c r="B15" s="33">
        <f>'Water Heater Stock'!B17/'Water Heater Stock'!B$14</f>
        <v>0</v>
      </c>
      <c r="C15" s="33">
        <f>'Water Heater Stock'!C17/'Water Heater Stock'!C$14</f>
        <v>7.1428571428571425E-2</v>
      </c>
      <c r="D15" s="33">
        <f>'Water Heater Stock'!D17/'Water Heater Stock'!D$14</f>
        <v>0.13775510204081634</v>
      </c>
      <c r="E15" s="33">
        <f>'Water Heater Stock'!E17/'Water Heater Stock'!E$14</f>
        <v>0.19934402332361514</v>
      </c>
      <c r="F15" s="33">
        <f>'Water Heater Stock'!F17/'Water Heater Stock'!F$14</f>
        <v>0.25653373594335693</v>
      </c>
      <c r="G15" s="33">
        <f>'Water Heater Stock'!G17/'Water Heater Stock'!G$14</f>
        <v>0.30963846909026005</v>
      </c>
      <c r="H15" s="33">
        <f>'Water Heater Stock'!H17/'Water Heater Stock'!H$14</f>
        <v>0.35895000701238433</v>
      </c>
      <c r="I15" s="33">
        <f>'Water Heater Stock'!I17/'Water Heater Stock'!I$14</f>
        <v>0.40473929222578547</v>
      </c>
      <c r="J15" s="33">
        <f>'Water Heater Stock'!J17/'Water Heater Stock'!J$14</f>
        <v>0.44725791420965794</v>
      </c>
      <c r="K15" s="33">
        <f>'Water Heater Stock'!K17/'Water Heater Stock'!K$14</f>
        <v>0.48673949176611092</v>
      </c>
      <c r="L15" s="33">
        <f>'Water Heater Stock'!L17/'Water Heater Stock'!L$14</f>
        <v>0.52340095663996011</v>
      </c>
      <c r="M15" s="33">
        <f>'Water Heater Stock'!M17/'Water Heater Stock'!M$14</f>
        <v>0.55744374545139153</v>
      </c>
      <c r="N15" s="33">
        <f>'Water Heater Stock'!N17/'Water Heater Stock'!N$14</f>
        <v>0.5890549064905779</v>
      </c>
      <c r="O15" s="33">
        <f>'Water Heater Stock'!O17/'Water Heater Stock'!O$14</f>
        <v>0.61840812745553664</v>
      </c>
      <c r="P15" s="33">
        <f>'Water Heater Stock'!P17/'Water Heater Stock'!P$14</f>
        <v>0.64566468978014113</v>
      </c>
      <c r="Q15" s="33">
        <f>'Water Heater Stock'!Q17/'Water Heater Stock'!Q$14</f>
        <v>0.67097435479584544</v>
      </c>
      <c r="R15" s="33">
        <f>'Water Heater Stock'!R17/'Water Heater Stock'!R$14</f>
        <v>0.69447618659614219</v>
      </c>
      <c r="S15" s="33">
        <f>'Water Heater Stock'!S17/'Water Heater Stock'!S$14</f>
        <v>0.71629931612498909</v>
      </c>
      <c r="T15" s="33">
        <f>'Water Heater Stock'!T17/'Water Heater Stock'!T$14</f>
        <v>0.73656365068748997</v>
      </c>
      <c r="U15" s="33">
        <f>'Water Heater Stock'!U17/'Water Heater Stock'!U$14</f>
        <v>0.75538053278124062</v>
      </c>
      <c r="V15" s="33">
        <f>'Water Heater Stock'!V17/'Water Heater Stock'!V$14</f>
        <v>0.77285335186829485</v>
      </c>
      <c r="W15" s="33">
        <f>'Water Heater Stock'!W17/'Water Heater Stock'!W$14</f>
        <v>0.78907811244913095</v>
      </c>
    </row>
    <row r="16" spans="1:23">
      <c r="A16" s="9" t="str">
        <f>+'Device Energy Use'!A8</f>
        <v>Instant Gas</v>
      </c>
      <c r="B16" s="33">
        <f>'Water Heater Stock'!B18/'Water Heater Stock'!B$14</f>
        <v>0</v>
      </c>
      <c r="C16" s="33">
        <f>'Water Heater Stock'!C18/'Water Heater Stock'!C$14</f>
        <v>0</v>
      </c>
      <c r="D16" s="33">
        <f>'Water Heater Stock'!D18/'Water Heater Stock'!D$14</f>
        <v>0</v>
      </c>
      <c r="E16" s="33">
        <f>'Water Heater Stock'!E18/'Water Heater Stock'!E$14</f>
        <v>0</v>
      </c>
      <c r="F16" s="33">
        <f>'Water Heater Stock'!F18/'Water Heater Stock'!F$14</f>
        <v>0</v>
      </c>
      <c r="G16" s="33">
        <f>'Water Heater Stock'!G18/'Water Heater Stock'!G$14</f>
        <v>0</v>
      </c>
      <c r="H16" s="33">
        <f>'Water Heater Stock'!H18/'Water Heater Stock'!H$14</f>
        <v>0</v>
      </c>
      <c r="I16" s="33">
        <f>'Water Heater Stock'!I18/'Water Heater Stock'!I$14</f>
        <v>0</v>
      </c>
      <c r="J16" s="33">
        <f>'Water Heater Stock'!J18/'Water Heater Stock'!J$14</f>
        <v>0</v>
      </c>
      <c r="K16" s="33">
        <f>'Water Heater Stock'!K18/'Water Heater Stock'!K$14</f>
        <v>0</v>
      </c>
      <c r="L16" s="33">
        <f>'Water Heater Stock'!L18/'Water Heater Stock'!L$14</f>
        <v>0</v>
      </c>
      <c r="M16" s="33">
        <f>'Water Heater Stock'!M18/'Water Heater Stock'!M$14</f>
        <v>0</v>
      </c>
      <c r="N16" s="33">
        <f>'Water Heater Stock'!N18/'Water Heater Stock'!N$14</f>
        <v>0</v>
      </c>
      <c r="O16" s="33">
        <f>'Water Heater Stock'!O18/'Water Heater Stock'!O$14</f>
        <v>0</v>
      </c>
      <c r="P16" s="33">
        <f>'Water Heater Stock'!P18/'Water Heater Stock'!P$14</f>
        <v>0</v>
      </c>
      <c r="Q16" s="33">
        <f>'Water Heater Stock'!Q18/'Water Heater Stock'!Q$14</f>
        <v>0</v>
      </c>
      <c r="R16" s="33">
        <f>'Water Heater Stock'!R18/'Water Heater Stock'!R$14</f>
        <v>0</v>
      </c>
      <c r="S16" s="33">
        <f>'Water Heater Stock'!S18/'Water Heater Stock'!S$14</f>
        <v>0</v>
      </c>
      <c r="T16" s="33">
        <f>'Water Heater Stock'!T18/'Water Heater Stock'!T$14</f>
        <v>0</v>
      </c>
      <c r="U16" s="33">
        <f>'Water Heater Stock'!U18/'Water Heater Stock'!U$14</f>
        <v>0</v>
      </c>
      <c r="V16" s="33">
        <f>'Water Heater Stock'!V18/'Water Heater Stock'!V$14</f>
        <v>0</v>
      </c>
      <c r="W16" s="33">
        <f>'Water Heater Stock'!W18/'Water Heater Stock'!W$14</f>
        <v>0</v>
      </c>
    </row>
    <row r="17" spans="1:23">
      <c r="A17" s="9" t="str">
        <f>+'Device Energy Use'!A9</f>
        <v>Condensing Gas</v>
      </c>
      <c r="B17" s="33">
        <f>'Water Heater Stock'!B19/'Water Heater Stock'!B$14</f>
        <v>0</v>
      </c>
      <c r="C17" s="33">
        <f>'Water Heater Stock'!C19/'Water Heater Stock'!C$14</f>
        <v>0</v>
      </c>
      <c r="D17" s="33">
        <f>'Water Heater Stock'!D19/'Water Heater Stock'!D$14</f>
        <v>0</v>
      </c>
      <c r="E17" s="33">
        <f>'Water Heater Stock'!E19/'Water Heater Stock'!E$14</f>
        <v>0</v>
      </c>
      <c r="F17" s="33">
        <f>'Water Heater Stock'!F19/'Water Heater Stock'!F$14</f>
        <v>0</v>
      </c>
      <c r="G17" s="33">
        <f>'Water Heater Stock'!G19/'Water Heater Stock'!G$14</f>
        <v>0</v>
      </c>
      <c r="H17" s="33">
        <f>'Water Heater Stock'!H19/'Water Heater Stock'!H$14</f>
        <v>0</v>
      </c>
      <c r="I17" s="33">
        <f>'Water Heater Stock'!I19/'Water Heater Stock'!I$14</f>
        <v>0</v>
      </c>
      <c r="J17" s="33">
        <f>'Water Heater Stock'!J19/'Water Heater Stock'!J$14</f>
        <v>0</v>
      </c>
      <c r="K17" s="33">
        <f>'Water Heater Stock'!K19/'Water Heater Stock'!K$14</f>
        <v>0</v>
      </c>
      <c r="L17" s="33">
        <f>'Water Heater Stock'!L19/'Water Heater Stock'!L$14</f>
        <v>0</v>
      </c>
      <c r="M17" s="33">
        <f>'Water Heater Stock'!M19/'Water Heater Stock'!M$14</f>
        <v>0</v>
      </c>
      <c r="N17" s="33">
        <f>'Water Heater Stock'!N19/'Water Heater Stock'!N$14</f>
        <v>0</v>
      </c>
      <c r="O17" s="33">
        <f>'Water Heater Stock'!O19/'Water Heater Stock'!O$14</f>
        <v>0</v>
      </c>
      <c r="P17" s="33">
        <f>'Water Heater Stock'!P19/'Water Heater Stock'!P$14</f>
        <v>0</v>
      </c>
      <c r="Q17" s="33">
        <f>'Water Heater Stock'!Q19/'Water Heater Stock'!Q$14</f>
        <v>0</v>
      </c>
      <c r="R17" s="33">
        <f>'Water Heater Stock'!R19/'Water Heater Stock'!R$14</f>
        <v>0</v>
      </c>
      <c r="S17" s="33">
        <f>'Water Heater Stock'!S19/'Water Heater Stock'!S$14</f>
        <v>0</v>
      </c>
      <c r="T17" s="33">
        <f>'Water Heater Stock'!T19/'Water Heater Stock'!T$14</f>
        <v>0</v>
      </c>
      <c r="U17" s="33">
        <f>'Water Heater Stock'!U19/'Water Heater Stock'!U$14</f>
        <v>0</v>
      </c>
      <c r="V17" s="33">
        <f>'Water Heater Stock'!V19/'Water Heater Stock'!V$14</f>
        <v>0</v>
      </c>
      <c r="W17" s="33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 ht="18" customHeight="1">
      <c r="A3" s="43" t="s">
        <v>94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'Marginal Allocation Weight'!B5/'Total Allocation Weight'!B5</f>
        <v>0.99997653135489273</v>
      </c>
      <c r="C5" s="33">
        <f>'Marginal Allocation Weight'!C5/'Total Allocation Weight'!C5</f>
        <v>0.65821300341055122</v>
      </c>
      <c r="D5" s="33">
        <f>'Marginal Allocation Weight'!D5/'Total Allocation Weight'!D5</f>
        <v>0.6571366281987342</v>
      </c>
      <c r="E5" s="33">
        <f>'Marginal Allocation Weight'!E5/'Total Allocation Weight'!E5</f>
        <v>0.65593305912062827</v>
      </c>
      <c r="F5" s="33">
        <f>'Marginal Allocation Weight'!F5/'Total Allocation Weight'!F5</f>
        <v>0.65451547811536914</v>
      </c>
      <c r="G5" s="33">
        <f>'Marginal Allocation Weight'!G5/'Total Allocation Weight'!G5</f>
        <v>0.65276115391338918</v>
      </c>
      <c r="H5" s="33">
        <f>'Marginal Allocation Weight'!H5/'Total Allocation Weight'!H5</f>
        <v>0.65050557036782775</v>
      </c>
      <c r="I5" s="33">
        <f>'Marginal Allocation Weight'!I5/'Total Allocation Weight'!I5</f>
        <v>0.64753970361620172</v>
      </c>
      <c r="J5" s="33">
        <f>'Marginal Allocation Weight'!J5/'Total Allocation Weight'!J5</f>
        <v>0.64361240508777351</v>
      </c>
      <c r="K5" s="33">
        <f>'Marginal Allocation Weight'!K5/'Total Allocation Weight'!K5</f>
        <v>0.63843970669098671</v>
      </c>
      <c r="L5" s="33">
        <f>'Marginal Allocation Weight'!L5/'Total Allocation Weight'!L5</f>
        <v>0.63172221346521884</v>
      </c>
      <c r="M5" s="33">
        <f>'Marginal Allocation Weight'!M5/'Total Allocation Weight'!M5</f>
        <v>0.62317048037486766</v>
      </c>
      <c r="N5" s="33">
        <f>'Marginal Allocation Weight'!N5/'Total Allocation Weight'!N5</f>
        <v>0.61253644015406372</v>
      </c>
      <c r="O5" s="33">
        <f>'Marginal Allocation Weight'!O5/'Total Allocation Weight'!O5</f>
        <v>0.5996468878276453</v>
      </c>
      <c r="P5" s="33">
        <f>'Marginal Allocation Weight'!P5/'Total Allocation Weight'!P5</f>
        <v>0.58443336061665474</v>
      </c>
      <c r="Q5" s="33">
        <f>'Marginal Allocation Weight'!Q5/'Total Allocation Weight'!Q5</f>
        <v>0.56695224289889679</v>
      </c>
      <c r="R5" s="33">
        <f>'Marginal Allocation Weight'!R5/'Total Allocation Weight'!R5</f>
        <v>0.54739012743663407</v>
      </c>
      <c r="S5" s="33">
        <f>'Marginal Allocation Weight'!S5/'Total Allocation Weight'!S5</f>
        <v>0.52605233413502028</v>
      </c>
      <c r="T5" s="33">
        <f>'Marginal Allocation Weight'!T5/'Total Allocation Weight'!T5</f>
        <v>0.50333623939319705</v>
      </c>
      <c r="U5" s="33">
        <f>'Marginal Allocation Weight'!U5/'Total Allocation Weight'!U5</f>
        <v>0.47969444079554402</v>
      </c>
      <c r="V5" s="33">
        <f>'Marginal Allocation Weight'!V5/'Total Allocation Weight'!V5</f>
        <v>0.45559462683174051</v>
      </c>
      <c r="W5" s="33">
        <f>'Marginal Allocation Weight'!W5/'Total Allocation Weight'!W5</f>
        <v>0.43148285817035076</v>
      </c>
    </row>
    <row r="6" spans="1:23">
      <c r="A6" s="9" t="str">
        <f>+'Device Energy Use'!A6</f>
        <v>HPWH</v>
      </c>
      <c r="B6" s="33">
        <f>'Marginal Allocation Weight'!B6/'Total Allocation Weight'!B6</f>
        <v>3.2522660800652487E-9</v>
      </c>
      <c r="C6" s="33">
        <f>'Marginal Allocation Weight'!C6/'Total Allocation Weight'!C6</f>
        <v>9.9568483383540517E-5</v>
      </c>
      <c r="D6" s="33">
        <f>'Marginal Allocation Weight'!D6/'Total Allocation Weight'!D6</f>
        <v>1.9880016358987966E-4</v>
      </c>
      <c r="E6" s="33">
        <f>'Marginal Allocation Weight'!E6/'Total Allocation Weight'!E6</f>
        <v>3.7735996822972731E-4</v>
      </c>
      <c r="F6" s="33">
        <f>'Marginal Allocation Weight'!F6/'Total Allocation Weight'!F6</f>
        <v>6.8342569471218186E-4</v>
      </c>
      <c r="G6" s="33">
        <f>'Marginal Allocation Weight'!G6/'Total Allocation Weight'!G6</f>
        <v>1.1847647368678181E-3</v>
      </c>
      <c r="H6" s="33">
        <f>'Marginal Allocation Weight'!H6/'Total Allocation Weight'!H6</f>
        <v>1.9717335682596961E-3</v>
      </c>
      <c r="I6" s="33">
        <f>'Marginal Allocation Weight'!I6/'Total Allocation Weight'!I6</f>
        <v>3.1584624798786289E-3</v>
      </c>
      <c r="J6" s="33">
        <f>'Marginal Allocation Weight'!J6/'Total Allocation Weight'!J6</f>
        <v>4.8811705900830577E-3</v>
      </c>
      <c r="K6" s="33">
        <f>'Marginal Allocation Weight'!K6/'Total Allocation Weight'!K6</f>
        <v>7.2926594933120717E-3</v>
      </c>
      <c r="L6" s="33">
        <f>'Marginal Allocation Weight'!L6/'Total Allocation Weight'!L6</f>
        <v>1.055241810881659E-2</v>
      </c>
      <c r="M6" s="33">
        <f>'Marginal Allocation Weight'!M6/'Total Allocation Weight'!M6</f>
        <v>1.4812487243012429E-2</v>
      </c>
      <c r="N6" s="33">
        <f>'Marginal Allocation Weight'!N6/'Total Allocation Weight'!N6</f>
        <v>2.020023893772372E-2</v>
      </c>
      <c r="O6" s="33">
        <f>'Marginal Allocation Weight'!O6/'Total Allocation Weight'!O6</f>
        <v>2.6800332615919645E-2</v>
      </c>
      <c r="P6" s="33">
        <f>'Marginal Allocation Weight'!P6/'Total Allocation Weight'!P6</f>
        <v>3.4638970846072793E-2</v>
      </c>
      <c r="Q6" s="33">
        <f>'Marginal Allocation Weight'!Q6/'Total Allocation Weight'!Q6</f>
        <v>4.3673781813495779E-2</v>
      </c>
      <c r="R6" s="33">
        <f>'Marginal Allocation Weight'!R6/'Total Allocation Weight'!R6</f>
        <v>5.379192134406207E-2</v>
      </c>
      <c r="S6" s="33">
        <f>'Marginal Allocation Weight'!S6/'Total Allocation Weight'!S6</f>
        <v>6.4817365270765287E-2</v>
      </c>
      <c r="T6" s="33">
        <f>'Marginal Allocation Weight'!T6/'Total Allocation Weight'!T6</f>
        <v>7.6526305903020356E-2</v>
      </c>
      <c r="U6" s="33">
        <f>'Marginal Allocation Weight'!U6/'Total Allocation Weight'!U6</f>
        <v>8.8667769343405242E-2</v>
      </c>
      <c r="V6" s="33">
        <f>'Marginal Allocation Weight'!V6/'Total Allocation Weight'!V6</f>
        <v>0.10098564380401949</v>
      </c>
      <c r="W6" s="33">
        <f>'Marginal Allocation Weight'!W6/'Total Allocation Weight'!W6</f>
        <v>0.11323848609499719</v>
      </c>
    </row>
    <row r="7" spans="1:23">
      <c r="A7" s="9" t="str">
        <f>+'Device Energy Use'!A7</f>
        <v>Gas Tank</v>
      </c>
      <c r="B7" s="33">
        <f>'Marginal Allocation Weight'!B7/'Total Allocation Weight'!B7</f>
        <v>2.3459955103600657E-5</v>
      </c>
      <c r="C7" s="33">
        <f>'Marginal Allocation Weight'!C7/'Total Allocation Weight'!C7</f>
        <v>0.34151990422937673</v>
      </c>
      <c r="D7" s="33">
        <f>'Marginal Allocation Weight'!D7/'Total Allocation Weight'!D7</f>
        <v>0.34232798587443308</v>
      </c>
      <c r="E7" s="33">
        <f>'Marginal Allocation Weight'!E7/'Total Allocation Weight'!E7</f>
        <v>0.34304665599338591</v>
      </c>
      <c r="F7" s="33">
        <f>'Marginal Allocation Weight'!F7/'Total Allocation Weight'!F7</f>
        <v>0.34362938086631095</v>
      </c>
      <c r="G7" s="33">
        <f>'Marginal Allocation Weight'!G7/'Total Allocation Weight'!G7</f>
        <v>0.34401003869842328</v>
      </c>
      <c r="H7" s="33">
        <f>'Marginal Allocation Weight'!H7/'Total Allocation Weight'!H7</f>
        <v>0.34409948683303282</v>
      </c>
      <c r="I7" s="33">
        <f>'Marginal Allocation Weight'!I7/'Total Allocation Weight'!I7</f>
        <v>0.34378374913581511</v>
      </c>
      <c r="J7" s="33">
        <f>'Marginal Allocation Weight'!J7/'Total Allocation Weight'!J7</f>
        <v>0.34292491239960488</v>
      </c>
      <c r="K7" s="33">
        <f>'Marginal Allocation Weight'!K7/'Total Allocation Weight'!K7</f>
        <v>0.3413657721590177</v>
      </c>
      <c r="L7" s="33">
        <f>'Marginal Allocation Weight'!L7/'Total Allocation Weight'!L7</f>
        <v>0.33893894141395509</v>
      </c>
      <c r="M7" s="33">
        <f>'Marginal Allocation Weight'!M7/'Total Allocation Weight'!M7</f>
        <v>0.33548046360976558</v>
      </c>
      <c r="N7" s="33">
        <f>'Marginal Allocation Weight'!N7/'Total Allocation Weight'!N7</f>
        <v>0.33084697412868241</v>
      </c>
      <c r="O7" s="33">
        <f>'Marginal Allocation Weight'!O7/'Total Allocation Weight'!O7</f>
        <v>0.32493430310644089</v>
      </c>
      <c r="P7" s="33">
        <f>'Marginal Allocation Weight'!P7/'Total Allocation Weight'!P7</f>
        <v>0.31769444550616405</v>
      </c>
      <c r="Q7" s="33">
        <f>'Marginal Allocation Weight'!Q7/'Total Allocation Weight'!Q7</f>
        <v>0.30914746811735083</v>
      </c>
      <c r="R7" s="33">
        <f>'Marginal Allocation Weight'!R7/'Total Allocation Weight'!R7</f>
        <v>0.2993855015206639</v>
      </c>
      <c r="S7" s="33">
        <f>'Marginal Allocation Weight'!S7/'Total Allocation Weight'!S7</f>
        <v>0.2885674836421131</v>
      </c>
      <c r="T7" s="33">
        <f>'Marginal Allocation Weight'!T7/'Total Allocation Weight'!T7</f>
        <v>0.2769053723515415</v>
      </c>
      <c r="U7" s="33">
        <f>'Marginal Allocation Weight'!U7/'Total Allocation Weight'!U7</f>
        <v>0.26464444099413886</v>
      </c>
      <c r="V7" s="33">
        <f>'Marginal Allocation Weight'!V7/'Total Allocation Weight'!V7</f>
        <v>0.25204136702439311</v>
      </c>
      <c r="W7" s="33">
        <f>'Marginal Allocation Weight'!W7/'Total Allocation Weight'!W7</f>
        <v>0.23934382512616181</v>
      </c>
    </row>
    <row r="8" spans="1:23">
      <c r="A8" s="9" t="str">
        <f>+'Device Energy Use'!A8</f>
        <v>Instant Gas</v>
      </c>
      <c r="B8" s="33">
        <f>'Marginal Allocation Weight'!B8/'Total Allocation Weight'!B8</f>
        <v>1.0711519097276204E-9</v>
      </c>
      <c r="C8" s="33">
        <f>'Marginal Allocation Weight'!C8/'Total Allocation Weight'!C8</f>
        <v>3.305011668754151E-5</v>
      </c>
      <c r="D8" s="33">
        <f>'Marginal Allocation Weight'!D8/'Total Allocation Weight'!D8</f>
        <v>6.650598262672676E-5</v>
      </c>
      <c r="E8" s="33">
        <f>'Marginal Allocation Weight'!E8/'Total Allocation Weight'!E8</f>
        <v>1.272328144561992E-4</v>
      </c>
      <c r="F8" s="33">
        <f>'Marginal Allocation Weight'!F8/'Total Allocation Weight'!F8</f>
        <v>2.3224164005131371E-4</v>
      </c>
      <c r="G8" s="33">
        <f>'Marginal Allocation Weight'!G8/'Total Allocation Weight'!G8</f>
        <v>4.0578147997167934E-4</v>
      </c>
      <c r="H8" s="33">
        <f>'Marginal Allocation Weight'!H8/'Total Allocation Weight'!H8</f>
        <v>6.8065206663355839E-4</v>
      </c>
      <c r="I8" s="33">
        <f>'Marginal Allocation Weight'!I8/'Total Allocation Weight'!I8</f>
        <v>1.0989418014516253E-3</v>
      </c>
      <c r="J8" s="33">
        <f>'Marginal Allocation Weight'!J8/'Total Allocation Weight'!J8</f>
        <v>1.7117875610067241E-3</v>
      </c>
      <c r="K8" s="33">
        <f>'Marginal Allocation Weight'!K8/'Total Allocation Weight'!K8</f>
        <v>2.5777647061393755E-3</v>
      </c>
      <c r="L8" s="33">
        <f>'Marginal Allocation Weight'!L8/'Total Allocation Weight'!L8</f>
        <v>3.7596290906068332E-3</v>
      </c>
      <c r="M8" s="33">
        <f>'Marginal Allocation Weight'!M8/'Total Allocation Weight'!M8</f>
        <v>5.3193743718598632E-3</v>
      </c>
      <c r="N8" s="33">
        <f>'Marginal Allocation Weight'!N8/'Total Allocation Weight'!N8</f>
        <v>7.3119325317225628E-3</v>
      </c>
      <c r="O8" s="33">
        <f>'Marginal Allocation Weight'!O8/'Total Allocation Weight'!O8</f>
        <v>9.7782730243314436E-3</v>
      </c>
      <c r="P8" s="33">
        <f>'Marginal Allocation Weight'!P8/'Total Allocation Weight'!P8</f>
        <v>1.2739023026575799E-2</v>
      </c>
      <c r="Q8" s="33">
        <f>'Marginal Allocation Weight'!Q8/'Total Allocation Weight'!Q8</f>
        <v>1.6189879773244889E-2</v>
      </c>
      <c r="R8" s="33">
        <f>'Marginal Allocation Weight'!R8/'Total Allocation Weight'!R8</f>
        <v>2.0099892090932932E-2</v>
      </c>
      <c r="S8" s="33">
        <f>'Marginal Allocation Weight'!S8/'Total Allocation Weight'!S8</f>
        <v>2.4413143288074871E-2</v>
      </c>
      <c r="T8" s="33">
        <f>'Marginal Allocation Weight'!T8/'Total Allocation Weight'!T8</f>
        <v>2.9053615842816558E-2</v>
      </c>
      <c r="U8" s="33">
        <f>'Marginal Allocation Weight'!U8/'Total Allocation Weight'!U8</f>
        <v>3.3932310752539108E-2</v>
      </c>
      <c r="V8" s="33">
        <f>'Marginal Allocation Weight'!V8/'Total Allocation Weight'!V8</f>
        <v>3.895527205411644E-2</v>
      </c>
      <c r="W8" s="33">
        <f>'Marginal Allocation Weight'!W8/'Total Allocation Weight'!W8</f>
        <v>4.4031145405739137E-2</v>
      </c>
    </row>
    <row r="9" spans="1:23">
      <c r="A9" s="9" t="str">
        <f>+'Device Energy Use'!A9</f>
        <v>Condensing Gas</v>
      </c>
      <c r="B9" s="33">
        <f>'Marginal Allocation Weight'!B9/'Total Allocation Weight'!B9</f>
        <v>4.3665856756269171E-9</v>
      </c>
      <c r="C9" s="33">
        <f>'Marginal Allocation Weight'!C9/'Total Allocation Weight'!C9</f>
        <v>1.3447376000099584E-4</v>
      </c>
      <c r="D9" s="33">
        <f>'Marginal Allocation Weight'!D9/'Total Allocation Weight'!D9</f>
        <v>2.700797806158486E-4</v>
      </c>
      <c r="E9" s="33">
        <f>'Marginal Allocation Weight'!E9/'Total Allocation Weight'!E9</f>
        <v>5.1569210329994867E-4</v>
      </c>
      <c r="F9" s="33">
        <f>'Marginal Allocation Weight'!F9/'Total Allocation Weight'!F9</f>
        <v>9.3947368355660826E-4</v>
      </c>
      <c r="G9" s="33">
        <f>'Marginal Allocation Weight'!G9/'Total Allocation Weight'!G9</f>
        <v>1.6382611713479935E-3</v>
      </c>
      <c r="H9" s="33">
        <f>'Marginal Allocation Weight'!H9/'Total Allocation Weight'!H9</f>
        <v>2.7425571642463041E-3</v>
      </c>
      <c r="I9" s="33">
        <f>'Marginal Allocation Weight'!I9/'Total Allocation Weight'!I9</f>
        <v>4.4191429666527761E-3</v>
      </c>
      <c r="J9" s="33">
        <f>'Marginal Allocation Weight'!J9/'Total Allocation Weight'!J9</f>
        <v>6.8697243615317106E-3</v>
      </c>
      <c r="K9" s="33">
        <f>'Marginal Allocation Weight'!K9/'Total Allocation Weight'!K9</f>
        <v>1.0324096950544131E-2</v>
      </c>
      <c r="L9" s="33">
        <f>'Marginal Allocation Weight'!L9/'Total Allocation Weight'!L9</f>
        <v>1.502679792140269E-2</v>
      </c>
      <c r="M9" s="33">
        <f>'Marginal Allocation Weight'!M9/'Total Allocation Weight'!M9</f>
        <v>2.1217194400494511E-2</v>
      </c>
      <c r="N9" s="33">
        <f>'Marginal Allocation Weight'!N9/'Total Allocation Weight'!N9</f>
        <v>2.9104414247807426E-2</v>
      </c>
      <c r="O9" s="33">
        <f>'Marginal Allocation Weight'!O9/'Total Allocation Weight'!O9</f>
        <v>3.8840203425662655E-2</v>
      </c>
      <c r="P9" s="33">
        <f>'Marginal Allocation Weight'!P9/'Total Allocation Weight'!P9</f>
        <v>5.0494200004532599E-2</v>
      </c>
      <c r="Q9" s="33">
        <f>'Marginal Allocation Weight'!Q9/'Total Allocation Weight'!Q9</f>
        <v>6.4036627397011714E-2</v>
      </c>
      <c r="R9" s="33">
        <f>'Marginal Allocation Weight'!R9/'Total Allocation Weight'!R9</f>
        <v>7.9332557607707146E-2</v>
      </c>
      <c r="S9" s="33">
        <f>'Marginal Allocation Weight'!S9/'Total Allocation Weight'!S9</f>
        <v>9.6149673664026422E-2</v>
      </c>
      <c r="T9" s="33">
        <f>'Marginal Allocation Weight'!T9/'Total Allocation Weight'!T9</f>
        <v>0.11417846650942456</v>
      </c>
      <c r="U9" s="33">
        <f>'Marginal Allocation Weight'!U9/'Total Allocation Weight'!U9</f>
        <v>0.13306103811437267</v>
      </c>
      <c r="V9" s="33">
        <f>'Marginal Allocation Weight'!V9/'Total Allocation Weight'!V9</f>
        <v>0.15242309028573048</v>
      </c>
      <c r="W9" s="33">
        <f>'Marginal Allocation Weight'!W9/'Total Allocation Weight'!W9</f>
        <v>0.17190368520275096</v>
      </c>
    </row>
    <row r="11" spans="1:23">
      <c r="A11" s="43" t="s">
        <v>142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v>0</v>
      </c>
      <c r="C13" s="33">
        <f>IF('Levelized Costs'!C5='Levelized Costs'!C$13,1,0)</f>
        <v>0</v>
      </c>
      <c r="D13" s="33">
        <f>IF('Levelized Costs'!D5='Levelized Costs'!D$13,1,0)</f>
        <v>0</v>
      </c>
      <c r="E13" s="33">
        <f>IF('Levelized Costs'!E5='Levelized Costs'!E$13,1,0)</f>
        <v>0</v>
      </c>
      <c r="F13" s="33">
        <f>IF('Levelized Costs'!F5='Levelized Costs'!F$13,1,0)</f>
        <v>0</v>
      </c>
      <c r="G13" s="33">
        <f>IF('Levelized Costs'!G5='Levelized Costs'!G$13,1,0)</f>
        <v>0</v>
      </c>
      <c r="H13" s="33">
        <f>IF('Levelized Costs'!H5='Levelized Costs'!H$13,1,0)</f>
        <v>0</v>
      </c>
      <c r="I13" s="33">
        <f>IF('Levelized Costs'!I5='Levelized Costs'!I$13,1,0)</f>
        <v>0</v>
      </c>
      <c r="J13" s="33">
        <f>IF('Levelized Costs'!J5='Levelized Costs'!J$13,1,0)</f>
        <v>0</v>
      </c>
      <c r="K13" s="33">
        <f>IF('Levelized Costs'!K5='Levelized Costs'!K$13,1,0)</f>
        <v>0</v>
      </c>
      <c r="L13" s="33">
        <f>IF('Levelized Costs'!L5='Levelized Costs'!L$13,1,0)</f>
        <v>0</v>
      </c>
      <c r="M13" s="33">
        <f>IF('Levelized Costs'!M5='Levelized Costs'!M$13,1,0)</f>
        <v>0</v>
      </c>
      <c r="N13" s="33">
        <f>IF('Levelized Costs'!N5='Levelized Costs'!N$13,1,0)</f>
        <v>0</v>
      </c>
      <c r="O13" s="33">
        <f>IF('Levelized Costs'!O5='Levelized Costs'!O$13,1,0)</f>
        <v>0</v>
      </c>
      <c r="P13" s="33">
        <f>IF('Levelized Costs'!P5='Levelized Costs'!P$13,1,0)</f>
        <v>0</v>
      </c>
      <c r="Q13" s="33">
        <f>IF('Levelized Costs'!Q5='Levelized Costs'!Q$13,1,0)</f>
        <v>0</v>
      </c>
      <c r="R13" s="33">
        <f>IF('Levelized Costs'!R5='Levelized Costs'!R$13,1,0)</f>
        <v>0</v>
      </c>
      <c r="S13" s="33">
        <f>IF('Levelized Costs'!S5='Levelized Costs'!S$13,1,0)</f>
        <v>0</v>
      </c>
      <c r="T13" s="33">
        <f>IF('Levelized Costs'!T5='Levelized Costs'!T$13,1,0)</f>
        <v>0</v>
      </c>
      <c r="U13" s="33">
        <f>IF('Levelized Costs'!U5='Levelized Costs'!U$13,1,0)</f>
        <v>0</v>
      </c>
      <c r="V13" s="33">
        <f>IF('Levelized Costs'!V5='Levelized Costs'!V$13,1,0)</f>
        <v>0</v>
      </c>
      <c r="W13" s="33">
        <f>IF('Levelized Costs'!W5='Levelized Costs'!W$13,1,0)</f>
        <v>0</v>
      </c>
    </row>
    <row r="14" spans="1:23">
      <c r="A14" s="9" t="str">
        <f>+'Device Energy Use'!A6</f>
        <v>HPWH</v>
      </c>
      <c r="B14" s="33">
        <v>0</v>
      </c>
      <c r="C14" s="33">
        <f>IF('Levelized Costs'!C6='Levelized Costs'!C$13,1,0)</f>
        <v>0</v>
      </c>
      <c r="D14" s="33">
        <f>IF('Levelized Costs'!D6='Levelized Costs'!D$13,1,0)</f>
        <v>0</v>
      </c>
      <c r="E14" s="33">
        <f>IF('Levelized Costs'!E6='Levelized Costs'!E$13,1,0)</f>
        <v>0</v>
      </c>
      <c r="F14" s="33">
        <f>IF('Levelized Costs'!F6='Levelized Costs'!F$13,1,0)</f>
        <v>0</v>
      </c>
      <c r="G14" s="33">
        <f>IF('Levelized Costs'!G6='Levelized Costs'!G$13,1,0)</f>
        <v>0</v>
      </c>
      <c r="H14" s="33">
        <f>IF('Levelized Costs'!H6='Levelized Costs'!H$13,1,0)</f>
        <v>0</v>
      </c>
      <c r="I14" s="33">
        <f>IF('Levelized Costs'!I6='Levelized Costs'!I$13,1,0)</f>
        <v>0</v>
      </c>
      <c r="J14" s="33">
        <f>IF('Levelized Costs'!J6='Levelized Costs'!J$13,1,0)</f>
        <v>0</v>
      </c>
      <c r="K14" s="33">
        <f>IF('Levelized Costs'!K6='Levelized Costs'!K$13,1,0)</f>
        <v>0</v>
      </c>
      <c r="L14" s="33">
        <f>IF('Levelized Costs'!L6='Levelized Costs'!L$13,1,0)</f>
        <v>0</v>
      </c>
      <c r="M14" s="33">
        <f>IF('Levelized Costs'!M6='Levelized Costs'!M$13,1,0)</f>
        <v>0</v>
      </c>
      <c r="N14" s="33">
        <f>IF('Levelized Costs'!N6='Levelized Costs'!N$13,1,0)</f>
        <v>0</v>
      </c>
      <c r="O14" s="33">
        <f>IF('Levelized Costs'!O6='Levelized Costs'!O$13,1,0)</f>
        <v>0</v>
      </c>
      <c r="P14" s="33">
        <f>IF('Levelized Costs'!P6='Levelized Costs'!P$13,1,0)</f>
        <v>0</v>
      </c>
      <c r="Q14" s="33">
        <f>IF('Levelized Costs'!Q6='Levelized Costs'!Q$13,1,0)</f>
        <v>0</v>
      </c>
      <c r="R14" s="33">
        <f>IF('Levelized Costs'!R6='Levelized Costs'!R$13,1,0)</f>
        <v>0</v>
      </c>
      <c r="S14" s="33">
        <f>IF('Levelized Costs'!S6='Levelized Costs'!S$13,1,0)</f>
        <v>0</v>
      </c>
      <c r="T14" s="33">
        <f>IF('Levelized Costs'!T6='Levelized Costs'!T$13,1,0)</f>
        <v>0</v>
      </c>
      <c r="U14" s="33">
        <f>IF('Levelized Costs'!U6='Levelized Costs'!U$13,1,0)</f>
        <v>0</v>
      </c>
      <c r="V14" s="33">
        <f>IF('Levelized Costs'!V6='Levelized Costs'!V$13,1,0)</f>
        <v>0</v>
      </c>
      <c r="W14" s="33">
        <f>IF('Levelized Costs'!W6='Levelized Costs'!W$13,1,0)</f>
        <v>0</v>
      </c>
    </row>
    <row r="15" spans="1:23">
      <c r="A15" s="9" t="str">
        <f>+'Device Energy Use'!A7</f>
        <v>Gas Tank</v>
      </c>
      <c r="B15" s="33">
        <v>0</v>
      </c>
      <c r="C15" s="33">
        <f>IF('Levelized Costs'!C7='Levelized Costs'!C$13,1,0)</f>
        <v>1</v>
      </c>
      <c r="D15" s="33">
        <f>IF('Levelized Costs'!D7='Levelized Costs'!D$13,1,0)</f>
        <v>1</v>
      </c>
      <c r="E15" s="33">
        <f>IF('Levelized Costs'!E7='Levelized Costs'!E$13,1,0)</f>
        <v>1</v>
      </c>
      <c r="F15" s="33">
        <f>IF('Levelized Costs'!F7='Levelized Costs'!F$13,1,0)</f>
        <v>1</v>
      </c>
      <c r="G15" s="33">
        <f>IF('Levelized Costs'!G7='Levelized Costs'!G$13,1,0)</f>
        <v>1</v>
      </c>
      <c r="H15" s="33">
        <f>IF('Levelized Costs'!H7='Levelized Costs'!H$13,1,0)</f>
        <v>1</v>
      </c>
      <c r="I15" s="33">
        <f>IF('Levelized Costs'!I7='Levelized Costs'!I$13,1,0)</f>
        <v>1</v>
      </c>
      <c r="J15" s="33">
        <f>IF('Levelized Costs'!J7='Levelized Costs'!J$13,1,0)</f>
        <v>1</v>
      </c>
      <c r="K15" s="33">
        <f>IF('Levelized Costs'!K7='Levelized Costs'!K$13,1,0)</f>
        <v>1</v>
      </c>
      <c r="L15" s="33">
        <f>IF('Levelized Costs'!L7='Levelized Costs'!L$13,1,0)</f>
        <v>1</v>
      </c>
      <c r="M15" s="33">
        <f>IF('Levelized Costs'!M7='Levelized Costs'!M$13,1,0)</f>
        <v>1</v>
      </c>
      <c r="N15" s="33">
        <f>IF('Levelized Costs'!N7='Levelized Costs'!N$13,1,0)</f>
        <v>1</v>
      </c>
      <c r="O15" s="33">
        <f>IF('Levelized Costs'!O7='Levelized Costs'!O$13,1,0)</f>
        <v>1</v>
      </c>
      <c r="P15" s="33">
        <f>IF('Levelized Costs'!P7='Levelized Costs'!P$13,1,0)</f>
        <v>1</v>
      </c>
      <c r="Q15" s="33">
        <f>IF('Levelized Costs'!Q7='Levelized Costs'!Q$13,1,0)</f>
        <v>1</v>
      </c>
      <c r="R15" s="33">
        <f>IF('Levelized Costs'!R7='Levelized Costs'!R$13,1,0)</f>
        <v>1</v>
      </c>
      <c r="S15" s="33">
        <f>IF('Levelized Costs'!S7='Levelized Costs'!S$13,1,0)</f>
        <v>1</v>
      </c>
      <c r="T15" s="33">
        <f>IF('Levelized Costs'!T7='Levelized Costs'!T$13,1,0)</f>
        <v>1</v>
      </c>
      <c r="U15" s="33">
        <f>IF('Levelized Costs'!U7='Levelized Costs'!U$13,1,0)</f>
        <v>1</v>
      </c>
      <c r="V15" s="33">
        <f>IF('Levelized Costs'!V7='Levelized Costs'!V$13,1,0)</f>
        <v>1</v>
      </c>
      <c r="W15" s="33">
        <f>IF('Levelized Costs'!W7='Levelized Costs'!W$13,1,0)</f>
        <v>1</v>
      </c>
    </row>
    <row r="16" spans="1:23">
      <c r="A16" s="9" t="str">
        <f>+'Device Energy Use'!A8</f>
        <v>Instant Gas</v>
      </c>
      <c r="B16" s="33">
        <v>0</v>
      </c>
      <c r="C16" s="33">
        <f>IF('Levelized Costs'!C8='Levelized Costs'!C$13,1,0)</f>
        <v>0</v>
      </c>
      <c r="D16" s="33">
        <f>IF('Levelized Costs'!D8='Levelized Costs'!D$13,1,0)</f>
        <v>0</v>
      </c>
      <c r="E16" s="33">
        <f>IF('Levelized Costs'!E8='Levelized Costs'!E$13,1,0)</f>
        <v>0</v>
      </c>
      <c r="F16" s="33">
        <f>IF('Levelized Costs'!F8='Levelized Costs'!F$13,1,0)</f>
        <v>0</v>
      </c>
      <c r="G16" s="33">
        <f>IF('Levelized Costs'!G8='Levelized Costs'!G$13,1,0)</f>
        <v>0</v>
      </c>
      <c r="H16" s="33">
        <f>IF('Levelized Costs'!H8='Levelized Costs'!H$13,1,0)</f>
        <v>0</v>
      </c>
      <c r="I16" s="33">
        <f>IF('Levelized Costs'!I8='Levelized Costs'!I$13,1,0)</f>
        <v>0</v>
      </c>
      <c r="J16" s="33">
        <f>IF('Levelized Costs'!J8='Levelized Costs'!J$13,1,0)</f>
        <v>0</v>
      </c>
      <c r="K16" s="33">
        <f>IF('Levelized Costs'!K8='Levelized Costs'!K$13,1,0)</f>
        <v>0</v>
      </c>
      <c r="L16" s="33">
        <f>IF('Levelized Costs'!L8='Levelized Costs'!L$13,1,0)</f>
        <v>0</v>
      </c>
      <c r="M16" s="33">
        <f>IF('Levelized Costs'!M8='Levelized Costs'!M$13,1,0)</f>
        <v>0</v>
      </c>
      <c r="N16" s="33">
        <f>IF('Levelized Costs'!N8='Levelized Costs'!N$13,1,0)</f>
        <v>0</v>
      </c>
      <c r="O16" s="33">
        <f>IF('Levelized Costs'!O8='Levelized Costs'!O$13,1,0)</f>
        <v>0</v>
      </c>
      <c r="P16" s="33">
        <f>IF('Levelized Costs'!P8='Levelized Costs'!P$13,1,0)</f>
        <v>0</v>
      </c>
      <c r="Q16" s="33">
        <f>IF('Levelized Costs'!Q8='Levelized Costs'!Q$13,1,0)</f>
        <v>0</v>
      </c>
      <c r="R16" s="33">
        <f>IF('Levelized Costs'!R8='Levelized Costs'!R$13,1,0)</f>
        <v>0</v>
      </c>
      <c r="S16" s="33">
        <f>IF('Levelized Costs'!S8='Levelized Costs'!S$13,1,0)</f>
        <v>0</v>
      </c>
      <c r="T16" s="33">
        <f>IF('Levelized Costs'!T8='Levelized Costs'!T$13,1,0)</f>
        <v>0</v>
      </c>
      <c r="U16" s="33">
        <f>IF('Levelized Costs'!U8='Levelized Costs'!U$13,1,0)</f>
        <v>0</v>
      </c>
      <c r="V16" s="33">
        <f>IF('Levelized Costs'!V8='Levelized Costs'!V$13,1,0)</f>
        <v>0</v>
      </c>
      <c r="W16" s="33">
        <f>IF('Levelized Costs'!W8='Levelized Costs'!W$13,1,0)</f>
        <v>0</v>
      </c>
    </row>
    <row r="17" spans="1:23">
      <c r="A17" s="9" t="str">
        <f>+'Device Energy Use'!A9</f>
        <v>Condensing Gas</v>
      </c>
      <c r="B17" s="33">
        <v>0</v>
      </c>
      <c r="C17" s="33">
        <f>IF('Levelized Costs'!C9='Levelized Costs'!C$13,1,0)</f>
        <v>0</v>
      </c>
      <c r="D17" s="33">
        <f>IF('Levelized Costs'!D9='Levelized Costs'!D$13,1,0)</f>
        <v>0</v>
      </c>
      <c r="E17" s="33">
        <f>IF('Levelized Costs'!E9='Levelized Costs'!E$13,1,0)</f>
        <v>0</v>
      </c>
      <c r="F17" s="33">
        <f>IF('Levelized Costs'!F9='Levelized Costs'!F$13,1,0)</f>
        <v>0</v>
      </c>
      <c r="G17" s="33">
        <f>IF('Levelized Costs'!G9='Levelized Costs'!G$13,1,0)</f>
        <v>0</v>
      </c>
      <c r="H17" s="33">
        <f>IF('Levelized Costs'!H9='Levelized Costs'!H$13,1,0)</f>
        <v>0</v>
      </c>
      <c r="I17" s="33">
        <f>IF('Levelized Costs'!I9='Levelized Costs'!I$13,1,0)</f>
        <v>0</v>
      </c>
      <c r="J17" s="33">
        <f>IF('Levelized Costs'!J9='Levelized Costs'!J$13,1,0)</f>
        <v>0</v>
      </c>
      <c r="K17" s="33">
        <f>IF('Levelized Costs'!K9='Levelized Costs'!K$13,1,0)</f>
        <v>0</v>
      </c>
      <c r="L17" s="33">
        <f>IF('Levelized Costs'!L9='Levelized Costs'!L$13,1,0)</f>
        <v>0</v>
      </c>
      <c r="M17" s="33">
        <f>IF('Levelized Costs'!M9='Levelized Costs'!M$13,1,0)</f>
        <v>0</v>
      </c>
      <c r="N17" s="33">
        <f>IF('Levelized Costs'!N9='Levelized Costs'!N$13,1,0)</f>
        <v>0</v>
      </c>
      <c r="O17" s="33">
        <f>IF('Levelized Costs'!O9='Levelized Costs'!O$13,1,0)</f>
        <v>0</v>
      </c>
      <c r="P17" s="33">
        <f>IF('Levelized Costs'!P9='Levelized Costs'!P$13,1,0)</f>
        <v>0</v>
      </c>
      <c r="Q17" s="33">
        <f>IF('Levelized Costs'!Q9='Levelized Costs'!Q$13,1,0)</f>
        <v>0</v>
      </c>
      <c r="R17" s="33">
        <f>IF('Levelized Costs'!R9='Levelized Costs'!R$13,1,0)</f>
        <v>0</v>
      </c>
      <c r="S17" s="33">
        <f>IF('Levelized Costs'!S9='Levelized Costs'!S$13,1,0)</f>
        <v>0</v>
      </c>
      <c r="T17" s="33">
        <f>IF('Levelized Costs'!T9='Levelized Costs'!T$13,1,0)</f>
        <v>0</v>
      </c>
      <c r="U17" s="33">
        <f>IF('Levelized Costs'!U9='Levelized Costs'!U$13,1,0)</f>
        <v>0</v>
      </c>
      <c r="V17" s="33">
        <f>IF('Levelized Costs'!V9='Levelized Costs'!V$13,1,0)</f>
        <v>0</v>
      </c>
      <c r="W17" s="33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/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 s="9" customFormat="1" ht="15.75">
      <c r="A3" s="12" t="s">
        <v>45</v>
      </c>
    </row>
    <row r="4" spans="1:23" s="9" customFormat="1" ht="15.75">
      <c r="A4" s="41" t="str">
        <f>'Device Energy Use'!A4</f>
        <v>Water Heat Ending</v>
      </c>
      <c r="B4" s="40">
        <f>+'Marginal Market Share'!B4</f>
        <v>2014</v>
      </c>
      <c r="C4" s="40">
        <f>+'Marginal Market Share'!C4</f>
        <v>2015</v>
      </c>
      <c r="D4" s="40">
        <f>+'Marginal Market Share'!D4</f>
        <v>2016</v>
      </c>
      <c r="E4" s="40">
        <f>+'Marginal Market Share'!E4</f>
        <v>2017</v>
      </c>
      <c r="F4" s="40">
        <f>+'Marginal Market Share'!F4</f>
        <v>2018</v>
      </c>
      <c r="G4" s="40">
        <f>+'Marginal Market Share'!G4</f>
        <v>2019</v>
      </c>
      <c r="H4" s="40">
        <f>+'Marginal Market Share'!H4</f>
        <v>2020</v>
      </c>
      <c r="I4" s="40">
        <f>+'Marginal Market Share'!I4</f>
        <v>2021</v>
      </c>
      <c r="J4" s="40">
        <f>+'Marginal Market Share'!J4</f>
        <v>2022</v>
      </c>
      <c r="K4" s="40">
        <f>+'Marginal Market Share'!K4</f>
        <v>2023</v>
      </c>
      <c r="L4" s="40">
        <f>+'Marginal Market Share'!L4</f>
        <v>2024</v>
      </c>
      <c r="M4" s="40">
        <f>+'Marginal Market Share'!M4</f>
        <v>2025</v>
      </c>
      <c r="N4" s="40">
        <f>+'Marginal Market Share'!N4</f>
        <v>2026</v>
      </c>
      <c r="O4" s="40">
        <f>+'Marginal Market Share'!O4</f>
        <v>2027</v>
      </c>
      <c r="P4" s="40">
        <f>+'Marginal Market Share'!P4</f>
        <v>2028</v>
      </c>
      <c r="Q4" s="40">
        <f>+'Marginal Market Share'!Q4</f>
        <v>2029</v>
      </c>
      <c r="R4" s="40">
        <f>+'Marginal Market Share'!R4</f>
        <v>2030</v>
      </c>
      <c r="S4" s="40">
        <f>+'Marginal Market Share'!S4</f>
        <v>2031</v>
      </c>
      <c r="T4" s="40">
        <f>+'Marginal Market Share'!T4</f>
        <v>2032</v>
      </c>
      <c r="U4" s="40">
        <f>+'Marginal Market Share'!U4</f>
        <v>2033</v>
      </c>
      <c r="V4" s="40">
        <f>+'Marginal Market Share'!V4</f>
        <v>2034</v>
      </c>
      <c r="W4" s="40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9">
        <f>SUM('Marginal Allocation Weight'!B$5:B$9)</f>
        <v>22026.982738247385</v>
      </c>
      <c r="C5" s="9">
        <f>SUM('Marginal Allocation Weight'!C$5:C$9)</f>
        <v>1.5192650324719639</v>
      </c>
      <c r="D5" s="9">
        <f>SUM('Marginal Allocation Weight'!D$5:D$9)</f>
        <v>1.5217535548750076</v>
      </c>
      <c r="E5" s="9">
        <f>SUM('Marginal Allocation Weight'!E$5:E$9)</f>
        <v>1.5245458146912774</v>
      </c>
      <c r="F5" s="9">
        <f>SUM('Marginal Allocation Weight'!F$5:F$9)</f>
        <v>1.5278477491157718</v>
      </c>
      <c r="G5" s="9">
        <f>SUM('Marginal Allocation Weight'!G$5:G$9)</f>
        <v>1.5319539068844219</v>
      </c>
      <c r="H5" s="9">
        <f>SUM('Marginal Allocation Weight'!H$5:H$9)</f>
        <v>1.5372658522117666</v>
      </c>
      <c r="I5" s="9">
        <f>SUM('Marginal Allocation Weight'!I$5:I$9)</f>
        <v>1.5443068500903883</v>
      </c>
      <c r="J5" s="9">
        <f>SUM('Marginal Allocation Weight'!J$5:J$9)</f>
        <v>1.5537301520215783</v>
      </c>
      <c r="K5" s="9">
        <f>SUM('Marginal Allocation Weight'!K$5:K$9)</f>
        <v>1.5663186194714753</v>
      </c>
      <c r="L5" s="9">
        <f>SUM('Marginal Allocation Weight'!L$5:L$9)</f>
        <v>1.5829742546405765</v>
      </c>
      <c r="M5" s="9">
        <f>SUM('Marginal Allocation Weight'!M$5:M$9)</f>
        <v>1.604697320384064</v>
      </c>
      <c r="N5" s="9">
        <f>SUM('Marginal Allocation Weight'!N$5:N$9)</f>
        <v>1.632555933731032</v>
      </c>
      <c r="O5" s="9">
        <f>SUM('Marginal Allocation Weight'!O$5:O$9)</f>
        <v>1.6676481114122399</v>
      </c>
      <c r="P5" s="9">
        <f>SUM('Marginal Allocation Weight'!P$5:P$9)</f>
        <v>1.7110590657331186</v>
      </c>
      <c r="Q5" s="9">
        <f>SUM('Marginal Allocation Weight'!Q$5:Q$9)</f>
        <v>1.7638169925686802</v>
      </c>
      <c r="R5" s="9">
        <f>SUM('Marginal Allocation Weight'!R$5:R$9)</f>
        <v>1.8268506315283519</v>
      </c>
      <c r="S5" s="9">
        <f>SUM('Marginal Allocation Weight'!S$5:S$9)</f>
        <v>1.9009515500853817</v>
      </c>
      <c r="T5" s="9">
        <f>SUM('Marginal Allocation Weight'!T$5:T$9)</f>
        <v>1.9867434961678139</v>
      </c>
      <c r="U5" s="9">
        <f>SUM('Marginal Allocation Weight'!U$5:U$9)</f>
        <v>2.0846603899381466</v>
      </c>
      <c r="V5" s="9">
        <f>SUM('Marginal Allocation Weight'!V$5:V$9)</f>
        <v>2.1949337000616524</v>
      </c>
      <c r="W5" s="9">
        <f>SUM('Marginal Allocation Weight'!W$5:W$9)</f>
        <v>2.3175891720018154</v>
      </c>
    </row>
    <row r="6" spans="1:23" s="9" customFormat="1" ht="15.75">
      <c r="A6" s="9" t="str">
        <f>+'Marginal Market Share'!A6</f>
        <v>HPWH</v>
      </c>
      <c r="B6" s="9">
        <f>SUM('Marginal Allocation Weight'!B$5:B$9)</f>
        <v>22026.982738247385</v>
      </c>
      <c r="C6" s="9">
        <f>SUM('Marginal Allocation Weight'!C$5:C$9)</f>
        <v>1.5192650324719639</v>
      </c>
      <c r="D6" s="9">
        <f>SUM('Marginal Allocation Weight'!D$5:D$9)</f>
        <v>1.5217535548750076</v>
      </c>
      <c r="E6" s="9">
        <f>SUM('Marginal Allocation Weight'!E$5:E$9)</f>
        <v>1.5245458146912774</v>
      </c>
      <c r="F6" s="9">
        <f>SUM('Marginal Allocation Weight'!F$5:F$9)</f>
        <v>1.5278477491157718</v>
      </c>
      <c r="G6" s="9">
        <f>SUM('Marginal Allocation Weight'!G$5:G$9)</f>
        <v>1.5319539068844219</v>
      </c>
      <c r="H6" s="9">
        <f>SUM('Marginal Allocation Weight'!H$5:H$9)</f>
        <v>1.5372658522117666</v>
      </c>
      <c r="I6" s="9">
        <f>SUM('Marginal Allocation Weight'!I$5:I$9)</f>
        <v>1.5443068500903883</v>
      </c>
      <c r="J6" s="9">
        <f>SUM('Marginal Allocation Weight'!J$5:J$9)</f>
        <v>1.5537301520215783</v>
      </c>
      <c r="K6" s="9">
        <f>SUM('Marginal Allocation Weight'!K$5:K$9)</f>
        <v>1.5663186194714753</v>
      </c>
      <c r="L6" s="9">
        <f>SUM('Marginal Allocation Weight'!L$5:L$9)</f>
        <v>1.5829742546405765</v>
      </c>
      <c r="M6" s="9">
        <f>SUM('Marginal Allocation Weight'!M$5:M$9)</f>
        <v>1.604697320384064</v>
      </c>
      <c r="N6" s="9">
        <f>SUM('Marginal Allocation Weight'!N$5:N$9)</f>
        <v>1.632555933731032</v>
      </c>
      <c r="O6" s="9">
        <f>SUM('Marginal Allocation Weight'!O$5:O$9)</f>
        <v>1.6676481114122399</v>
      </c>
      <c r="P6" s="9">
        <f>SUM('Marginal Allocation Weight'!P$5:P$9)</f>
        <v>1.7110590657331186</v>
      </c>
      <c r="Q6" s="9">
        <f>SUM('Marginal Allocation Weight'!Q$5:Q$9)</f>
        <v>1.7638169925686802</v>
      </c>
      <c r="R6" s="9">
        <f>SUM('Marginal Allocation Weight'!R$5:R$9)</f>
        <v>1.8268506315283519</v>
      </c>
      <c r="S6" s="9">
        <f>SUM('Marginal Allocation Weight'!S$5:S$9)</f>
        <v>1.9009515500853817</v>
      </c>
      <c r="T6" s="9">
        <f>SUM('Marginal Allocation Weight'!T$5:T$9)</f>
        <v>1.9867434961678139</v>
      </c>
      <c r="U6" s="9">
        <f>SUM('Marginal Allocation Weight'!U$5:U$9)</f>
        <v>2.0846603899381466</v>
      </c>
      <c r="V6" s="9">
        <f>SUM('Marginal Allocation Weight'!V$5:V$9)</f>
        <v>2.1949337000616524</v>
      </c>
      <c r="W6" s="9">
        <f>SUM('Marginal Allocation Weight'!W$5:W$9)</f>
        <v>2.3175891720018154</v>
      </c>
    </row>
    <row r="7" spans="1:23" s="9" customFormat="1" ht="15.75">
      <c r="A7" s="9" t="str">
        <f>+'Marginal Market Share'!A7</f>
        <v>Gas Tank</v>
      </c>
      <c r="B7" s="9">
        <f>SUM('Marginal Allocation Weight'!B$5:B$9)</f>
        <v>22026.982738247385</v>
      </c>
      <c r="C7" s="9">
        <f>SUM('Marginal Allocation Weight'!C$5:C$9)</f>
        <v>1.5192650324719639</v>
      </c>
      <c r="D7" s="9">
        <f>SUM('Marginal Allocation Weight'!D$5:D$9)</f>
        <v>1.5217535548750076</v>
      </c>
      <c r="E7" s="9">
        <f>SUM('Marginal Allocation Weight'!E$5:E$9)</f>
        <v>1.5245458146912774</v>
      </c>
      <c r="F7" s="9">
        <f>SUM('Marginal Allocation Weight'!F$5:F$9)</f>
        <v>1.5278477491157718</v>
      </c>
      <c r="G7" s="9">
        <f>SUM('Marginal Allocation Weight'!G$5:G$9)</f>
        <v>1.5319539068844219</v>
      </c>
      <c r="H7" s="9">
        <f>SUM('Marginal Allocation Weight'!H$5:H$9)</f>
        <v>1.5372658522117666</v>
      </c>
      <c r="I7" s="9">
        <f>SUM('Marginal Allocation Weight'!I$5:I$9)</f>
        <v>1.5443068500903883</v>
      </c>
      <c r="J7" s="9">
        <f>SUM('Marginal Allocation Weight'!J$5:J$9)</f>
        <v>1.5537301520215783</v>
      </c>
      <c r="K7" s="9">
        <f>SUM('Marginal Allocation Weight'!K$5:K$9)</f>
        <v>1.5663186194714753</v>
      </c>
      <c r="L7" s="9">
        <f>SUM('Marginal Allocation Weight'!L$5:L$9)</f>
        <v>1.5829742546405765</v>
      </c>
      <c r="M7" s="9">
        <f>SUM('Marginal Allocation Weight'!M$5:M$9)</f>
        <v>1.604697320384064</v>
      </c>
      <c r="N7" s="9">
        <f>SUM('Marginal Allocation Weight'!N$5:N$9)</f>
        <v>1.632555933731032</v>
      </c>
      <c r="O7" s="9">
        <f>SUM('Marginal Allocation Weight'!O$5:O$9)</f>
        <v>1.6676481114122399</v>
      </c>
      <c r="P7" s="9">
        <f>SUM('Marginal Allocation Weight'!P$5:P$9)</f>
        <v>1.7110590657331186</v>
      </c>
      <c r="Q7" s="9">
        <f>SUM('Marginal Allocation Weight'!Q$5:Q$9)</f>
        <v>1.7638169925686802</v>
      </c>
      <c r="R7" s="9">
        <f>SUM('Marginal Allocation Weight'!R$5:R$9)</f>
        <v>1.8268506315283519</v>
      </c>
      <c r="S7" s="9">
        <f>SUM('Marginal Allocation Weight'!S$5:S$9)</f>
        <v>1.9009515500853817</v>
      </c>
      <c r="T7" s="9">
        <f>SUM('Marginal Allocation Weight'!T$5:T$9)</f>
        <v>1.9867434961678139</v>
      </c>
      <c r="U7" s="9">
        <f>SUM('Marginal Allocation Weight'!U$5:U$9)</f>
        <v>2.0846603899381466</v>
      </c>
      <c r="V7" s="9">
        <f>SUM('Marginal Allocation Weight'!V$5:V$9)</f>
        <v>2.1949337000616524</v>
      </c>
      <c r="W7" s="9">
        <f>SUM('Marginal Allocation Weight'!W$5:W$9)</f>
        <v>2.3175891720018154</v>
      </c>
    </row>
    <row r="8" spans="1:23" s="9" customFormat="1" ht="15.75">
      <c r="A8" s="9" t="str">
        <f>+'Marginal Market Share'!A8</f>
        <v>Instant Gas</v>
      </c>
      <c r="B8" s="9">
        <f>SUM('Marginal Allocation Weight'!B$5:B$9)</f>
        <v>22026.982738247385</v>
      </c>
      <c r="C8" s="9">
        <f>SUM('Marginal Allocation Weight'!C$5:C$9)</f>
        <v>1.5192650324719639</v>
      </c>
      <c r="D8" s="9">
        <f>SUM('Marginal Allocation Weight'!D$5:D$9)</f>
        <v>1.5217535548750076</v>
      </c>
      <c r="E8" s="9">
        <f>SUM('Marginal Allocation Weight'!E$5:E$9)</f>
        <v>1.5245458146912774</v>
      </c>
      <c r="F8" s="9">
        <f>SUM('Marginal Allocation Weight'!F$5:F$9)</f>
        <v>1.5278477491157718</v>
      </c>
      <c r="G8" s="9">
        <f>SUM('Marginal Allocation Weight'!G$5:G$9)</f>
        <v>1.5319539068844219</v>
      </c>
      <c r="H8" s="9">
        <f>SUM('Marginal Allocation Weight'!H$5:H$9)</f>
        <v>1.5372658522117666</v>
      </c>
      <c r="I8" s="9">
        <f>SUM('Marginal Allocation Weight'!I$5:I$9)</f>
        <v>1.5443068500903883</v>
      </c>
      <c r="J8" s="9">
        <f>SUM('Marginal Allocation Weight'!J$5:J$9)</f>
        <v>1.5537301520215783</v>
      </c>
      <c r="K8" s="9">
        <f>SUM('Marginal Allocation Weight'!K$5:K$9)</f>
        <v>1.5663186194714753</v>
      </c>
      <c r="L8" s="9">
        <f>SUM('Marginal Allocation Weight'!L$5:L$9)</f>
        <v>1.5829742546405765</v>
      </c>
      <c r="M8" s="9">
        <f>SUM('Marginal Allocation Weight'!M$5:M$9)</f>
        <v>1.604697320384064</v>
      </c>
      <c r="N8" s="9">
        <f>SUM('Marginal Allocation Weight'!N$5:N$9)</f>
        <v>1.632555933731032</v>
      </c>
      <c r="O8" s="9">
        <f>SUM('Marginal Allocation Weight'!O$5:O$9)</f>
        <v>1.6676481114122399</v>
      </c>
      <c r="P8" s="9">
        <f>SUM('Marginal Allocation Weight'!P$5:P$9)</f>
        <v>1.7110590657331186</v>
      </c>
      <c r="Q8" s="9">
        <f>SUM('Marginal Allocation Weight'!Q$5:Q$9)</f>
        <v>1.7638169925686802</v>
      </c>
      <c r="R8" s="9">
        <f>SUM('Marginal Allocation Weight'!R$5:R$9)</f>
        <v>1.8268506315283519</v>
      </c>
      <c r="S8" s="9">
        <f>SUM('Marginal Allocation Weight'!S$5:S$9)</f>
        <v>1.9009515500853817</v>
      </c>
      <c r="T8" s="9">
        <f>SUM('Marginal Allocation Weight'!T$5:T$9)</f>
        <v>1.9867434961678139</v>
      </c>
      <c r="U8" s="9">
        <f>SUM('Marginal Allocation Weight'!U$5:U$9)</f>
        <v>2.0846603899381466</v>
      </c>
      <c r="V8" s="9">
        <f>SUM('Marginal Allocation Weight'!V$5:V$9)</f>
        <v>2.1949337000616524</v>
      </c>
      <c r="W8" s="9">
        <f>SUM('Marginal Allocation Weight'!W$5:W$9)</f>
        <v>2.3175891720018154</v>
      </c>
    </row>
    <row r="9" spans="1:23" s="9" customFormat="1" ht="15.75">
      <c r="A9" s="9" t="str">
        <f>+'Marginal Market Share'!A9</f>
        <v>Condensing Gas</v>
      </c>
      <c r="B9" s="9">
        <f>SUM('Marginal Allocation Weight'!B$5:B$9)</f>
        <v>22026.982738247385</v>
      </c>
      <c r="C9" s="9">
        <f>SUM('Marginal Allocation Weight'!C$5:C$9)</f>
        <v>1.5192650324719639</v>
      </c>
      <c r="D9" s="9">
        <f>SUM('Marginal Allocation Weight'!D$5:D$9)</f>
        <v>1.5217535548750076</v>
      </c>
      <c r="E9" s="9">
        <f>SUM('Marginal Allocation Weight'!E$5:E$9)</f>
        <v>1.5245458146912774</v>
      </c>
      <c r="F9" s="9">
        <f>SUM('Marginal Allocation Weight'!F$5:F$9)</f>
        <v>1.5278477491157718</v>
      </c>
      <c r="G9" s="9">
        <f>SUM('Marginal Allocation Weight'!G$5:G$9)</f>
        <v>1.5319539068844219</v>
      </c>
      <c r="H9" s="9">
        <f>SUM('Marginal Allocation Weight'!H$5:H$9)</f>
        <v>1.5372658522117666</v>
      </c>
      <c r="I9" s="9">
        <f>SUM('Marginal Allocation Weight'!I$5:I$9)</f>
        <v>1.5443068500903883</v>
      </c>
      <c r="J9" s="9">
        <f>SUM('Marginal Allocation Weight'!J$5:J$9)</f>
        <v>1.5537301520215783</v>
      </c>
      <c r="K9" s="9">
        <f>SUM('Marginal Allocation Weight'!K$5:K$9)</f>
        <v>1.5663186194714753</v>
      </c>
      <c r="L9" s="9">
        <f>SUM('Marginal Allocation Weight'!L$5:L$9)</f>
        <v>1.5829742546405765</v>
      </c>
      <c r="M9" s="9">
        <f>SUM('Marginal Allocation Weight'!M$5:M$9)</f>
        <v>1.604697320384064</v>
      </c>
      <c r="N9" s="9">
        <f>SUM('Marginal Allocation Weight'!N$5:N$9)</f>
        <v>1.632555933731032</v>
      </c>
      <c r="O9" s="9">
        <f>SUM('Marginal Allocation Weight'!O$5:O$9)</f>
        <v>1.6676481114122399</v>
      </c>
      <c r="P9" s="9">
        <f>SUM('Marginal Allocation Weight'!P$5:P$9)</f>
        <v>1.7110590657331186</v>
      </c>
      <c r="Q9" s="9">
        <f>SUM('Marginal Allocation Weight'!Q$5:Q$9)</f>
        <v>1.7638169925686802</v>
      </c>
      <c r="R9" s="9">
        <f>SUM('Marginal Allocation Weight'!R$5:R$9)</f>
        <v>1.8268506315283519</v>
      </c>
      <c r="S9" s="9">
        <f>SUM('Marginal Allocation Weight'!S$5:S$9)</f>
        <v>1.9009515500853817</v>
      </c>
      <c r="T9" s="9">
        <f>SUM('Marginal Allocation Weight'!T$5:T$9)</f>
        <v>1.9867434961678139</v>
      </c>
      <c r="U9" s="9">
        <f>SUM('Marginal Allocation Weight'!U$5:U$9)</f>
        <v>2.0846603899381466</v>
      </c>
      <c r="V9" s="9">
        <f>SUM('Marginal Allocation Weight'!V$5:V$9)</f>
        <v>2.1949337000616524</v>
      </c>
      <c r="W9" s="9">
        <f>SUM('Marginal Allocation Weight'!W$5:W$9)</f>
        <v>2.3175891720018154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B5" sqref="B5:W9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9">
      <c r="A3" s="12" t="s">
        <v>44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9" t="str">
        <f>'Device Energy Use'!A4</f>
        <v>Water Heat Ending</v>
      </c>
      <c r="B4" s="40">
        <f>'Levelized Costs'!B4</f>
        <v>2014</v>
      </c>
      <c r="C4" s="40">
        <f>'Levelized Costs'!C4</f>
        <v>2015</v>
      </c>
      <c r="D4" s="40">
        <f>'Levelized Costs'!D4</f>
        <v>2016</v>
      </c>
      <c r="E4" s="40">
        <f>'Levelized Costs'!E4</f>
        <v>2017</v>
      </c>
      <c r="F4" s="40">
        <f>'Levelized Costs'!F4</f>
        <v>2018</v>
      </c>
      <c r="G4" s="40">
        <f>'Levelized Costs'!G4</f>
        <v>2019</v>
      </c>
      <c r="H4" s="40">
        <f>'Levelized Costs'!H4</f>
        <v>2020</v>
      </c>
      <c r="I4" s="40">
        <f>'Levelized Costs'!I4</f>
        <v>2021</v>
      </c>
      <c r="J4" s="40">
        <f>'Levelized Costs'!J4</f>
        <v>2022</v>
      </c>
      <c r="K4" s="40">
        <f>'Levelized Costs'!K4</f>
        <v>2023</v>
      </c>
      <c r="L4" s="40">
        <f>'Levelized Costs'!L4</f>
        <v>2024</v>
      </c>
      <c r="M4" s="40">
        <f>'Levelized Costs'!M4</f>
        <v>2025</v>
      </c>
      <c r="N4" s="40">
        <f>'Levelized Costs'!N4</f>
        <v>2026</v>
      </c>
      <c r="O4" s="40">
        <f>'Levelized Costs'!O4</f>
        <v>2027</v>
      </c>
      <c r="P4" s="40">
        <f>'Levelized Costs'!P4</f>
        <v>2028</v>
      </c>
      <c r="Q4" s="40">
        <f>'Levelized Costs'!Q4</f>
        <v>2029</v>
      </c>
      <c r="R4" s="40">
        <f>'Levelized Costs'!R4</f>
        <v>2030</v>
      </c>
      <c r="S4" s="40">
        <f>'Levelized Costs'!S4</f>
        <v>2031</v>
      </c>
      <c r="T4" s="40">
        <f>'Levelized Costs'!T4</f>
        <v>2032</v>
      </c>
      <c r="U4" s="40">
        <f>'Levelized Costs'!U4</f>
        <v>2033</v>
      </c>
      <c r="V4" s="40">
        <f>'Levelized Costs'!V4</f>
        <v>2034</v>
      </c>
      <c r="W4" s="40">
        <f>'Levelized Costs'!W4</f>
        <v>2035</v>
      </c>
    </row>
    <row r="5" spans="1:29">
      <c r="A5" s="9" t="str">
        <f>+'Total Allocation Weight'!A5</f>
        <v>Electric Resistance</v>
      </c>
      <c r="B5" s="159">
        <f>EXP('Non-Price Factors'!B10+VarianceFactor*LN('Levelized Costs'!B5/'Levelized Costs'!B$5))</f>
        <v>22026.465794806718</v>
      </c>
      <c r="C5" s="159">
        <f>EXP('Non-Price Factors'!C10+VarianceFactor*LN('Levelized Costs'!C5/'Levelized Costs'!C$5))</f>
        <v>1</v>
      </c>
      <c r="D5" s="159">
        <f>EXP('Non-Price Factors'!D10+VarianceFactor*LN('Levelized Costs'!D5/'Levelized Costs'!D$5))</f>
        <v>1</v>
      </c>
      <c r="E5" s="159">
        <f>EXP('Non-Price Factors'!E10+VarianceFactor*LN('Levelized Costs'!E5/'Levelized Costs'!E$5))</f>
        <v>1</v>
      </c>
      <c r="F5" s="159">
        <f>EXP('Non-Price Factors'!F10+VarianceFactor*LN('Levelized Costs'!F5/'Levelized Costs'!F$5))</f>
        <v>1</v>
      </c>
      <c r="G5" s="159">
        <f>EXP('Non-Price Factors'!G10+VarianceFactor*LN('Levelized Costs'!G5/'Levelized Costs'!G$5))</f>
        <v>1</v>
      </c>
      <c r="H5" s="159">
        <f>EXP('Non-Price Factors'!H10+VarianceFactor*LN('Levelized Costs'!H5/'Levelized Costs'!H$5))</f>
        <v>1</v>
      </c>
      <c r="I5" s="159">
        <f>EXP('Non-Price Factors'!I10+VarianceFactor*LN('Levelized Costs'!I5/'Levelized Costs'!I$5))</f>
        <v>1</v>
      </c>
      <c r="J5" s="159">
        <f>EXP('Non-Price Factors'!J10+VarianceFactor*LN('Levelized Costs'!J5/'Levelized Costs'!J$5))</f>
        <v>1</v>
      </c>
      <c r="K5" s="159">
        <f>EXP('Non-Price Factors'!K10+VarianceFactor*LN('Levelized Costs'!K5/'Levelized Costs'!K$5))</f>
        <v>1</v>
      </c>
      <c r="L5" s="159">
        <f>EXP('Non-Price Factors'!L10+VarianceFactor*LN('Levelized Costs'!L5/'Levelized Costs'!L$5))</f>
        <v>1</v>
      </c>
      <c r="M5" s="159">
        <f>EXP('Non-Price Factors'!M10+VarianceFactor*LN('Levelized Costs'!M5/'Levelized Costs'!M$5))</f>
        <v>1</v>
      </c>
      <c r="N5" s="159">
        <f>EXP('Non-Price Factors'!N10+VarianceFactor*LN('Levelized Costs'!N5/'Levelized Costs'!N$5))</f>
        <v>1</v>
      </c>
      <c r="O5" s="159">
        <f>EXP('Non-Price Factors'!O10+VarianceFactor*LN('Levelized Costs'!O5/'Levelized Costs'!O$5))</f>
        <v>1</v>
      </c>
      <c r="P5" s="159">
        <f>EXP('Non-Price Factors'!P10+VarianceFactor*LN('Levelized Costs'!P5/'Levelized Costs'!P$5))</f>
        <v>1</v>
      </c>
      <c r="Q5" s="159">
        <f>EXP('Non-Price Factors'!Q10+VarianceFactor*LN('Levelized Costs'!Q5/'Levelized Costs'!Q$5))</f>
        <v>1</v>
      </c>
      <c r="R5" s="159">
        <f>EXP('Non-Price Factors'!R10+VarianceFactor*LN('Levelized Costs'!R5/'Levelized Costs'!R$5))</f>
        <v>1</v>
      </c>
      <c r="S5" s="159">
        <f>EXP('Non-Price Factors'!S10+VarianceFactor*LN('Levelized Costs'!S5/'Levelized Costs'!S$5))</f>
        <v>1</v>
      </c>
      <c r="T5" s="159">
        <f>EXP('Non-Price Factors'!T10+VarianceFactor*LN('Levelized Costs'!T5/'Levelized Costs'!T$5))</f>
        <v>1</v>
      </c>
      <c r="U5" s="159">
        <f>EXP('Non-Price Factors'!U10+VarianceFactor*LN('Levelized Costs'!U5/'Levelized Costs'!U$5))</f>
        <v>1</v>
      </c>
      <c r="V5" s="159">
        <f>EXP('Non-Price Factors'!V10+VarianceFactor*LN('Levelized Costs'!V5/'Levelized Costs'!V$5))</f>
        <v>1</v>
      </c>
      <c r="W5" s="159">
        <f>EXP('Non-Price Factors'!W10+VarianceFactor*LN('Levelized Costs'!W5/'Levelized Costs'!W$5))</f>
        <v>1</v>
      </c>
    </row>
    <row r="6" spans="1:29">
      <c r="A6" s="9" t="str">
        <f>+'Total Allocation Weight'!A6</f>
        <v>HPWH</v>
      </c>
      <c r="B6" s="159">
        <f>EXP('Non-Price Factors'!B11+VarianceFactor*LN('Levelized Costs'!B6/'Levelized Costs'!B$5))</f>
        <v>7.1637608805784721E-5</v>
      </c>
      <c r="C6" s="159">
        <f>EXP('Non-Price Factors'!C11+VarianceFactor*LN('Levelized Costs'!C6/'Levelized Costs'!C$5))</f>
        <v>1.5127091514087888E-4</v>
      </c>
      <c r="D6" s="159">
        <f>EXP('Non-Price Factors'!D11+VarianceFactor*LN('Levelized Costs'!D6/'Levelized Costs'!D$5))</f>
        <v>3.0252485565263244E-4</v>
      </c>
      <c r="E6" s="159">
        <f>EXP('Non-Price Factors'!E11+VarianceFactor*LN('Levelized Costs'!E6/'Levelized Costs'!E$5))</f>
        <v>5.7530256019666421E-4</v>
      </c>
      <c r="F6" s="159">
        <f>EXP('Non-Price Factors'!F11+VarianceFactor*LN('Levelized Costs'!F6/'Levelized Costs'!F$5))</f>
        <v>1.0441704093538896E-3</v>
      </c>
      <c r="G6" s="159">
        <f>EXP('Non-Price Factors'!G11+VarianceFactor*LN('Levelized Costs'!G6/'Levelized Costs'!G$5))</f>
        <v>1.8150049673835479E-3</v>
      </c>
      <c r="H6" s="159">
        <f>EXP('Non-Price Factors'!H11+VarianceFactor*LN('Levelized Costs'!H6/'Levelized Costs'!H$5))</f>
        <v>3.031078684145289E-3</v>
      </c>
      <c r="I6" s="159">
        <f>EXP('Non-Price Factors'!I11+VarianceFactor*LN('Levelized Costs'!I6/'Levelized Costs'!I$5))</f>
        <v>4.8776352434300417E-3</v>
      </c>
      <c r="J6" s="159">
        <f>EXP('Non-Price Factors'!J11+VarianceFactor*LN('Levelized Costs'!J6/'Levelized Costs'!J$5))</f>
        <v>7.584021922973006E-3</v>
      </c>
      <c r="K6" s="159">
        <f>EXP('Non-Price Factors'!K11+VarianceFactor*LN('Levelized Costs'!K6/'Levelized Costs'!K$5))</f>
        <v>1.1422628349840112E-2</v>
      </c>
      <c r="L6" s="159">
        <f>EXP('Non-Price Factors'!L11+VarianceFactor*LN('Levelized Costs'!L6/'Levelized Costs'!L$5))</f>
        <v>1.6704206190459665E-2</v>
      </c>
      <c r="M6" s="159">
        <f>EXP('Non-Price Factors'!M11+VarianceFactor*LN('Levelized Costs'!M6/'Levelized Costs'!M$5))</f>
        <v>2.3769558587085175E-2</v>
      </c>
      <c r="N6" s="159">
        <f>EXP('Non-Price Factors'!N11+VarianceFactor*LN('Levelized Costs'!N6/'Levelized Costs'!N$5))</f>
        <v>3.2978019940565498E-2</v>
      </c>
      <c r="O6" s="159">
        <f>EXP('Non-Price Factors'!O11+VarianceFactor*LN('Levelized Costs'!O6/'Levelized Costs'!O$5))</f>
        <v>4.469352407215825E-2</v>
      </c>
      <c r="P6" s="159">
        <f>EXP('Non-Price Factors'!P11+VarianceFactor*LN('Levelized Costs'!P6/'Levelized Costs'!P$5))</f>
        <v>5.9269325093838046E-2</v>
      </c>
      <c r="Q6" s="159">
        <f>EXP('Non-Price Factors'!Q11+VarianceFactor*LN('Levelized Costs'!Q6/'Levelized Costs'!Q$5))</f>
        <v>7.7032558492380845E-2</v>
      </c>
      <c r="R6" s="159">
        <f>EXP('Non-Price Factors'!R11+VarianceFactor*LN('Levelized Costs'!R6/'Levelized Costs'!R$5))</f>
        <v>9.8269805478523223E-2</v>
      </c>
      <c r="S6" s="159">
        <f>EXP('Non-Price Factors'!S11+VarianceFactor*LN('Levelized Costs'!S6/'Levelized Costs'!S$5))</f>
        <v>0.12321467098391167</v>
      </c>
      <c r="T6" s="159">
        <f>EXP('Non-Price Factors'!T11+VarianceFactor*LN('Levelized Costs'!T6/'Levelized Costs'!T$5))</f>
        <v>0.15203814053857428</v>
      </c>
      <c r="U6" s="159">
        <f>EXP('Non-Price Factors'!U11+VarianceFactor*LN('Levelized Costs'!U6/'Levelized Costs'!U$5))</f>
        <v>0.18484218661436883</v>
      </c>
      <c r="V6" s="159">
        <f>EXP('Non-Price Factors'!V11+VarianceFactor*LN('Levelized Costs'!V6/'Levelized Costs'!V$5))</f>
        <v>0.2216567928078646</v>
      </c>
      <c r="W6" s="159">
        <f>EXP('Non-Price Factors'!W11+VarianceFactor*LN('Levelized Costs'!W6/'Levelized Costs'!W$5))</f>
        <v>0.26244028922764362</v>
      </c>
    </row>
    <row r="7" spans="1:29">
      <c r="A7" s="9" t="str">
        <f>+'Total Allocation Weight'!A7</f>
        <v>Gas Tank</v>
      </c>
      <c r="B7" s="159">
        <f>EXP('Non-Price Factors'!B12+VarianceFactor*LN('Levelized Costs'!B7/'Levelized Costs'!B$5))</f>
        <v>0.51675202610707027</v>
      </c>
      <c r="C7" s="159">
        <f>EXP('Non-Price Factors'!C12+VarianceFactor*LN('Levelized Costs'!C7/'Levelized Costs'!C$5))</f>
        <v>0.51885924838886599</v>
      </c>
      <c r="D7" s="159">
        <f>EXP('Non-Price Factors'!D12+VarianceFactor*LN('Levelized Costs'!D7/'Levelized Costs'!D$5))</f>
        <v>0.52093882943761993</v>
      </c>
      <c r="E7" s="159">
        <f>EXP('Non-Price Factors'!E12+VarianceFactor*LN('Levelized Costs'!E7/'Levelized Costs'!E$5))</f>
        <v>0.5229903436385549</v>
      </c>
      <c r="F7" s="159">
        <f>EXP('Non-Price Factors'!F12+VarianceFactor*LN('Levelized Costs'!F7/'Levelized Costs'!F$5))</f>
        <v>0.52501337608663945</v>
      </c>
      <c r="G7" s="159">
        <f>EXP('Non-Price Factors'!G12+VarianceFactor*LN('Levelized Costs'!G7/'Levelized Costs'!G$5))</f>
        <v>0.52700752279151075</v>
      </c>
      <c r="H7" s="159">
        <f>EXP('Non-Price Factors'!H12+VarianceFactor*LN('Levelized Costs'!H7/'Levelized Costs'!H$5))</f>
        <v>0.52897239087201375</v>
      </c>
      <c r="I7" s="159">
        <f>EXP('Non-Price Factors'!I12+VarianceFactor*LN('Levelized Costs'!I7/'Levelized Costs'!I$5))</f>
        <v>0.53090759874019489</v>
      </c>
      <c r="J7" s="159">
        <f>EXP('Non-Price Factors'!J12+VarianceFactor*LN('Levelized Costs'!J7/'Levelized Costs'!J$5))</f>
        <v>0.53281277627462453</v>
      </c>
      <c r="K7" s="159">
        <f>EXP('Non-Price Factors'!K12+VarianceFactor*LN('Levelized Costs'!K7/'Levelized Costs'!K$5))</f>
        <v>0.5346875649829268</v>
      </c>
      <c r="L7" s="159">
        <f>EXP('Non-Price Factors'!L12+VarianceFactor*LN('Levelized Costs'!L7/'Levelized Costs'!L$5))</f>
        <v>0.53653161815342154</v>
      </c>
      <c r="M7" s="159">
        <f>EXP('Non-Price Factors'!M12+VarianceFactor*LN('Levelized Costs'!M7/'Levelized Costs'!M$5))</f>
        <v>0.53834460099579429</v>
      </c>
      <c r="N7" s="159">
        <f>EXP('Non-Price Factors'!N12+VarianceFactor*LN('Levelized Costs'!N7/'Levelized Costs'!N$5))</f>
        <v>0.54012619077073776</v>
      </c>
      <c r="O7" s="159">
        <f>EXP('Non-Price Factors'!O12+VarianceFactor*LN('Levelized Costs'!O7/'Levelized Costs'!O$5))</f>
        <v>0.54187607690850847</v>
      </c>
      <c r="P7" s="159">
        <f>EXP('Non-Price Factors'!P12+VarianceFactor*LN('Levelized Costs'!P7/'Levelized Costs'!P$5))</f>
        <v>0.54359396111637825</v>
      </c>
      <c r="Q7" s="159">
        <f>EXP('Non-Price Factors'!Q12+VarianceFactor*LN('Levelized Costs'!Q7/'Levelized Costs'!Q$5))</f>
        <v>0.5452795574749677</v>
      </c>
      <c r="R7" s="159">
        <f>EXP('Non-Price Factors'!R12+VarianceFactor*LN('Levelized Costs'!R7/'Levelized Costs'!R$5))</f>
        <v>0.54693259252345716</v>
      </c>
      <c r="S7" s="159">
        <f>EXP('Non-Price Factors'!S12+VarianceFactor*LN('Levelized Costs'!S7/'Levelized Costs'!S$5))</f>
        <v>0.54855280533371298</v>
      </c>
      <c r="T7" s="159">
        <f>EXP('Non-Price Factors'!T12+VarianceFactor*LN('Levelized Costs'!T7/'Levelized Costs'!T$5))</f>
        <v>0.55013994757335183</v>
      </c>
      <c r="U7" s="159">
        <f>EXP('Non-Price Factors'!U12+VarianceFactor*LN('Levelized Costs'!U7/'Levelized Costs'!U$5))</f>
        <v>0.55169378355780441</v>
      </c>
      <c r="V7" s="159">
        <f>EXP('Non-Price Factors'!V12+VarianceFactor*LN('Levelized Costs'!V7/'Levelized Costs'!V$5))</f>
        <v>0.55321409029144808</v>
      </c>
      <c r="W7" s="159">
        <f>EXP('Non-Price Factors'!W12+VarianceFactor*LN('Levelized Costs'!W7/'Levelized Costs'!W$5))</f>
        <v>0.55470065749788866</v>
      </c>
    </row>
    <row r="8" spans="1:29">
      <c r="A8" s="9" t="str">
        <f>+'Total Allocation Weight'!A8</f>
        <v>Instant Gas</v>
      </c>
      <c r="B8" s="159">
        <f>EXP('Non-Price Factors'!B13+VarianceFactor*LN('Levelized Costs'!B8/'Levelized Costs'!B$5))</f>
        <v>2.3594244625611015E-5</v>
      </c>
      <c r="C8" s="159">
        <f>EXP('Non-Price Factors'!C13+VarianceFactor*LN('Levelized Costs'!C8/'Levelized Costs'!C$5))</f>
        <v>5.0211886602499944E-5</v>
      </c>
      <c r="D8" s="159">
        <f>EXP('Non-Price Factors'!D13+VarianceFactor*LN('Levelized Costs'!D8/'Levelized Costs'!D$5))</f>
        <v>1.0120571548267693E-4</v>
      </c>
      <c r="E8" s="159">
        <f>EXP('Non-Price Factors'!E13+VarianceFactor*LN('Levelized Costs'!E8/'Levelized Costs'!E$5))</f>
        <v>1.9397225477059033E-4</v>
      </c>
      <c r="F8" s="159">
        <f>EXP('Non-Price Factors'!F13+VarianceFactor*LN('Levelized Costs'!F8/'Levelized Costs'!F$5))</f>
        <v>3.5482986700335493E-4</v>
      </c>
      <c r="G8" s="159">
        <f>EXP('Non-Price Factors'!G13+VarianceFactor*LN('Levelized Costs'!G8/'Levelized Costs'!G$5))</f>
        <v>6.2163852358395699E-4</v>
      </c>
      <c r="H8" s="159">
        <f>EXP('Non-Price Factors'!H13+VarianceFactor*LN('Levelized Costs'!H8/'Levelized Costs'!H$5))</f>
        <v>1.0463431792731373E-3</v>
      </c>
      <c r="I8" s="159">
        <f>EXP('Non-Price Factors'!I13+VarianceFactor*LN('Levelized Costs'!I8/'Levelized Costs'!I$5))</f>
        <v>1.6971033518324162E-3</v>
      </c>
      <c r="J8" s="159">
        <f>EXP('Non-Price Factors'!J13+VarianceFactor*LN('Levelized Costs'!J8/'Levelized Costs'!J$5))</f>
        <v>2.6596559473916243E-3</v>
      </c>
      <c r="K8" s="159">
        <f>EXP('Non-Price Factors'!K13+VarianceFactor*LN('Levelized Costs'!K8/'Levelized Costs'!K$5))</f>
        <v>4.0376008558425198E-3</v>
      </c>
      <c r="L8" s="159">
        <f>EXP('Non-Price Factors'!L13+VarianceFactor*LN('Levelized Costs'!L8/'Levelized Costs'!L$5))</f>
        <v>5.9513960574283801E-3</v>
      </c>
      <c r="M8" s="159">
        <f>EXP('Non-Price Factors'!M13+VarianceFactor*LN('Levelized Costs'!M8/'Levelized Costs'!M$5))</f>
        <v>8.5359858006431866E-3</v>
      </c>
      <c r="N8" s="159">
        <f>EXP('Non-Price Factors'!N13+VarianceFactor*LN('Levelized Costs'!N8/'Levelized Costs'!N$5))</f>
        <v>1.1937138841704638E-2</v>
      </c>
      <c r="O8" s="159">
        <f>EXP('Non-Price Factors'!O13+VarianceFactor*LN('Levelized Costs'!O8/'Levelized Costs'!O$5))</f>
        <v>1.6306718541899582E-2</v>
      </c>
      <c r="P8" s="159">
        <f>EXP('Non-Price Factors'!P13+VarianceFactor*LN('Levelized Costs'!P8/'Levelized Costs'!P$5))</f>
        <v>2.1797220838205473E-2</v>
      </c>
      <c r="Q8" s="159">
        <f>EXP('Non-Price Factors'!Q13+VarianceFactor*LN('Levelized Costs'!Q8/'Levelized Costs'!Q$5))</f>
        <v>2.8555985051693308E-2</v>
      </c>
      <c r="R8" s="159">
        <f>EXP('Non-Price Factors'!R13+VarianceFactor*LN('Levelized Costs'!R8/'Levelized Costs'!R$5))</f>
        <v>3.6719500559972557E-2</v>
      </c>
      <c r="S8" s="159">
        <f>EXP('Non-Price Factors'!S13+VarianceFactor*LN('Levelized Costs'!S8/'Levelized Costs'!S$5))</f>
        <v>4.6408202575922458E-2</v>
      </c>
      <c r="T8" s="159">
        <f>EXP('Non-Price Factors'!T13+VarianceFactor*LN('Levelized Costs'!T8/'Levelized Costs'!T$5))</f>
        <v>5.7722082315873953E-2</v>
      </c>
      <c r="U8" s="159">
        <f>EXP('Non-Price Factors'!U13+VarianceFactor*LN('Levelized Costs'!U8/'Levelized Costs'!U$5))</f>
        <v>7.0737344164890539E-2</v>
      </c>
      <c r="V8" s="159">
        <f>EXP('Non-Price Factors'!V13+VarianceFactor*LN('Levelized Costs'!V8/'Levelized Costs'!V$5))</f>
        <v>8.5504239426650086E-2</v>
      </c>
      <c r="W8" s="159">
        <f>EXP('Non-Price Factors'!W13+VarianceFactor*LN('Levelized Costs'!W8/'Levelized Costs'!W$5))</f>
        <v>0.10204610582317851</v>
      </c>
    </row>
    <row r="9" spans="1:29">
      <c r="A9" s="9" t="str">
        <f>+'Total Allocation Weight'!A9</f>
        <v>Condensing Gas</v>
      </c>
      <c r="B9" s="159">
        <f>EXP('Non-Price Factors'!B14+VarianceFactor*LN('Levelized Costs'!B9/'Levelized Costs'!B$5))</f>
        <v>9.6182707302112396E-5</v>
      </c>
      <c r="C9" s="159">
        <f>EXP('Non-Price Factors'!C14+VarianceFactor*LN('Levelized Costs'!C9/'Levelized Costs'!C$5))</f>
        <v>2.0430128135454003E-4</v>
      </c>
      <c r="D9" s="159">
        <f>EXP('Non-Price Factors'!D14+VarianceFactor*LN('Levelized Costs'!D9/'Levelized Costs'!D$5))</f>
        <v>4.1099486625202977E-4</v>
      </c>
      <c r="E9" s="159">
        <f>EXP('Non-Price Factors'!E14+VarianceFactor*LN('Levelized Costs'!E9/'Levelized Costs'!E$5))</f>
        <v>7.8619623775527854E-4</v>
      </c>
      <c r="F9" s="159">
        <f>EXP('Non-Price Factors'!F14+VarianceFactor*LN('Levelized Costs'!F9/'Levelized Costs'!F$5))</f>
        <v>1.4353727527754668E-3</v>
      </c>
      <c r="G9" s="159">
        <f>EXP('Non-Price Factors'!G14+VarianceFactor*LN('Levelized Costs'!G9/'Levelized Costs'!G$5))</f>
        <v>2.5097406019436081E-3</v>
      </c>
      <c r="H9" s="159">
        <f>EXP('Non-Price Factors'!H14+VarianceFactor*LN('Levelized Costs'!H9/'Levelized Costs'!H$5))</f>
        <v>4.2160394763345807E-3</v>
      </c>
      <c r="I9" s="159">
        <f>EXP('Non-Price Factors'!I14+VarianceFactor*LN('Levelized Costs'!I9/'Levelized Costs'!I$5))</f>
        <v>6.8245127549306428E-3</v>
      </c>
      <c r="J9" s="159">
        <f>EXP('Non-Price Factors'!J14+VarianceFactor*LN('Levelized Costs'!J9/'Levelized Costs'!J$5))</f>
        <v>1.0673697876589004E-2</v>
      </c>
      <c r="K9" s="159">
        <f>EXP('Non-Price Factors'!K14+VarianceFactor*LN('Levelized Costs'!K9/'Levelized Costs'!K$5))</f>
        <v>1.6170825282865953E-2</v>
      </c>
      <c r="L9" s="159">
        <f>EXP('Non-Price Factors'!L14+VarianceFactor*LN('Levelized Costs'!L9/'Levelized Costs'!L$5))</f>
        <v>2.3787034239266987E-2</v>
      </c>
      <c r="M9" s="159">
        <f>EXP('Non-Price Factors'!M14+VarianceFactor*LN('Levelized Costs'!M9/'Levelized Costs'!M$5))</f>
        <v>3.4047175000541309E-2</v>
      </c>
      <c r="N9" s="159">
        <f>EXP('Non-Price Factors'!N14+VarianceFactor*LN('Levelized Costs'!N9/'Levelized Costs'!N$5))</f>
        <v>4.7514584178024004E-2</v>
      </c>
      <c r="O9" s="159">
        <f>EXP('Non-Price Factors'!O14+VarianceFactor*LN('Levelized Costs'!O9/'Levelized Costs'!O$5))</f>
        <v>6.4771791889673538E-2</v>
      </c>
      <c r="P9" s="159">
        <f>EXP('Non-Price Factors'!P14+VarianceFactor*LN('Levelized Costs'!P9/'Levelized Costs'!P$5))</f>
        <v>8.6398558684696786E-2</v>
      </c>
      <c r="Q9" s="159">
        <f>EXP('Non-Price Factors'!Q14+VarianceFactor*LN('Levelized Costs'!Q9/'Levelized Costs'!Q$5))</f>
        <v>0.11294889154963834</v>
      </c>
      <c r="R9" s="159">
        <f>EXP('Non-Price Factors'!R14+VarianceFactor*LN('Levelized Costs'!R9/'Levelized Costs'!R$5))</f>
        <v>0.14492873296639916</v>
      </c>
      <c r="S9" s="159">
        <f>EXP('Non-Price Factors'!S14+VarianceFactor*LN('Levelized Costs'!S9/'Levelized Costs'!S$5))</f>
        <v>0.18277587119183464</v>
      </c>
      <c r="T9" s="159">
        <f>EXP('Non-Price Factors'!T14+VarianceFactor*LN('Levelized Costs'!T9/'Levelized Costs'!T$5))</f>
        <v>0.22684332574001381</v>
      </c>
      <c r="U9" s="159">
        <f>EXP('Non-Price Factors'!U14+VarianceFactor*LN('Levelized Costs'!U9/'Levelized Costs'!U$5))</f>
        <v>0.27738707560108272</v>
      </c>
      <c r="V9" s="159">
        <f>EXP('Non-Price Factors'!V14+VarianceFactor*LN('Levelized Costs'!V9/'Levelized Costs'!V$5))</f>
        <v>0.33455857753568968</v>
      </c>
      <c r="W9" s="159">
        <f>EXP('Non-Price Factors'!W14+VarianceFactor*LN('Levelized Costs'!W9/'Levelized Costs'!W$5))</f>
        <v>0.39840211945310433</v>
      </c>
    </row>
    <row r="10" spans="1:29">
      <c r="A10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workbookViewId="0"/>
  </sheetViews>
  <sheetFormatPr defaultColWidth="9.140625" defaultRowHeight="15.75"/>
  <cols>
    <col min="1" max="1" width="4.140625" style="9" customWidth="1"/>
    <col min="2" max="2" width="46" style="9" customWidth="1"/>
    <col min="3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6" ht="31.5" customHeight="1">
      <c r="B3" s="178" t="str">
        <f>CONCATENATE("Marginal Market Shares (%) - ",State,", Single Family, ", SpaceHeat, ", ", TankSize,", ", StartWH, " is starting water heater")</f>
        <v>Marginal Market Shares (%) - Montana, Single Family, Gas FAF, &lt;=55 Gallons, Electric Resistance is starting water heater</v>
      </c>
      <c r="C3" s="179"/>
      <c r="D3" s="179"/>
      <c r="E3" s="179"/>
      <c r="F3" s="179"/>
    </row>
    <row r="4" spans="1:6" ht="47.25">
      <c r="B4" s="81" t="s">
        <v>83</v>
      </c>
      <c r="C4" s="89" t="s">
        <v>115</v>
      </c>
      <c r="D4" s="89" t="s">
        <v>84</v>
      </c>
      <c r="E4" s="89" t="s">
        <v>106</v>
      </c>
      <c r="F4" s="94" t="s">
        <v>81</v>
      </c>
    </row>
    <row r="5" spans="1:6">
      <c r="B5" s="83" t="str">
        <f>'Marginal Market Share'!A5</f>
        <v>Electric Resistance</v>
      </c>
      <c r="C5" s="84">
        <f>'Marginal Market Share'!B5</f>
        <v>0.99997653135489273</v>
      </c>
      <c r="D5" s="84">
        <f>'Marginal Market Share'!W5</f>
        <v>0.43148285817035076</v>
      </c>
      <c r="E5" s="84">
        <f>'Marginal Market Share'!W13</f>
        <v>0</v>
      </c>
      <c r="F5" s="85">
        <f>E5-D5</f>
        <v>-0.43148285817035076</v>
      </c>
    </row>
    <row r="6" spans="1:6">
      <c r="B6" s="83" t="str">
        <f>'Marginal Market Share'!A6</f>
        <v>HPWH</v>
      </c>
      <c r="C6" s="84">
        <f>'Marginal Market Share'!B6</f>
        <v>3.2522660800652487E-9</v>
      </c>
      <c r="D6" s="84">
        <f>'Marginal Market Share'!W6</f>
        <v>0.11323848609499719</v>
      </c>
      <c r="E6" s="84">
        <f>'Marginal Market Share'!W14</f>
        <v>0</v>
      </c>
      <c r="F6" s="85">
        <f>E6-D6</f>
        <v>-0.11323848609499719</v>
      </c>
    </row>
    <row r="7" spans="1:6">
      <c r="B7" s="83" t="str">
        <f>'Marginal Market Share'!A7</f>
        <v>Gas Tank</v>
      </c>
      <c r="C7" s="84">
        <f>'Marginal Market Share'!B7</f>
        <v>2.3459955103600657E-5</v>
      </c>
      <c r="D7" s="84">
        <f>'Marginal Market Share'!W7</f>
        <v>0.23934382512616181</v>
      </c>
      <c r="E7" s="84">
        <f>'Marginal Market Share'!W15</f>
        <v>1</v>
      </c>
      <c r="F7" s="85">
        <f>E7-D7</f>
        <v>0.76065617487383819</v>
      </c>
    </row>
    <row r="8" spans="1:6">
      <c r="B8" s="83" t="str">
        <f>'Marginal Market Share'!A8</f>
        <v>Instant Gas</v>
      </c>
      <c r="C8" s="84">
        <f>'Marginal Market Share'!B8</f>
        <v>1.0711519097276204E-9</v>
      </c>
      <c r="D8" s="84">
        <f>'Marginal Market Share'!W8</f>
        <v>4.4031145405739137E-2</v>
      </c>
      <c r="E8" s="84">
        <f>'Marginal Market Share'!W16</f>
        <v>0</v>
      </c>
      <c r="F8" s="85">
        <f>E8-D8</f>
        <v>-4.4031145405739137E-2</v>
      </c>
    </row>
    <row r="9" spans="1:6">
      <c r="B9" s="86" t="str">
        <f>'Marginal Market Share'!A9</f>
        <v>Condensing Gas</v>
      </c>
      <c r="C9" s="87">
        <f>'Marginal Market Share'!B9</f>
        <v>4.3665856756269171E-9</v>
      </c>
      <c r="D9" s="87">
        <f>'Marginal Market Share'!W9</f>
        <v>0.17190368520275096</v>
      </c>
      <c r="E9" s="87">
        <f>'Marginal Market Share'!W17</f>
        <v>0</v>
      </c>
      <c r="F9" s="88">
        <f>E9-D9</f>
        <v>-0.17190368520275096</v>
      </c>
    </row>
    <row r="10" spans="1:6">
      <c r="B10" s="97"/>
      <c r="C10" s="84"/>
      <c r="D10" s="84"/>
      <c r="E10" s="84"/>
    </row>
    <row r="11" spans="1:6" ht="30.75" customHeight="1">
      <c r="B11" s="178" t="str">
        <f>CONCATENATE("Average Market Shares by Scenario (%) - ",State,", Single Family, ", SpaceHeat, ", ", TankSize,", ", StartWH, " is starting water heater")</f>
        <v>Average Market Shares by Scenario (%) - Montana, Single Family, Gas FAF, &lt;=55 Gallons, Electric Resistance is starting water heater</v>
      </c>
      <c r="C11" s="179"/>
      <c r="D11" s="179"/>
      <c r="E11" s="179"/>
      <c r="F11" s="179"/>
    </row>
    <row r="12" spans="1:6" ht="47.25">
      <c r="B12" s="81" t="s">
        <v>83</v>
      </c>
      <c r="C12" s="89" t="s">
        <v>115</v>
      </c>
      <c r="D12" s="89" t="s">
        <v>84</v>
      </c>
      <c r="E12" s="89" t="s">
        <v>106</v>
      </c>
      <c r="F12" s="94" t="s">
        <v>81</v>
      </c>
    </row>
    <row r="13" spans="1:6">
      <c r="B13" s="83" t="str">
        <f>'Marginal Market Share'!A13</f>
        <v>Electric Resistance</v>
      </c>
      <c r="C13" s="84">
        <f>'Average Market Share'!B5</f>
        <v>1</v>
      </c>
      <c r="D13" s="84">
        <f>'Average Market Share'!W5</f>
        <v>0.65331581319982968</v>
      </c>
      <c r="E13" s="84">
        <f>'Average Market Share'!W13</f>
        <v>0.2109218875508691</v>
      </c>
      <c r="F13" s="85">
        <f>E13-D13</f>
        <v>-0.44239392564896057</v>
      </c>
    </row>
    <row r="14" spans="1:6">
      <c r="B14" s="83" t="str">
        <f>'Marginal Market Share'!A14</f>
        <v>HPWH</v>
      </c>
      <c r="C14" s="84">
        <f>'Average Market Share'!B6</f>
        <v>0</v>
      </c>
      <c r="D14" s="84">
        <f>'Average Market Share'!W6</f>
        <v>3.7353026742349867E-2</v>
      </c>
      <c r="E14" s="84">
        <f>'Average Market Share'!W14</f>
        <v>0</v>
      </c>
      <c r="F14" s="85">
        <f>E14-D14</f>
        <v>-3.7353026742349867E-2</v>
      </c>
    </row>
    <row r="15" spans="1:6">
      <c r="B15" s="83" t="str">
        <f>'Marginal Market Share'!A15</f>
        <v>Gas Tank</v>
      </c>
      <c r="C15" s="84">
        <f>'Average Market Share'!B7</f>
        <v>0</v>
      </c>
      <c r="D15" s="84">
        <f>'Average Market Share'!W7</f>
        <v>0.23939608673427171</v>
      </c>
      <c r="E15" s="84">
        <f>'Average Market Share'!W15</f>
        <v>0.78907811244913095</v>
      </c>
      <c r="F15" s="85">
        <f>E15-D15</f>
        <v>0.54968202571485925</v>
      </c>
    </row>
    <row r="16" spans="1:6">
      <c r="B16" s="83" t="str">
        <f>'Marginal Market Share'!A16</f>
        <v>Instant Gas</v>
      </c>
      <c r="C16" s="84">
        <f>'Average Market Share'!B8</f>
        <v>0</v>
      </c>
      <c r="D16" s="84">
        <f>'Average Market Share'!W8</f>
        <v>1.4188698981511934E-2</v>
      </c>
      <c r="E16" s="84">
        <f>'Average Market Share'!W16</f>
        <v>0</v>
      </c>
      <c r="F16" s="85">
        <f>E16-D16</f>
        <v>-1.4188698981511934E-2</v>
      </c>
    </row>
    <row r="17" spans="2:7">
      <c r="B17" s="86" t="str">
        <f>'Marginal Market Share'!A17</f>
        <v>Condensing Gas</v>
      </c>
      <c r="C17" s="87">
        <f>'Average Market Share'!B9</f>
        <v>0</v>
      </c>
      <c r="D17" s="87">
        <f>'Average Market Share'!W9</f>
        <v>5.5746374342036657E-2</v>
      </c>
      <c r="E17" s="87">
        <f>'Average Market Share'!W17</f>
        <v>0</v>
      </c>
      <c r="F17" s="88">
        <f>E17-D17</f>
        <v>-5.5746374342036657E-2</v>
      </c>
    </row>
    <row r="18" spans="2:7">
      <c r="B18" s="97"/>
      <c r="C18" s="84"/>
      <c r="D18" s="84"/>
      <c r="E18" s="84"/>
      <c r="F18" s="84"/>
    </row>
    <row r="19" spans="2:7" ht="31.5" customHeight="1">
      <c r="B19" s="178" t="str">
        <f>CONCATENATE("BAU Case Average Market Shares (%) - ",State,", Single Family, ", SpaceHeat, ", ", TankSize,", ", StartWH, " is starting water heater")</f>
        <v>BAU Case Average Market Shares (%) - Montana, Single Family, Gas FAF, &lt;=55 Gallons, Electric Resistance is starting water heater</v>
      </c>
      <c r="C19" s="179"/>
      <c r="D19" s="179"/>
      <c r="E19" s="179"/>
      <c r="F19" s="179"/>
      <c r="G19" s="179"/>
    </row>
    <row r="20" spans="2:7">
      <c r="B20" s="81" t="s">
        <v>83</v>
      </c>
      <c r="C20" s="89">
        <v>2015</v>
      </c>
      <c r="D20" s="89">
        <v>2020</v>
      </c>
      <c r="E20" s="89">
        <v>2025</v>
      </c>
      <c r="F20" s="89">
        <v>2030</v>
      </c>
      <c r="G20" s="94">
        <v>2035</v>
      </c>
    </row>
    <row r="21" spans="2:7">
      <c r="B21" s="83" t="str">
        <f>'Average Market Share'!A5</f>
        <v>Electric Resistance</v>
      </c>
      <c r="C21" s="84">
        <f>'Average Market Share'!C5</f>
        <v>0.97558664310075371</v>
      </c>
      <c r="D21" s="84">
        <f>'Average Market Share'!H5</f>
        <v>0.87598814541182024</v>
      </c>
      <c r="E21" s="84">
        <f>'Average Market Share'!M5</f>
        <v>0.80167688151199556</v>
      </c>
      <c r="F21" s="84">
        <f>'Average Market Share'!R5</f>
        <v>0.73296698695416651</v>
      </c>
      <c r="G21" s="85">
        <f>'Average Market Share'!W5</f>
        <v>0.65331581319982968</v>
      </c>
    </row>
    <row r="22" spans="2:7">
      <c r="B22" s="83" t="str">
        <f>'Average Market Share'!A6</f>
        <v>HPWH</v>
      </c>
      <c r="C22" s="84">
        <f>'Average Market Share'!C6</f>
        <v>7.1120345273957518E-6</v>
      </c>
      <c r="D22" s="84">
        <f>'Average Market Share'!H6</f>
        <v>2.9855911073946209E-4</v>
      </c>
      <c r="E22" s="84">
        <f>'Average Market Share'!M6</f>
        <v>2.8600828924761909E-3</v>
      </c>
      <c r="F22" s="84">
        <f>'Average Market Share'!R6</f>
        <v>1.3452310194053761E-2</v>
      </c>
      <c r="G22" s="85">
        <f>'Average Market Share'!W6</f>
        <v>3.7353026742349867E-2</v>
      </c>
    </row>
    <row r="23" spans="2:7">
      <c r="B23" s="83" t="str">
        <f>'Average Market Share'!A7</f>
        <v>Gas Tank</v>
      </c>
      <c r="C23" s="84">
        <f>'Average Market Share'!C7</f>
        <v>2.4394278873526909E-2</v>
      </c>
      <c r="D23" s="84">
        <f>'Average Market Share'!H7</f>
        <v>0.12319813774364159</v>
      </c>
      <c r="E23" s="84">
        <f>'Average Market Share'!M7</f>
        <v>0.19038746042767077</v>
      </c>
      <c r="F23" s="84">
        <f>'Average Market Share'!R7</f>
        <v>0.22904443421947418</v>
      </c>
      <c r="G23" s="85">
        <f>'Average Market Share'!W7</f>
        <v>0.23939608673427171</v>
      </c>
    </row>
    <row r="24" spans="2:7">
      <c r="B24" s="83" t="str">
        <f>'Average Market Share'!A8</f>
        <v>Instant Gas</v>
      </c>
      <c r="C24" s="84">
        <f>'Average Market Share'!C8</f>
        <v>2.3607226205386795E-6</v>
      </c>
      <c r="D24" s="84">
        <f>'Average Market Share'!H8</f>
        <v>1.0227353723745614E-4</v>
      </c>
      <c r="E24" s="84">
        <f>'Average Market Share'!M8</f>
        <v>1.0149415793454133E-3</v>
      </c>
      <c r="F24" s="84">
        <f>'Average Market Share'!R8</f>
        <v>4.9422992932810338E-3</v>
      </c>
      <c r="G24" s="85">
        <f>'Average Market Share'!W8</f>
        <v>1.4188698981511934E-2</v>
      </c>
    </row>
    <row r="25" spans="2:7">
      <c r="B25" s="86" t="str">
        <f>'Average Market Share'!A9</f>
        <v>Condensing Gas</v>
      </c>
      <c r="C25" s="87">
        <f>'Average Market Share'!C9</f>
        <v>9.6052685714997026E-6</v>
      </c>
      <c r="D25" s="87">
        <f>'Average Market Share'!H9</f>
        <v>4.1288419656119405E-4</v>
      </c>
      <c r="E25" s="87">
        <f>'Average Market Share'!M9</f>
        <v>4.0606335885119563E-3</v>
      </c>
      <c r="F25" s="87">
        <f>'Average Market Share'!R9</f>
        <v>1.9593969339024565E-2</v>
      </c>
      <c r="G25" s="88">
        <f>'Average Market Share'!W9</f>
        <v>5.5746374342036657E-2</v>
      </c>
    </row>
    <row r="26" spans="2:7">
      <c r="B26" s="97"/>
      <c r="C26" s="84"/>
      <c r="D26" s="84"/>
      <c r="E26" s="84"/>
      <c r="F26" s="84"/>
      <c r="G26" s="84"/>
    </row>
    <row r="27" spans="2:7" ht="33.75" customHeight="1">
      <c r="B27" s="178" t="str">
        <f>CONCATENATE("Least Cost Case Average Market Shares (%) - ",State,", Single Family, ", SpaceHeat, ", ", TankSize,", ", StartWH, " is starting water heater")</f>
        <v>Least Cost Case Average Market Shares (%) - Montana, Single Family, Gas FAF, &lt;=55 Gallons, Electric Resistance is starting water heater</v>
      </c>
      <c r="C27" s="179"/>
      <c r="D27" s="179"/>
      <c r="E27" s="179"/>
      <c r="F27" s="179"/>
      <c r="G27" s="179"/>
    </row>
    <row r="28" spans="2:7">
      <c r="B28" s="81" t="s">
        <v>83</v>
      </c>
      <c r="C28" s="89">
        <v>2015</v>
      </c>
      <c r="D28" s="89">
        <v>2020</v>
      </c>
      <c r="E28" s="89">
        <v>2025</v>
      </c>
      <c r="F28" s="89">
        <v>2030</v>
      </c>
      <c r="G28" s="94">
        <v>2035</v>
      </c>
    </row>
    <row r="29" spans="2:7">
      <c r="B29" s="83" t="str">
        <f>'Average Market Share'!A13</f>
        <v>Electric Resistance</v>
      </c>
      <c r="C29" s="84">
        <f>'Average Market Share'!C13</f>
        <v>0.9285714285714286</v>
      </c>
      <c r="D29" s="84">
        <f>'Average Market Share'!H13</f>
        <v>0.64104999298761578</v>
      </c>
      <c r="E29" s="84">
        <f>'Average Market Share'!M13</f>
        <v>0.44255625454860842</v>
      </c>
      <c r="F29" s="84">
        <f>'Average Market Share'!R13</f>
        <v>0.30552381340385787</v>
      </c>
      <c r="G29" s="85">
        <f>'Average Market Share'!W13</f>
        <v>0.2109218875508691</v>
      </c>
    </row>
    <row r="30" spans="2:7">
      <c r="B30" s="83" t="str">
        <f>'Average Market Share'!A14</f>
        <v>HPWH</v>
      </c>
      <c r="C30" s="84">
        <f>'Average Market Share'!C14</f>
        <v>0</v>
      </c>
      <c r="D30" s="84">
        <f>'Average Market Share'!H14</f>
        <v>0</v>
      </c>
      <c r="E30" s="84">
        <f>'Average Market Share'!M14</f>
        <v>0</v>
      </c>
      <c r="F30" s="84">
        <f>'Average Market Share'!R14</f>
        <v>0</v>
      </c>
      <c r="G30" s="85">
        <f>'Average Market Share'!W14</f>
        <v>0</v>
      </c>
    </row>
    <row r="31" spans="2:7">
      <c r="B31" s="83" t="str">
        <f>'Average Market Share'!A15</f>
        <v>Gas Tank</v>
      </c>
      <c r="C31" s="84">
        <f>'Average Market Share'!C15</f>
        <v>7.1428571428571425E-2</v>
      </c>
      <c r="D31" s="84">
        <f>'Average Market Share'!H15</f>
        <v>0.35895000701238433</v>
      </c>
      <c r="E31" s="84">
        <f>'Average Market Share'!M15</f>
        <v>0.55744374545139153</v>
      </c>
      <c r="F31" s="84">
        <f>'Average Market Share'!R15</f>
        <v>0.69447618659614219</v>
      </c>
      <c r="G31" s="85">
        <f>'Average Market Share'!W15</f>
        <v>0.78907811244913095</v>
      </c>
    </row>
    <row r="32" spans="2:7">
      <c r="B32" s="83" t="str">
        <f>'Average Market Share'!A16</f>
        <v>Instant Gas</v>
      </c>
      <c r="C32" s="84">
        <f>'Average Market Share'!C16</f>
        <v>0</v>
      </c>
      <c r="D32" s="84">
        <f>'Average Market Share'!H16</f>
        <v>0</v>
      </c>
      <c r="E32" s="84">
        <f>'Average Market Share'!M16</f>
        <v>0</v>
      </c>
      <c r="F32" s="84">
        <f>'Average Market Share'!R16</f>
        <v>0</v>
      </c>
      <c r="G32" s="85">
        <f>'Average Market Share'!W16</f>
        <v>0</v>
      </c>
    </row>
    <row r="33" spans="2:7">
      <c r="B33" s="86" t="str">
        <f>'Average Market Share'!A17</f>
        <v>Condensing Gas</v>
      </c>
      <c r="C33" s="87">
        <f>'Average Market Share'!C17</f>
        <v>0</v>
      </c>
      <c r="D33" s="87">
        <f>'Average Market Share'!H17</f>
        <v>0</v>
      </c>
      <c r="E33" s="87">
        <f>'Average Market Share'!M17</f>
        <v>0</v>
      </c>
      <c r="F33" s="87">
        <f>'Average Market Share'!R17</f>
        <v>0</v>
      </c>
      <c r="G33" s="88">
        <f>'Average Market Share'!W17</f>
        <v>0</v>
      </c>
    </row>
    <row r="34" spans="2:7">
      <c r="B34" s="45"/>
      <c r="C34" s="80"/>
      <c r="D34" s="96"/>
    </row>
    <row r="35" spans="2:7" ht="34.5" customHeight="1">
      <c r="B35" s="178" t="str">
        <f>CONCATENATE("Change in Natural Gas Usage Least Cost vs BAU Case (tBtu) - ",State,", Single Family, ", SpaceHeat, ", ", TankSize,", ", StartWH, " is starting water heater")</f>
        <v>Change in Natural Gas Usage Least Cost vs BAU Case (tBtu) - Montana, Single Family, Gas FAF, &lt;=55 Gallons, Electric Resistance is starting water heater</v>
      </c>
      <c r="C35" s="179"/>
      <c r="D35" s="179"/>
      <c r="E35" s="179"/>
      <c r="F35" s="179"/>
      <c r="G35" s="179"/>
    </row>
    <row r="36" spans="2:7">
      <c r="B36" s="81"/>
      <c r="C36" s="89">
        <v>2015</v>
      </c>
      <c r="D36" s="89">
        <v>2020</v>
      </c>
      <c r="E36" s="89">
        <v>2025</v>
      </c>
      <c r="F36" s="89">
        <v>2030</v>
      </c>
      <c r="G36" s="94">
        <v>2035</v>
      </c>
    </row>
    <row r="37" spans="2:7">
      <c r="B37" s="83" t="s">
        <v>166</v>
      </c>
      <c r="C37" s="133">
        <f>'Net Reduction in Gas'!C5</f>
        <v>7.7945295131418568E-2</v>
      </c>
      <c r="D37" s="133">
        <f>'Net Reduction in Gas'!H5</f>
        <v>0.39025437050561473</v>
      </c>
      <c r="E37" s="133">
        <f>'Net Reduction in Gas'!M5</f>
        <v>0.60353380342435137</v>
      </c>
      <c r="F37" s="133">
        <f>'Net Reduction in Gas'!R5</f>
        <v>0.74800930735694027</v>
      </c>
      <c r="G37" s="134">
        <f>'Net Reduction in Gas'!W5</f>
        <v>0.84428165486306939</v>
      </c>
    </row>
    <row r="38" spans="2:7">
      <c r="B38" s="83" t="s">
        <v>165</v>
      </c>
      <c r="C38" s="133">
        <f>-'Net Reduction in Gas'!C6</f>
        <v>-9.7532112931798698E-2</v>
      </c>
      <c r="D38" s="133">
        <f>-'Net Reduction in Gas'!H6</f>
        <v>-0.48763360722317745</v>
      </c>
      <c r="E38" s="133">
        <f>-'Net Reduction in Gas'!M6</f>
        <v>-0.74775302082956618</v>
      </c>
      <c r="F38" s="133">
        <f>-'Net Reduction in Gas'!R6</f>
        <v>-0.89991317724147923</v>
      </c>
      <c r="G38" s="134">
        <f>-'Net Reduction in Gas'!W6</f>
        <v>-0.95447552801420565</v>
      </c>
    </row>
    <row r="39" spans="2:7">
      <c r="B39" s="86" t="s">
        <v>154</v>
      </c>
      <c r="C39" s="132">
        <f>'Net Reduction in Gas'!C7</f>
        <v>-1.958681780038013E-2</v>
      </c>
      <c r="D39" s="132">
        <f>'Net Reduction in Gas'!H7</f>
        <v>-9.7379236717562712E-2</v>
      </c>
      <c r="E39" s="132">
        <f>'Net Reduction in Gas'!M7</f>
        <v>-0.14421921740521482</v>
      </c>
      <c r="F39" s="132">
        <f>'Net Reduction in Gas'!R7</f>
        <v>-0.15190386988453897</v>
      </c>
      <c r="G39" s="135">
        <f>'Net Reduction in Gas'!W7</f>
        <v>-0.11019387315113627</v>
      </c>
    </row>
    <row r="40" spans="2:7">
      <c r="B40" s="97"/>
      <c r="C40" s="84"/>
      <c r="D40" s="84"/>
      <c r="E40" s="84"/>
      <c r="F40" s="84"/>
      <c r="G40" s="84"/>
    </row>
    <row r="41" spans="2:7" ht="36" customHeight="1">
      <c r="B41" s="180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Montana, Single Family, Gas FAF, &lt;=55 Gallons, Electric Resistance is starting water heater</v>
      </c>
      <c r="C41" s="181"/>
      <c r="D41" s="181"/>
      <c r="E41" s="181"/>
      <c r="F41" s="181"/>
      <c r="G41" s="181"/>
    </row>
    <row r="42" spans="2:7" ht="31.5">
      <c r="B42" s="66" t="s">
        <v>77</v>
      </c>
      <c r="C42" s="137" t="str">
        <f>'Total Resource Cost'!B4</f>
        <v>NPV (2012 M$)</v>
      </c>
      <c r="D42" s="17"/>
      <c r="E42" s="17"/>
      <c r="F42" s="17"/>
    </row>
    <row r="43" spans="2:7">
      <c r="B43" s="167" t="str">
        <f>'Total Resource Cost'!A5</f>
        <v>Consumer Cost Reduction</v>
      </c>
      <c r="C43" s="168">
        <f>'Consumer Cost'!B7</f>
        <v>85.190270540814424</v>
      </c>
      <c r="D43" s="166"/>
      <c r="E43" s="166"/>
      <c r="F43" s="2"/>
    </row>
    <row r="44" spans="2:7">
      <c r="B44" s="167" t="str">
        <f>'Total Resource Cost'!A6</f>
        <v>Utility Cost Reduction</v>
      </c>
      <c r="C44" s="134">
        <f>'Utility Cost'!B4</f>
        <v>44.873605431633145</v>
      </c>
      <c r="D44" s="131"/>
    </row>
    <row r="45" spans="2:7">
      <c r="B45" s="169" t="str">
        <f>'Total Resource Cost'!A7</f>
        <v>Total Resource Cost Reduction</v>
      </c>
      <c r="C45" s="135">
        <f>'Total Resource Cost'!B7</f>
        <v>130.06387597244745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 ht="24" customHeight="1">
      <c r="A3" s="26" t="s">
        <v>30</v>
      </c>
    </row>
    <row r="4" spans="1:23" s="23" customFormat="1">
      <c r="A4" s="25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8">
        <f>'Capital Cost'!$E5*CapitalChargeRate+'Fuel Cost'!B5 + 'O&amp;M Cost'!$D5</f>
        <v>414.35340076519924</v>
      </c>
      <c r="C5" s="28">
        <f>'Capital Cost'!$E5*CapitalChargeRate+'Fuel Cost'!C5 + 'O&amp;M Cost'!$D5</f>
        <v>418.86652717742629</v>
      </c>
      <c r="D5" s="28">
        <f>'Capital Cost'!$E5*CapitalChargeRate+'Fuel Cost'!D5 + 'O&amp;M Cost'!$D5</f>
        <v>423.43832423301239</v>
      </c>
      <c r="E5" s="28">
        <f>'Capital Cost'!$E5*CapitalChargeRate+'Fuel Cost'!E5 + 'O&amp;M Cost'!$D5</f>
        <v>428.06955465032104</v>
      </c>
      <c r="F5" s="28">
        <f>'Capital Cost'!$E5*CapitalChargeRate+'Fuel Cost'!F5 + 'O&amp;M Cost'!$D5</f>
        <v>432.7609910630548</v>
      </c>
      <c r="G5" s="28">
        <f>'Capital Cost'!$E5*CapitalChargeRate+'Fuel Cost'!G5 + 'O&amp;M Cost'!$D5</f>
        <v>437.51341614915407</v>
      </c>
      <c r="H5" s="28">
        <f>'Capital Cost'!$E5*CapitalChargeRate+'Fuel Cost'!H5 + 'O&amp;M Cost'!$D5</f>
        <v>442.3276227613726</v>
      </c>
      <c r="I5" s="28">
        <f>'Capital Cost'!$E5*CapitalChargeRate+'Fuel Cost'!I5 + 'O&amp;M Cost'!$D5</f>
        <v>447.20441405955</v>
      </c>
      <c r="J5" s="28">
        <f>'Capital Cost'!$E5*CapitalChargeRate+'Fuel Cost'!J5 + 'O&amp;M Cost'!$D5</f>
        <v>452.14460364460365</v>
      </c>
      <c r="K5" s="28">
        <f>'Capital Cost'!$E5*CapitalChargeRate+'Fuel Cost'!K5 + 'O&amp;M Cost'!$D5</f>
        <v>457.14901569426297</v>
      </c>
      <c r="L5" s="28">
        <f>'Capital Cost'!$E5*CapitalChargeRate+'Fuel Cost'!L5 + 'O&amp;M Cost'!$D5</f>
        <v>462.21848510056793</v>
      </c>
      <c r="M5" s="28">
        <f>'Capital Cost'!$E5*CapitalChargeRate+'Fuel Cost'!M5 + 'O&amp;M Cost'!$D5</f>
        <v>467.35385760915483</v>
      </c>
      <c r="N5" s="28">
        <f>'Capital Cost'!$E5*CapitalChargeRate+'Fuel Cost'!N5 + 'O&amp;M Cost'!$D5</f>
        <v>472.55598996035337</v>
      </c>
      <c r="O5" s="28">
        <f>'Capital Cost'!$E5*CapitalChargeRate+'Fuel Cost'!O5 + 'O&amp;M Cost'!$D5</f>
        <v>477.82575003211753</v>
      </c>
      <c r="P5" s="28">
        <f>'Capital Cost'!$E5*CapitalChargeRate+'Fuel Cost'!P5 + 'O&amp;M Cost'!$D5</f>
        <v>483.16401698481457</v>
      </c>
      <c r="Q5" s="28">
        <f>'Capital Cost'!$E5*CapitalChargeRate+'Fuel Cost'!Q5 + 'O&amp;M Cost'!$D5</f>
        <v>488.57168140789668</v>
      </c>
      <c r="R5" s="28">
        <f>'Capital Cost'!$E5*CapitalChargeRate+'Fuel Cost'!R5 + 'O&amp;M Cost'!$D5</f>
        <v>494.04964546847884</v>
      </c>
      <c r="S5" s="28">
        <f>'Capital Cost'!$E5*CapitalChargeRate+'Fuel Cost'!S5 + 'O&amp;M Cost'!$D5</f>
        <v>499.59882306184852</v>
      </c>
      <c r="T5" s="28">
        <f>'Capital Cost'!$E5*CapitalChargeRate+'Fuel Cost'!T5 + 'O&amp;M Cost'!$D5</f>
        <v>505.22013996393218</v>
      </c>
      <c r="U5" s="28">
        <f>'Capital Cost'!$E5*CapitalChargeRate+'Fuel Cost'!U5 + 'O&amp;M Cost'!$D5</f>
        <v>510.91453398574276</v>
      </c>
      <c r="V5" s="28">
        <f>'Capital Cost'!$E5*CapitalChargeRate+'Fuel Cost'!V5 + 'O&amp;M Cost'!$D5</f>
        <v>516.68295512983696</v>
      </c>
      <c r="W5" s="28">
        <f>'Capital Cost'!$E5*CapitalChargeRate+'Fuel Cost'!W5 + 'O&amp;M Cost'!$D5</f>
        <v>522.52636574880432</v>
      </c>
    </row>
    <row r="6" spans="1:23">
      <c r="A6" s="9" t="str">
        <f>+'Device Energy Use'!A6</f>
        <v>HPWH</v>
      </c>
      <c r="B6" s="28">
        <f>'Capital Cost'!$E6*CapitalChargeRate+'Fuel Cost'!B6 + 'O&amp;M Cost'!$D6</f>
        <v>339.8181750413134</v>
      </c>
      <c r="C6" s="28">
        <f>'Capital Cost'!$E6*CapitalChargeRate+'Fuel Cost'!C6 + 'O&amp;M Cost'!$D6</f>
        <v>341.96191008712128</v>
      </c>
      <c r="D6" s="28">
        <f>'Capital Cost'!$E6*CapitalChargeRate+'Fuel Cost'!D6 + 'O&amp;M Cost'!$D6</f>
        <v>344.13351368852466</v>
      </c>
      <c r="E6" s="28">
        <f>'Capital Cost'!$E6*CapitalChargeRate+'Fuel Cost'!E6 + 'O&amp;M Cost'!$D6</f>
        <v>346.33334813674628</v>
      </c>
      <c r="F6" s="28">
        <f>'Capital Cost'!$E6*CapitalChargeRate+'Fuel Cost'!F6 + 'O&amp;M Cost'!$D6</f>
        <v>348.56178043279482</v>
      </c>
      <c r="G6" s="28">
        <f>'Capital Cost'!$E6*CapitalChargeRate+'Fuel Cost'!G6 + 'O&amp;M Cost'!$D6</f>
        <v>350.81918234869192</v>
      </c>
      <c r="H6" s="28">
        <f>'Capital Cost'!$E6*CapitalChargeRate+'Fuel Cost'!H6 + 'O&amp;M Cost'!$D6</f>
        <v>353.10593048949579</v>
      </c>
      <c r="I6" s="28">
        <f>'Capital Cost'!$E6*CapitalChargeRate+'Fuel Cost'!I6 + 'O&amp;M Cost'!$D6</f>
        <v>355.42240635613001</v>
      </c>
      <c r="J6" s="28">
        <f>'Capital Cost'!$E6*CapitalChargeRate+'Fuel Cost'!J6 + 'O&amp;M Cost'!$D6</f>
        <v>357.76899640903054</v>
      </c>
      <c r="K6" s="28">
        <f>'Capital Cost'!$E6*CapitalChargeRate+'Fuel Cost'!K6 + 'O&amp;M Cost'!$D6</f>
        <v>360.14609213261872</v>
      </c>
      <c r="L6" s="28">
        <f>'Capital Cost'!$E6*CapitalChargeRate+'Fuel Cost'!L6 + 'O&amp;M Cost'!$D6</f>
        <v>362.55409010061356</v>
      </c>
      <c r="M6" s="28">
        <f>'Capital Cost'!$E6*CapitalChargeRate+'Fuel Cost'!M6 + 'O&amp;M Cost'!$D6</f>
        <v>364.99339204219234</v>
      </c>
      <c r="N6" s="28">
        <f>'Capital Cost'!$E6*CapitalChargeRate+'Fuel Cost'!N6 + 'O&amp;M Cost'!$D6</f>
        <v>367.46440490901165</v>
      </c>
      <c r="O6" s="28">
        <f>'Capital Cost'!$E6*CapitalChargeRate+'Fuel Cost'!O6 + 'O&amp;M Cost'!$D6</f>
        <v>369.96754094309961</v>
      </c>
      <c r="P6" s="28">
        <f>'Capital Cost'!$E6*CapitalChargeRate+'Fuel Cost'!P6 + 'O&amp;M Cost'!$D6</f>
        <v>372.50321774563065</v>
      </c>
      <c r="Q6" s="28">
        <f>'Capital Cost'!$E6*CapitalChargeRate+'Fuel Cost'!Q6 + 'O&amp;M Cost'!$D6</f>
        <v>375.07185834659469</v>
      </c>
      <c r="R6" s="28">
        <f>'Capital Cost'!$E6*CapitalChargeRate+'Fuel Cost'!R6 + 'O&amp;M Cost'!$D6</f>
        <v>377.67389127537126</v>
      </c>
      <c r="S6" s="28">
        <f>'Capital Cost'!$E6*CapitalChargeRate+'Fuel Cost'!S6 + 'O&amp;M Cost'!$D6</f>
        <v>380.30975063222184</v>
      </c>
      <c r="T6" s="28">
        <f>'Capital Cost'!$E6*CapitalChargeRate+'Fuel Cost'!T6 + 'O&amp;M Cost'!$D6</f>
        <v>382.97987616071157</v>
      </c>
      <c r="U6" s="28">
        <f>'Capital Cost'!$E6*CapitalChargeRate+'Fuel Cost'!U6 + 'O&amp;M Cost'!$D6</f>
        <v>385.68471332107163</v>
      </c>
      <c r="V6" s="28">
        <f>'Capital Cost'!$E6*CapitalChargeRate+'Fuel Cost'!V6 + 'O&amp;M Cost'!$D6</f>
        <v>388.42471336451632</v>
      </c>
      <c r="W6" s="28">
        <f>'Capital Cost'!$E6*CapitalChargeRate+'Fuel Cost'!W6 + 'O&amp;M Cost'!$D6</f>
        <v>391.20033340852581</v>
      </c>
    </row>
    <row r="7" spans="1:23">
      <c r="A7" s="9" t="str">
        <f>+'Device Energy Use'!A7</f>
        <v>Gas Tank</v>
      </c>
      <c r="B7" s="28">
        <f>'Capital Cost'!$E7*CapitalChargeRate+'Fuel Cost'!B7 + 'O&amp;M Cost'!$D7</f>
        <v>231.41070757826037</v>
      </c>
      <c r="C7" s="28">
        <f>'Capital Cost'!$E7*CapitalChargeRate+'Fuel Cost'!C7 + 'O&amp;M Cost'!$D7</f>
        <v>233.51768423485777</v>
      </c>
      <c r="D7" s="28">
        <f>'Capital Cost'!$E7*CapitalChargeRate+'Fuel Cost'!D7 + 'O&amp;M Cost'!$D7</f>
        <v>235.65626554130412</v>
      </c>
      <c r="E7" s="28">
        <f>'Capital Cost'!$E7*CapitalChargeRate+'Fuel Cost'!E7 + 'O&amp;M Cost'!$D7</f>
        <v>237.82692556734719</v>
      </c>
      <c r="F7" s="28">
        <f>'Capital Cost'!$E7*CapitalChargeRate+'Fuel Cost'!F7 + 'O&amp;M Cost'!$D7</f>
        <v>240.03014549378088</v>
      </c>
      <c r="G7" s="28">
        <f>'Capital Cost'!$E7*CapitalChargeRate+'Fuel Cost'!G7 + 'O&amp;M Cost'!$D7</f>
        <v>242.26641371911109</v>
      </c>
      <c r="H7" s="28">
        <f>'Capital Cost'!$E7*CapitalChargeRate+'Fuel Cost'!H7 + 'O&amp;M Cost'!$D7</f>
        <v>244.53622596782122</v>
      </c>
      <c r="I7" s="28">
        <f>'Capital Cost'!$E7*CapitalChargeRate+'Fuel Cost'!I7 + 'O&amp;M Cost'!$D7</f>
        <v>246.84008540026204</v>
      </c>
      <c r="J7" s="28">
        <f>'Capital Cost'!$E7*CapitalChargeRate+'Fuel Cost'!J7 + 'O&amp;M Cost'!$D7</f>
        <v>249.17850272418946</v>
      </c>
      <c r="K7" s="28">
        <f>'Capital Cost'!$E7*CapitalChargeRate+'Fuel Cost'!K7 + 'O&amp;M Cost'!$D7</f>
        <v>251.55199630797577</v>
      </c>
      <c r="L7" s="28">
        <f>'Capital Cost'!$E7*CapitalChargeRate+'Fuel Cost'!L7 + 'O&amp;M Cost'!$D7</f>
        <v>253.96109229551891</v>
      </c>
      <c r="M7" s="28">
        <f>'Capital Cost'!$E7*CapitalChargeRate+'Fuel Cost'!M7 + 'O&amp;M Cost'!$D7</f>
        <v>256.40632472287518</v>
      </c>
      <c r="N7" s="28">
        <f>'Capital Cost'!$E7*CapitalChargeRate+'Fuel Cost'!N7 + 'O&amp;M Cost'!$D7</f>
        <v>258.88823563664181</v>
      </c>
      <c r="O7" s="28">
        <f>'Capital Cost'!$E7*CapitalChargeRate+'Fuel Cost'!O7 + 'O&amp;M Cost'!$D7</f>
        <v>261.40737521411489</v>
      </c>
      <c r="P7" s="28">
        <f>'Capital Cost'!$E7*CapitalChargeRate+'Fuel Cost'!P7 + 'O&amp;M Cost'!$D7</f>
        <v>263.96430188525017</v>
      </c>
      <c r="Q7" s="28">
        <f>'Capital Cost'!$E7*CapitalChargeRate+'Fuel Cost'!Q7 + 'O&amp;M Cost'!$D7</f>
        <v>266.55958245645235</v>
      </c>
      <c r="R7" s="28">
        <f>'Capital Cost'!$E7*CapitalChargeRate+'Fuel Cost'!R7 + 'O&amp;M Cost'!$D7</f>
        <v>269.19379223622263</v>
      </c>
      <c r="S7" s="28">
        <f>'Capital Cost'!$E7*CapitalChargeRate+'Fuel Cost'!S7 + 'O&amp;M Cost'!$D7</f>
        <v>271.86751516268947</v>
      </c>
      <c r="T7" s="28">
        <f>'Capital Cost'!$E7*CapitalChargeRate+'Fuel Cost'!T7 + 'O&amp;M Cost'!$D7</f>
        <v>274.58134393305329</v>
      </c>
      <c r="U7" s="28">
        <f>'Capital Cost'!$E7*CapitalChargeRate+'Fuel Cost'!U7 + 'O&amp;M Cost'!$D7</f>
        <v>277.33588013497257</v>
      </c>
      <c r="V7" s="28">
        <f>'Capital Cost'!$E7*CapitalChargeRate+'Fuel Cost'!V7 + 'O&amp;M Cost'!$D7</f>
        <v>280.13173437992066</v>
      </c>
      <c r="W7" s="28">
        <f>'Capital Cost'!$E7*CapitalChargeRate+'Fuel Cost'!W7 + 'O&amp;M Cost'!$D7</f>
        <v>282.96952643854297</v>
      </c>
    </row>
    <row r="8" spans="1:23">
      <c r="A8" s="9" t="str">
        <f>+'Device Energy Use'!A8</f>
        <v>Instant Gas</v>
      </c>
      <c r="B8" s="28">
        <f>'Capital Cost'!$E8*CapitalChargeRate+'Fuel Cost'!B8 + 'O&amp;M Cost'!$D8</f>
        <v>550.75376433714086</v>
      </c>
      <c r="C8" s="28">
        <f>'Capital Cost'!$E8*CapitalChargeRate+'Fuel Cost'!C8 + 'O&amp;M Cost'!$D8</f>
        <v>552.35257655267196</v>
      </c>
      <c r="D8" s="28">
        <f>'Capital Cost'!$E8*CapitalChargeRate+'Fuel Cost'!D8 + 'O&amp;M Cost'!$D8</f>
        <v>553.97537095143571</v>
      </c>
      <c r="E8" s="28">
        <f>'Capital Cost'!$E8*CapitalChargeRate+'Fuel Cost'!E8 + 'O&amp;M Cost'!$D8</f>
        <v>555.62250726618117</v>
      </c>
      <c r="F8" s="28">
        <f>'Capital Cost'!$E8*CapitalChargeRate+'Fuel Cost'!F8 + 'O&amp;M Cost'!$D8</f>
        <v>557.29435062564767</v>
      </c>
      <c r="G8" s="28">
        <f>'Capital Cost'!$E8*CapitalChargeRate+'Fuel Cost'!G8 + 'O&amp;M Cost'!$D8</f>
        <v>558.99127163550634</v>
      </c>
      <c r="H8" s="28">
        <f>'Capital Cost'!$E8*CapitalChargeRate+'Fuel Cost'!H8 + 'O&amp;M Cost'!$D8</f>
        <v>560.71364646051268</v>
      </c>
      <c r="I8" s="28">
        <f>'Capital Cost'!$E8*CapitalChargeRate+'Fuel Cost'!I8 + 'O&amp;M Cost'!$D8</f>
        <v>562.46185690789412</v>
      </c>
      <c r="J8" s="28">
        <f>'Capital Cost'!$E8*CapitalChargeRate+'Fuel Cost'!J8 + 'O&amp;M Cost'!$D8</f>
        <v>564.23629051198645</v>
      </c>
      <c r="K8" s="28">
        <f>'Capital Cost'!$E8*CapitalChargeRate+'Fuel Cost'!K8 + 'O&amp;M Cost'!$D8</f>
        <v>566.03734062014007</v>
      </c>
      <c r="L8" s="28">
        <f>'Capital Cost'!$E8*CapitalChargeRate+'Fuel Cost'!L8 + 'O&amp;M Cost'!$D8</f>
        <v>567.86540647991592</v>
      </c>
      <c r="M8" s="28">
        <f>'Capital Cost'!$E8*CapitalChargeRate+'Fuel Cost'!M8 + 'O&amp;M Cost'!$D8</f>
        <v>569.72089332758856</v>
      </c>
      <c r="N8" s="28">
        <f>'Capital Cost'!$E8*CapitalChargeRate+'Fuel Cost'!N8 + 'O&amp;M Cost'!$D8</f>
        <v>571.60421247797626</v>
      </c>
      <c r="O8" s="28">
        <f>'Capital Cost'!$E8*CapitalChargeRate+'Fuel Cost'!O8 + 'O&amp;M Cost'!$D8</f>
        <v>573.5157814156197</v>
      </c>
      <c r="P8" s="28">
        <f>'Capital Cost'!$E8*CapitalChargeRate+'Fuel Cost'!P8 + 'O&amp;M Cost'!$D8</f>
        <v>575.45602388732777</v>
      </c>
      <c r="Q8" s="28">
        <f>'Capital Cost'!$E8*CapitalChargeRate+'Fuel Cost'!Q8 + 'O&amp;M Cost'!$D8</f>
        <v>577.42536999611161</v>
      </c>
      <c r="R8" s="28">
        <f>'Capital Cost'!$E8*CapitalChargeRate+'Fuel Cost'!R8 + 'O&amp;M Cost'!$D8</f>
        <v>579.42425629652712</v>
      </c>
      <c r="S8" s="28">
        <f>'Capital Cost'!$E8*CapitalChargeRate+'Fuel Cost'!S8 + 'O&amp;M Cost'!$D8</f>
        <v>581.45312589144874</v>
      </c>
      <c r="T8" s="28">
        <f>'Capital Cost'!$E8*CapitalChargeRate+'Fuel Cost'!T8 + 'O&amp;M Cost'!$D8</f>
        <v>583.5124285302943</v>
      </c>
      <c r="U8" s="28">
        <f>'Capital Cost'!$E8*CapitalChargeRate+'Fuel Cost'!U8 + 'O&amp;M Cost'!$D8</f>
        <v>585.6026207087225</v>
      </c>
      <c r="V8" s="28">
        <f>'Capital Cost'!$E8*CapitalChargeRate+'Fuel Cost'!V8 + 'O&amp;M Cost'!$D8</f>
        <v>587.72416576982732</v>
      </c>
      <c r="W8" s="28">
        <f>'Capital Cost'!$E8*CapitalChargeRate+'Fuel Cost'!W8 + 'O&amp;M Cost'!$D8</f>
        <v>589.87753400684846</v>
      </c>
    </row>
    <row r="9" spans="1:23">
      <c r="A9" s="9" t="str">
        <f>+'Device Energy Use'!A9</f>
        <v>Condensing Gas</v>
      </c>
      <c r="B9" s="28">
        <f>'Capital Cost'!$E9*CapitalChargeRate+'Fuel Cost'!B9 + 'O&amp;M Cost'!$D9</f>
        <v>298.96035201908609</v>
      </c>
      <c r="C9" s="28">
        <f>'Capital Cost'!$E9*CapitalChargeRate+'Fuel Cost'!C9 + 'O&amp;M Cost'!$D9</f>
        <v>300.07636944665398</v>
      </c>
      <c r="D9" s="28">
        <f>'Capital Cost'!$E9*CapitalChargeRate+'Fuel Cost'!D9 + 'O&amp;M Cost'!$D9</f>
        <v>301.20912713563541</v>
      </c>
      <c r="E9" s="28">
        <f>'Capital Cost'!$E9*CapitalChargeRate+'Fuel Cost'!E9 + 'O&amp;M Cost'!$D9</f>
        <v>302.35887618995162</v>
      </c>
      <c r="F9" s="28">
        <f>'Capital Cost'!$E9*CapitalChargeRate+'Fuel Cost'!F9 + 'O&amp;M Cost'!$D9</f>
        <v>303.52587148008251</v>
      </c>
      <c r="G9" s="28">
        <f>'Capital Cost'!$E9*CapitalChargeRate+'Fuel Cost'!G9 + 'O&amp;M Cost'!$D9</f>
        <v>304.71037169956537</v>
      </c>
      <c r="H9" s="28">
        <f>'Capital Cost'!$E9*CapitalChargeRate+'Fuel Cost'!H9 + 'O&amp;M Cost'!$D9</f>
        <v>305.91263942234048</v>
      </c>
      <c r="I9" s="28">
        <f>'Capital Cost'!$E9*CapitalChargeRate+'Fuel Cost'!I9 + 'O&amp;M Cost'!$D9</f>
        <v>307.13294116095722</v>
      </c>
      <c r="J9" s="28">
        <f>'Capital Cost'!$E9*CapitalChargeRate+'Fuel Cost'!J9 + 'O&amp;M Cost'!$D9</f>
        <v>308.3715474256532</v>
      </c>
      <c r="K9" s="28">
        <f>'Capital Cost'!$E9*CapitalChargeRate+'Fuel Cost'!K9 + 'O&amp;M Cost'!$D9</f>
        <v>309.62873278431965</v>
      </c>
      <c r="L9" s="28">
        <f>'Capital Cost'!$E9*CapitalChargeRate+'Fuel Cost'!L9 + 'O&amp;M Cost'!$D9</f>
        <v>310.90477592336606</v>
      </c>
      <c r="M9" s="28">
        <f>'Capital Cost'!$E9*CapitalChargeRate+'Fuel Cost'!M9 + 'O&amp;M Cost'!$D9</f>
        <v>312.19995970949822</v>
      </c>
      <c r="N9" s="28">
        <f>'Capital Cost'!$E9*CapitalChargeRate+'Fuel Cost'!N9 + 'O&amp;M Cost'!$D9</f>
        <v>313.51457125242229</v>
      </c>
      <c r="O9" s="28">
        <f>'Capital Cost'!$E9*CapitalChargeRate+'Fuel Cost'!O9 + 'O&amp;M Cost'!$D9</f>
        <v>314.84890196849028</v>
      </c>
      <c r="P9" s="28">
        <f>'Capital Cost'!$E9*CapitalChargeRate+'Fuel Cost'!P9 + 'O&amp;M Cost'!$D9</f>
        <v>316.20324764529926</v>
      </c>
      <c r="Q9" s="28">
        <f>'Capital Cost'!$E9*CapitalChargeRate+'Fuel Cost'!Q9 + 'O&amp;M Cost'!$D9</f>
        <v>317.57790850726036</v>
      </c>
      <c r="R9" s="28">
        <f>'Capital Cost'!$E9*CapitalChargeRate+'Fuel Cost'!R9 + 'O&amp;M Cost'!$D9</f>
        <v>318.97318928215088</v>
      </c>
      <c r="S9" s="28">
        <f>'Capital Cost'!$E9*CapitalChargeRate+'Fuel Cost'!S9 + 'O&amp;M Cost'!$D9</f>
        <v>320.38939926866476</v>
      </c>
      <c r="T9" s="28">
        <f>'Capital Cost'!$E9*CapitalChargeRate+'Fuel Cost'!T9 + 'O&amp;M Cost'!$D9</f>
        <v>321.82685240497636</v>
      </c>
      <c r="U9" s="28">
        <f>'Capital Cost'!$E9*CapitalChargeRate+'Fuel Cost'!U9 + 'O&amp;M Cost'!$D9</f>
        <v>323.28586733833265</v>
      </c>
      <c r="V9" s="28">
        <f>'Capital Cost'!$E9*CapitalChargeRate+'Fuel Cost'!V9 + 'O&amp;M Cost'!$D9</f>
        <v>324.76676749568929</v>
      </c>
      <c r="W9" s="28">
        <f>'Capital Cost'!$E9*CapitalChargeRate+'Fuel Cost'!W9 + 'O&amp;M Cost'!$D9</f>
        <v>326.26988115540627</v>
      </c>
    </row>
    <row r="11" spans="1:23">
      <c r="A11" s="29" t="s">
        <v>93</v>
      </c>
    </row>
    <row r="13" spans="1:23">
      <c r="A13" s="9" t="s">
        <v>97</v>
      </c>
      <c r="B13" s="28">
        <f t="shared" ref="B13:W13" si="0">MIN(B5:B9)</f>
        <v>231.41070757826037</v>
      </c>
      <c r="C13" s="28">
        <f t="shared" si="0"/>
        <v>233.51768423485777</v>
      </c>
      <c r="D13" s="28">
        <f t="shared" si="0"/>
        <v>235.65626554130412</v>
      </c>
      <c r="E13" s="28">
        <f t="shared" si="0"/>
        <v>237.82692556734719</v>
      </c>
      <c r="F13" s="28">
        <f t="shared" si="0"/>
        <v>240.03014549378088</v>
      </c>
      <c r="G13" s="28">
        <f t="shared" si="0"/>
        <v>242.26641371911109</v>
      </c>
      <c r="H13" s="28">
        <f t="shared" si="0"/>
        <v>244.53622596782122</v>
      </c>
      <c r="I13" s="28">
        <f t="shared" si="0"/>
        <v>246.84008540026204</v>
      </c>
      <c r="J13" s="28">
        <f t="shared" si="0"/>
        <v>249.17850272418946</v>
      </c>
      <c r="K13" s="28">
        <f t="shared" si="0"/>
        <v>251.55199630797577</v>
      </c>
      <c r="L13" s="28">
        <f t="shared" si="0"/>
        <v>253.96109229551891</v>
      </c>
      <c r="M13" s="28">
        <f t="shared" si="0"/>
        <v>256.40632472287518</v>
      </c>
      <c r="N13" s="28">
        <f t="shared" si="0"/>
        <v>258.88823563664181</v>
      </c>
      <c r="O13" s="28">
        <f t="shared" si="0"/>
        <v>261.40737521411489</v>
      </c>
      <c r="P13" s="28">
        <f t="shared" si="0"/>
        <v>263.96430188525017</v>
      </c>
      <c r="Q13" s="28">
        <f t="shared" si="0"/>
        <v>266.55958245645235</v>
      </c>
      <c r="R13" s="28">
        <f t="shared" si="0"/>
        <v>269.19379223622263</v>
      </c>
      <c r="S13" s="28">
        <f t="shared" si="0"/>
        <v>271.86751516268947</v>
      </c>
      <c r="T13" s="28">
        <f t="shared" si="0"/>
        <v>274.58134393305329</v>
      </c>
      <c r="U13" s="28">
        <f t="shared" si="0"/>
        <v>277.33588013497257</v>
      </c>
      <c r="V13" s="28">
        <f t="shared" si="0"/>
        <v>280.13173437992066</v>
      </c>
      <c r="W13" s="28">
        <f t="shared" si="0"/>
        <v>282.96952643854297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 ht="24.75" customHeight="1">
      <c r="A3" s="26" t="s">
        <v>38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347.16357017132054</v>
      </c>
      <c r="C5" s="11">
        <f>+'Device Energy Use'!$D5*('Retail Rates'!C$5*'Device Energy Use'!$E5+'Retail Rates'!C$6*(1-'Device Energy Use'!$E5))</f>
        <v>351.67669658354765</v>
      </c>
      <c r="D5" s="11">
        <f>+'Device Energy Use'!$D5*('Retail Rates'!D$5*'Device Energy Use'!$E5+'Retail Rates'!D$6*(1-'Device Energy Use'!$E5))</f>
        <v>356.2484936391337</v>
      </c>
      <c r="E5" s="11">
        <f>+'Device Energy Use'!$D5*('Retail Rates'!E$5*'Device Energy Use'!$E5+'Retail Rates'!E$6*(1-'Device Energy Use'!$E5))</f>
        <v>360.8797240564424</v>
      </c>
      <c r="F5" s="11">
        <f>+'Device Energy Use'!$D5*('Retail Rates'!F$5*'Device Energy Use'!$E5+'Retail Rates'!F$6*(1-'Device Energy Use'!$E5))</f>
        <v>365.57116046917611</v>
      </c>
      <c r="G5" s="11">
        <f>+'Device Energy Use'!$D5*('Retail Rates'!G$5*'Device Energy Use'!$E5+'Retail Rates'!G$6*(1-'Device Energy Use'!$E5))</f>
        <v>370.32358555527537</v>
      </c>
      <c r="H5" s="11">
        <f>+'Device Energy Use'!$D5*('Retail Rates'!H$5*'Device Energy Use'!$E5+'Retail Rates'!H$6*(1-'Device Energy Use'!$E5))</f>
        <v>375.1377921674939</v>
      </c>
      <c r="I5" s="11">
        <f>+'Device Energy Use'!$D5*('Retail Rates'!I$5*'Device Energy Use'!$E5+'Retail Rates'!I$6*(1-'Device Energy Use'!$E5))</f>
        <v>380.01458346567131</v>
      </c>
      <c r="J5" s="11">
        <f>+'Device Energy Use'!$D5*('Retail Rates'!J$5*'Device Energy Use'!$E5+'Retail Rates'!J$6*(1-'Device Energy Use'!$E5))</f>
        <v>384.95477305072501</v>
      </c>
      <c r="K5" s="11">
        <f>+'Device Energy Use'!$D5*('Retail Rates'!K$5*'Device Energy Use'!$E5+'Retail Rates'!K$6*(1-'Device Energy Use'!$E5))</f>
        <v>389.95918510038433</v>
      </c>
      <c r="L5" s="11">
        <f>+'Device Energy Use'!$D5*('Retail Rates'!L$5*'Device Energy Use'!$E5+'Retail Rates'!L$6*(1-'Device Energy Use'!$E5))</f>
        <v>395.02865450668929</v>
      </c>
      <c r="M5" s="11">
        <f>+'Device Energy Use'!$D5*('Retail Rates'!M$5*'Device Energy Use'!$E5+'Retail Rates'!M$6*(1-'Device Energy Use'!$E5))</f>
        <v>400.16402701527619</v>
      </c>
      <c r="N5" s="11">
        <f>+'Device Energy Use'!$D5*('Retail Rates'!N$5*'Device Energy Use'!$E5+'Retail Rates'!N$6*(1-'Device Energy Use'!$E5))</f>
        <v>405.36615936647468</v>
      </c>
      <c r="O5" s="11">
        <f>+'Device Energy Use'!$D5*('Retail Rates'!O$5*'Device Energy Use'!$E5+'Retail Rates'!O$6*(1-'Device Energy Use'!$E5))</f>
        <v>410.63591943823883</v>
      </c>
      <c r="P5" s="11">
        <f>+'Device Energy Use'!$D5*('Retail Rates'!P$5*'Device Energy Use'!$E5+'Retail Rates'!P$6*(1-'Device Energy Use'!$E5))</f>
        <v>415.97418639093587</v>
      </c>
      <c r="Q5" s="11">
        <f>+'Device Energy Use'!$D5*('Retail Rates'!Q$5*'Device Energy Use'!$E5+'Retail Rates'!Q$6*(1-'Device Energy Use'!$E5))</f>
        <v>421.38185081401798</v>
      </c>
      <c r="R5" s="11">
        <f>+'Device Energy Use'!$D5*('Retail Rates'!R$5*'Device Energy Use'!$E5+'Retail Rates'!R$6*(1-'Device Energy Use'!$E5))</f>
        <v>426.85981487460015</v>
      </c>
      <c r="S5" s="11">
        <f>+'Device Energy Use'!$D5*('Retail Rates'!S$5*'Device Energy Use'!$E5+'Retail Rates'!S$6*(1-'Device Energy Use'!$E5))</f>
        <v>432.40899246796988</v>
      </c>
      <c r="T5" s="11">
        <f>+'Device Energy Use'!$D5*('Retail Rates'!T$5*'Device Energy Use'!$E5+'Retail Rates'!T$6*(1-'Device Energy Use'!$E5))</f>
        <v>438.03030937005349</v>
      </c>
      <c r="U5" s="11">
        <f>+'Device Energy Use'!$D5*('Retail Rates'!U$5*'Device Energy Use'!$E5+'Retail Rates'!U$6*(1-'Device Energy Use'!$E5))</f>
        <v>443.72470339186413</v>
      </c>
      <c r="V5" s="11">
        <f>+'Device Energy Use'!$D5*('Retail Rates'!V$5*'Device Energy Use'!$E5+'Retail Rates'!V$6*(1-'Device Energy Use'!$E5))</f>
        <v>449.49312453595826</v>
      </c>
      <c r="W5" s="11">
        <f>+'Device Energy Use'!$D5*('Retail Rates'!W$5*'Device Energy Use'!$E5+'Retail Rates'!W$6*(1-'Device Energy Use'!$E5))</f>
        <v>455.33653515492563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164.9026958313772</v>
      </c>
      <c r="C6" s="11">
        <f>+'Device Energy Use'!$D6*('Retail Rates'!C$5*'Device Energy Use'!$E6+'Retail Rates'!C$6*(1-'Device Energy Use'!$E6))</f>
        <v>167.04643087718509</v>
      </c>
      <c r="D6" s="11">
        <f>+'Device Energy Use'!$D6*('Retail Rates'!D$5*'Device Energy Use'!$E6+'Retail Rates'!D$6*(1-'Device Energy Use'!$E6))</f>
        <v>169.21803447858849</v>
      </c>
      <c r="E6" s="11">
        <f>+'Device Energy Use'!$D6*('Retail Rates'!E$5*'Device Energy Use'!$E6+'Retail Rates'!E$6*(1-'Device Energy Use'!$E6))</f>
        <v>171.41786892681012</v>
      </c>
      <c r="F6" s="11">
        <f>+'Device Energy Use'!$D6*('Retail Rates'!F$5*'Device Energy Use'!$E6+'Retail Rates'!F$6*(1-'Device Energy Use'!$E6))</f>
        <v>173.64630122285863</v>
      </c>
      <c r="G6" s="11">
        <f>+'Device Energy Use'!$D6*('Retail Rates'!G$5*'Device Energy Use'!$E6+'Retail Rates'!G$6*(1-'Device Energy Use'!$E6))</f>
        <v>175.90370313875576</v>
      </c>
      <c r="H6" s="11">
        <f>+'Device Energy Use'!$D6*('Retail Rates'!H$5*'Device Energy Use'!$E6+'Retail Rates'!H$6*(1-'Device Energy Use'!$E6))</f>
        <v>178.19045127955957</v>
      </c>
      <c r="I6" s="11">
        <f>+'Device Energy Use'!$D6*('Retail Rates'!I$5*'Device Energy Use'!$E6+'Retail Rates'!I$6*(1-'Device Energy Use'!$E6))</f>
        <v>180.50692714619382</v>
      </c>
      <c r="J6" s="11">
        <f>+'Device Energy Use'!$D6*('Retail Rates'!J$5*'Device Energy Use'!$E6+'Retail Rates'!J$6*(1-'Device Energy Use'!$E6))</f>
        <v>182.85351719909434</v>
      </c>
      <c r="K6" s="11">
        <f>+'Device Energy Use'!$D6*('Retail Rates'!K$5*'Device Energy Use'!$E6+'Retail Rates'!K$6*(1-'Device Energy Use'!$E6))</f>
        <v>185.23061292268252</v>
      </c>
      <c r="L6" s="11">
        <f>+'Device Energy Use'!$D6*('Retail Rates'!L$5*'Device Energy Use'!$E6+'Retail Rates'!L$6*(1-'Device Energy Use'!$E6))</f>
        <v>187.63861089067737</v>
      </c>
      <c r="M6" s="11">
        <f>+'Device Energy Use'!$D6*('Retail Rates'!M$5*'Device Energy Use'!$E6+'Retail Rates'!M$6*(1-'Device Energy Use'!$E6))</f>
        <v>190.07791283225615</v>
      </c>
      <c r="N6" s="11">
        <f>+'Device Energy Use'!$D6*('Retail Rates'!N$5*'Device Energy Use'!$E6+'Retail Rates'!N$6*(1-'Device Energy Use'!$E6))</f>
        <v>192.54892569907545</v>
      </c>
      <c r="O6" s="11">
        <f>+'Device Energy Use'!$D6*('Retail Rates'!O$5*'Device Energy Use'!$E6+'Retail Rates'!O$6*(1-'Device Energy Use'!$E6))</f>
        <v>195.05206173316338</v>
      </c>
      <c r="P6" s="11">
        <f>+'Device Energy Use'!$D6*('Retail Rates'!P$5*'Device Energy Use'!$E6+'Retail Rates'!P$6*(1-'Device Energy Use'!$E6))</f>
        <v>197.58773853569448</v>
      </c>
      <c r="Q6" s="11">
        <f>+'Device Energy Use'!$D6*('Retail Rates'!Q$5*'Device Energy Use'!$E6+'Retail Rates'!Q$6*(1-'Device Energy Use'!$E6))</f>
        <v>200.1563791366585</v>
      </c>
      <c r="R6" s="11">
        <f>+'Device Energy Use'!$D6*('Retail Rates'!R$5*'Device Energy Use'!$E6+'Retail Rates'!R$6*(1-'Device Energy Use'!$E6))</f>
        <v>202.75841206543504</v>
      </c>
      <c r="S6" s="11">
        <f>+'Device Energy Use'!$D6*('Retail Rates'!S$5*'Device Energy Use'!$E6+'Retail Rates'!S$6*(1-'Device Energy Use'!$E6))</f>
        <v>205.39427142228567</v>
      </c>
      <c r="T6" s="11">
        <f>+'Device Energy Use'!$D6*('Retail Rates'!T$5*'Device Energy Use'!$E6+'Retail Rates'!T$6*(1-'Device Energy Use'!$E6))</f>
        <v>208.06439695077535</v>
      </c>
      <c r="U6" s="11">
        <f>+'Device Energy Use'!$D6*('Retail Rates'!U$5*'Device Energy Use'!$E6+'Retail Rates'!U$6*(1-'Device Energy Use'!$E6))</f>
        <v>210.7692341111354</v>
      </c>
      <c r="V6" s="11">
        <f>+'Device Energy Use'!$D6*('Retail Rates'!V$5*'Device Energy Use'!$E6+'Retail Rates'!V$6*(1-'Device Energy Use'!$E6))</f>
        <v>213.50923415458013</v>
      </c>
      <c r="W6" s="11">
        <f>+'Device Energy Use'!$D6*('Retail Rates'!W$5*'Device Energy Use'!$E6+'Retail Rates'!W$6*(1-'Device Energy Use'!$E6))</f>
        <v>216.28485419858964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140.4651104398273</v>
      </c>
      <c r="C7" s="11">
        <f>+'Device Energy Use'!$D7*('Retail Rates'!C$5*'Device Energy Use'!$E7+'Retail Rates'!C$6*(1-'Device Energy Use'!$E7))</f>
        <v>142.5720870964247</v>
      </c>
      <c r="D7" s="11">
        <f>+'Device Energy Use'!$D7*('Retail Rates'!D$5*'Device Energy Use'!$E7+'Retail Rates'!D$6*(1-'Device Energy Use'!$E7))</f>
        <v>144.71066840287105</v>
      </c>
      <c r="E7" s="11">
        <f>+'Device Energy Use'!$D7*('Retail Rates'!E$5*'Device Energy Use'!$E7+'Retail Rates'!E$6*(1-'Device Energy Use'!$E7))</f>
        <v>146.88132842891412</v>
      </c>
      <c r="F7" s="11">
        <f>+'Device Energy Use'!$D7*('Retail Rates'!F$5*'Device Energy Use'!$E7+'Retail Rates'!F$6*(1-'Device Energy Use'!$E7))</f>
        <v>149.08454835534781</v>
      </c>
      <c r="G7" s="11">
        <f>+'Device Energy Use'!$D7*('Retail Rates'!G$5*'Device Energy Use'!$E7+'Retail Rates'!G$6*(1-'Device Energy Use'!$E7))</f>
        <v>151.32081658067801</v>
      </c>
      <c r="H7" s="11">
        <f>+'Device Energy Use'!$D7*('Retail Rates'!H$5*'Device Energy Use'!$E7+'Retail Rates'!H$6*(1-'Device Energy Use'!$E7))</f>
        <v>153.59062882938815</v>
      </c>
      <c r="I7" s="11">
        <f>+'Device Energy Use'!$D7*('Retail Rates'!I$5*'Device Energy Use'!$E7+'Retail Rates'!I$6*(1-'Device Energy Use'!$E7))</f>
        <v>155.89448826182897</v>
      </c>
      <c r="J7" s="11">
        <f>+'Device Energy Use'!$D7*('Retail Rates'!J$5*'Device Energy Use'!$E7+'Retail Rates'!J$6*(1-'Device Energy Use'!$E7))</f>
        <v>158.23290558575638</v>
      </c>
      <c r="K7" s="11">
        <f>+'Device Energy Use'!$D7*('Retail Rates'!K$5*'Device Energy Use'!$E7+'Retail Rates'!K$6*(1-'Device Energy Use'!$E7))</f>
        <v>160.6063991695427</v>
      </c>
      <c r="L7" s="11">
        <f>+'Device Energy Use'!$D7*('Retail Rates'!L$5*'Device Energy Use'!$E7+'Retail Rates'!L$6*(1-'Device Energy Use'!$E7))</f>
        <v>163.01549515708584</v>
      </c>
      <c r="M7" s="11">
        <f>+'Device Energy Use'!$D7*('Retail Rates'!M$5*'Device Energy Use'!$E7+'Retail Rates'!M$6*(1-'Device Energy Use'!$E7))</f>
        <v>165.46072758444211</v>
      </c>
      <c r="N7" s="11">
        <f>+'Device Energy Use'!$D7*('Retail Rates'!N$5*'Device Energy Use'!$E7+'Retail Rates'!N$6*(1-'Device Energy Use'!$E7))</f>
        <v>167.94263849820874</v>
      </c>
      <c r="O7" s="11">
        <f>+'Device Energy Use'!$D7*('Retail Rates'!O$5*'Device Energy Use'!$E7+'Retail Rates'!O$6*(1-'Device Energy Use'!$E7))</f>
        <v>170.46177807568185</v>
      </c>
      <c r="P7" s="11">
        <f>+'Device Energy Use'!$D7*('Retail Rates'!P$5*'Device Energy Use'!$E7+'Retail Rates'!P$6*(1-'Device Energy Use'!$E7))</f>
        <v>173.01870474681709</v>
      </c>
      <c r="Q7" s="11">
        <f>+'Device Energy Use'!$D7*('Retail Rates'!Q$5*'Device Energy Use'!$E7+'Retail Rates'!Q$6*(1-'Device Energy Use'!$E7))</f>
        <v>175.6139853180193</v>
      </c>
      <c r="R7" s="11">
        <f>+'Device Energy Use'!$D7*('Retail Rates'!R$5*'Device Energy Use'!$E7+'Retail Rates'!R$6*(1-'Device Energy Use'!$E7))</f>
        <v>178.24819509778956</v>
      </c>
      <c r="S7" s="11">
        <f>+'Device Energy Use'!$D7*('Retail Rates'!S$5*'Device Energy Use'!$E7+'Retail Rates'!S$6*(1-'Device Energy Use'!$E7))</f>
        <v>180.9219180242564</v>
      </c>
      <c r="T7" s="11">
        <f>+'Device Energy Use'!$D7*('Retail Rates'!T$5*'Device Energy Use'!$E7+'Retail Rates'!T$6*(1-'Device Energy Use'!$E7))</f>
        <v>183.63574679462022</v>
      </c>
      <c r="U7" s="11">
        <f>+'Device Energy Use'!$D7*('Retail Rates'!U$5*'Device Energy Use'!$E7+'Retail Rates'!U$6*(1-'Device Energy Use'!$E7))</f>
        <v>186.3902829965395</v>
      </c>
      <c r="V7" s="11">
        <f>+'Device Energy Use'!$D7*('Retail Rates'!V$5*'Device Energy Use'!$E7+'Retail Rates'!V$6*(1-'Device Energy Use'!$E7))</f>
        <v>189.18613724148756</v>
      </c>
      <c r="W7" s="11">
        <f>+'Device Energy Use'!$D7*('Retail Rates'!W$5*'Device Energy Use'!$E7+'Retail Rates'!W$6*(1-'Device Energy Use'!$E7))</f>
        <v>192.02392930010987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106.58748103539685</v>
      </c>
      <c r="C8" s="11">
        <f>+'Device Energy Use'!$D8*('Retail Rates'!C$5*'Device Energy Use'!$E8+'Retail Rates'!C$6*(1-'Device Energy Use'!$E8))</f>
        <v>108.1862932509278</v>
      </c>
      <c r="D8" s="11">
        <f>+'Device Energy Use'!$D8*('Retail Rates'!D$5*'Device Energy Use'!$E8+'Retail Rates'!D$6*(1-'Device Energy Use'!$E8))</f>
        <v>109.80908764969169</v>
      </c>
      <c r="E8" s="11">
        <f>+'Device Energy Use'!$D8*('Retail Rates'!E$5*'Device Energy Use'!$E8+'Retail Rates'!E$6*(1-'Device Energy Use'!$E8))</f>
        <v>111.45622396443707</v>
      </c>
      <c r="F8" s="11">
        <f>+'Device Energy Use'!$D8*('Retail Rates'!F$5*'Device Energy Use'!$E8+'Retail Rates'!F$6*(1-'Device Energy Use'!$E8))</f>
        <v>113.12806732390361</v>
      </c>
      <c r="G8" s="11">
        <f>+'Device Energy Use'!$D8*('Retail Rates'!G$5*'Device Energy Use'!$E8+'Retail Rates'!G$6*(1-'Device Energy Use'!$E8))</f>
        <v>114.82498833376215</v>
      </c>
      <c r="H8" s="11">
        <f>+'Device Energy Use'!$D8*('Retail Rates'!H$5*'Device Energy Use'!$E8+'Retail Rates'!H$6*(1-'Device Energy Use'!$E8))</f>
        <v>116.54736315876858</v>
      </c>
      <c r="I8" s="11">
        <f>+'Device Energy Use'!$D8*('Retail Rates'!I$5*'Device Energy Use'!$E8+'Retail Rates'!I$6*(1-'Device Energy Use'!$E8))</f>
        <v>118.29557360615009</v>
      </c>
      <c r="J8" s="11">
        <f>+'Device Energy Use'!$D8*('Retail Rates'!J$5*'Device Energy Use'!$E8+'Retail Rates'!J$6*(1-'Device Energy Use'!$E8))</f>
        <v>120.07000721024232</v>
      </c>
      <c r="K8" s="11">
        <f>+'Device Energy Use'!$D8*('Retail Rates'!K$5*'Device Energy Use'!$E8+'Retail Rates'!K$6*(1-'Device Energy Use'!$E8))</f>
        <v>121.87105731839596</v>
      </c>
      <c r="L8" s="11">
        <f>+'Device Energy Use'!$D8*('Retail Rates'!L$5*'Device Energy Use'!$E8+'Retail Rates'!L$6*(1-'Device Energy Use'!$E8))</f>
        <v>123.69912317817187</v>
      </c>
      <c r="M8" s="11">
        <f>+'Device Energy Use'!$D8*('Retail Rates'!M$5*'Device Energy Use'!$E8+'Retail Rates'!M$6*(1-'Device Energy Use'!$E8))</f>
        <v>125.55461002584445</v>
      </c>
      <c r="N8" s="11">
        <f>+'Device Energy Use'!$D8*('Retail Rates'!N$5*'Device Energy Use'!$E8+'Retail Rates'!N$6*(1-'Device Energy Use'!$E8))</f>
        <v>127.43792917623212</v>
      </c>
      <c r="O8" s="11">
        <f>+'Device Energy Use'!$D8*('Retail Rates'!O$5*'Device Energy Use'!$E8+'Retail Rates'!O$6*(1-'Device Energy Use'!$E8))</f>
        <v>129.3494981138756</v>
      </c>
      <c r="P8" s="11">
        <f>+'Device Energy Use'!$D8*('Retail Rates'!P$5*'Device Energy Use'!$E8+'Retail Rates'!P$6*(1-'Device Energy Use'!$E8))</f>
        <v>131.28974058558373</v>
      </c>
      <c r="Q8" s="11">
        <f>+'Device Energy Use'!$D8*('Retail Rates'!Q$5*'Device Energy Use'!$E8+'Retail Rates'!Q$6*(1-'Device Energy Use'!$E8))</f>
        <v>133.25908669436745</v>
      </c>
      <c r="R8" s="11">
        <f>+'Device Energy Use'!$D8*('Retail Rates'!R$5*'Device Energy Use'!$E8+'Retail Rates'!R$6*(1-'Device Energy Use'!$E8))</f>
        <v>135.25797299478293</v>
      </c>
      <c r="S8" s="11">
        <f>+'Device Energy Use'!$D8*('Retail Rates'!S$5*'Device Energy Use'!$E8+'Retail Rates'!S$6*(1-'Device Energy Use'!$E8))</f>
        <v>137.28684258970466</v>
      </c>
      <c r="T8" s="11">
        <f>+'Device Energy Use'!$D8*('Retail Rates'!T$5*'Device Energy Use'!$E8+'Retail Rates'!T$6*(1-'Device Energy Use'!$E8))</f>
        <v>139.3461452285502</v>
      </c>
      <c r="U8" s="11">
        <f>+'Device Energy Use'!$D8*('Retail Rates'!U$5*'Device Energy Use'!$E8+'Retail Rates'!U$6*(1-'Device Energy Use'!$E8))</f>
        <v>141.43633740697845</v>
      </c>
      <c r="V8" s="11">
        <f>+'Device Energy Use'!$D8*('Retail Rates'!V$5*'Device Energy Use'!$E8+'Retail Rates'!V$6*(1-'Device Energy Use'!$E8))</f>
        <v>143.55788246808311</v>
      </c>
      <c r="W8" s="11">
        <f>+'Device Energy Use'!$D8*('Retail Rates'!W$5*'Device Energy Use'!$E8+'Retail Rates'!W$6*(1-'Device Energy Use'!$E8))</f>
        <v>145.71125070510433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74.401161837862034</v>
      </c>
      <c r="C9" s="11">
        <f>+'Device Energy Use'!$D9*('Retail Rates'!C$5*'Device Energy Use'!$E9+'Retail Rates'!C$6*(1-'Device Energy Use'!$E9))</f>
        <v>75.517179265429959</v>
      </c>
      <c r="D9" s="11">
        <f>+'Device Energy Use'!$D9*('Retail Rates'!D$5*'Device Energy Use'!$E9+'Retail Rates'!D$6*(1-'Device Energy Use'!$E9))</f>
        <v>76.649936954411388</v>
      </c>
      <c r="E9" s="11">
        <f>+'Device Energy Use'!$D9*('Retail Rates'!E$5*'Device Energy Use'!$E9+'Retail Rates'!E$6*(1-'Device Energy Use'!$E9))</f>
        <v>77.799686008727562</v>
      </c>
      <c r="F9" s="11">
        <f>+'Device Energy Use'!$D9*('Retail Rates'!F$5*'Device Energy Use'!$E9+'Retail Rates'!F$6*(1-'Device Energy Use'!$E9))</f>
        <v>78.966681298858461</v>
      </c>
      <c r="G9" s="11">
        <f>+'Device Energy Use'!$D9*('Retail Rates'!G$5*'Device Energy Use'!$E9+'Retail Rates'!G$6*(1-'Device Energy Use'!$E9))</f>
        <v>80.151181518341332</v>
      </c>
      <c r="H9" s="11">
        <f>+'Device Energy Use'!$D9*('Retail Rates'!H$5*'Device Energy Use'!$E9+'Retail Rates'!H$6*(1-'Device Energy Use'!$E9))</f>
        <v>81.353449241116451</v>
      </c>
      <c r="I9" s="11">
        <f>+'Device Energy Use'!$D9*('Retail Rates'!I$5*'Device Energy Use'!$E9+'Retail Rates'!I$6*(1-'Device Energy Use'!$E9))</f>
        <v>82.573750979733177</v>
      </c>
      <c r="J9" s="11">
        <f>+'Device Energy Use'!$D9*('Retail Rates'!J$5*'Device Energy Use'!$E9+'Retail Rates'!J$6*(1-'Device Energy Use'!$E9))</f>
        <v>83.812357244429165</v>
      </c>
      <c r="K9" s="11">
        <f>+'Device Energy Use'!$D9*('Retail Rates'!K$5*'Device Energy Use'!$E9+'Retail Rates'!K$6*(1-'Device Energy Use'!$E9))</f>
        <v>85.069542603095599</v>
      </c>
      <c r="L9" s="11">
        <f>+'Device Energy Use'!$D9*('Retail Rates'!L$5*'Device Energy Use'!$E9+'Retail Rates'!L$6*(1-'Device Energy Use'!$E9))</f>
        <v>86.345585742142021</v>
      </c>
      <c r="M9" s="11">
        <f>+'Device Energy Use'!$D9*('Retail Rates'!M$5*'Device Energy Use'!$E9+'Retail Rates'!M$6*(1-'Device Energy Use'!$E9))</f>
        <v>87.640769528274149</v>
      </c>
      <c r="N9" s="11">
        <f>+'Device Energy Use'!$D9*('Retail Rates'!N$5*'Device Energy Use'!$E9+'Retail Rates'!N$6*(1-'Device Energy Use'!$E9))</f>
        <v>88.955381071198261</v>
      </c>
      <c r="O9" s="11">
        <f>+'Device Energy Use'!$D9*('Retail Rates'!O$5*'Device Energy Use'!$E9+'Retail Rates'!O$6*(1-'Device Energy Use'!$E9))</f>
        <v>90.289711787266228</v>
      </c>
      <c r="P9" s="11">
        <f>+'Device Energy Use'!$D9*('Retail Rates'!P$5*'Device Energy Use'!$E9+'Retail Rates'!P$6*(1-'Device Energy Use'!$E9))</f>
        <v>91.644057464075217</v>
      </c>
      <c r="Q9" s="11">
        <f>+'Device Energy Use'!$D9*('Retail Rates'!Q$5*'Device Energy Use'!$E9+'Retail Rates'!Q$6*(1-'Device Energy Use'!$E9))</f>
        <v>93.018718326036335</v>
      </c>
      <c r="R9" s="11">
        <f>+'Device Energy Use'!$D9*('Retail Rates'!R$5*'Device Energy Use'!$E9+'Retail Rates'!R$6*(1-'Device Energy Use'!$E9))</f>
        <v>94.413999100926858</v>
      </c>
      <c r="S9" s="11">
        <f>+'Device Energy Use'!$D9*('Retail Rates'!S$5*'Device Energy Use'!$E9+'Retail Rates'!S$6*(1-'Device Energy Use'!$E9))</f>
        <v>95.83020908744075</v>
      </c>
      <c r="T9" s="11">
        <f>+'Device Energy Use'!$D9*('Retail Rates'!T$5*'Device Energy Use'!$E9+'Retail Rates'!T$6*(1-'Device Energy Use'!$E9))</f>
        <v>97.267662223752339</v>
      </c>
      <c r="U9" s="11">
        <f>+'Device Energy Use'!$D9*('Retail Rates'!U$5*'Device Energy Use'!$E9+'Retail Rates'!U$6*(1-'Device Energy Use'!$E9))</f>
        <v>98.726677157108625</v>
      </c>
      <c r="V9" s="11">
        <f>+'Device Energy Use'!$D9*('Retail Rates'!V$5*'Device Energy Use'!$E9+'Retail Rates'!V$6*(1-'Device Energy Use'!$E9))</f>
        <v>100.20757731446524</v>
      </c>
      <c r="W9" s="11">
        <f>+'Device Energy Use'!$D9*('Retail Rates'!W$5*'Device Energy Use'!$E9+'Retail Rates'!W$6*(1-'Device Energy Use'!$E9))</f>
        <v>101.71069097418221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11" ht="23.25" customHeight="1">
      <c r="A3" s="27" t="s">
        <v>88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16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8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8">
        <f>'Input Assumptions'!B28</f>
        <v>1593.8313212124149</v>
      </c>
      <c r="C6" s="6">
        <f>'Input Assumptions'!C28</f>
        <v>0</v>
      </c>
      <c r="D6" s="6">
        <f>'Input Assumptions'!B28*3412/1000000+'Input Assumptions'!C28</f>
        <v>5.4381524679767592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8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2"/>
      <c r="J7" s="2"/>
    </row>
    <row r="8" spans="1:11">
      <c r="A8" s="2" t="str">
        <f>'Input Assumptions'!D48</f>
        <v>Instant Gas</v>
      </c>
      <c r="B8" s="58">
        <f>'Input Assumptions'!B30</f>
        <v>0</v>
      </c>
      <c r="C8" s="6">
        <f>'Input Assumptions'!C30</f>
        <v>13.162899583423945</v>
      </c>
      <c r="D8" s="6">
        <f>'Input Assumptions'!B30*3412/1000000+'Input Assumptions'!C30</f>
        <v>13.162899583423945</v>
      </c>
      <c r="E8" s="5">
        <f>'Input Assumptions'!E30</f>
        <v>0</v>
      </c>
      <c r="G8" s="172"/>
      <c r="J8" s="2"/>
    </row>
    <row r="9" spans="1:11">
      <c r="A9" s="2" t="str">
        <f>'Input Assumptions'!D49</f>
        <v>Condensing Gas</v>
      </c>
      <c r="B9" s="58">
        <f>'Input Assumptions'!B31</f>
        <v>0</v>
      </c>
      <c r="C9" s="6">
        <f>'Input Assumptions'!C31</f>
        <v>9.1880867494806662</v>
      </c>
      <c r="D9" s="6">
        <f>'Input Assumptions'!B31*3412/1000000+'Input Assumptions'!C31</f>
        <v>9.1880867494806662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2" spans="1:5" ht="18.75">
      <c r="A2" s="147"/>
    </row>
    <row r="3" spans="1:5" ht="23.25" customHeight="1">
      <c r="A3" s="27" t="s">
        <v>87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141</v>
      </c>
      <c r="E4" s="17" t="s">
        <v>20</v>
      </c>
    </row>
    <row r="5" spans="1:5">
      <c r="A5" s="2" t="str">
        <f>'Input Assumptions'!D45</f>
        <v>Electric Resistance</v>
      </c>
      <c r="B5" s="62">
        <f>'Input Assumptions'!B36</f>
        <v>590</v>
      </c>
      <c r="C5" s="103" t="str">
        <f>'Input Assumptions'!C36</f>
        <v>2008$</v>
      </c>
      <c r="D5" s="63">
        <f>Inflation!AB5/Inflation!X5</f>
        <v>1.0627615062761504</v>
      </c>
      <c r="E5" s="61">
        <f>B5*D5</f>
        <v>627.02928870292874</v>
      </c>
    </row>
    <row r="6" spans="1:5">
      <c r="A6" s="2" t="str">
        <f>'Input Assumptions'!D46</f>
        <v>HPWH</v>
      </c>
      <c r="B6" s="62">
        <f>'Input Assumptions'!B37</f>
        <v>1621</v>
      </c>
      <c r="C6" s="103" t="str">
        <f>'Input Assumptions'!C37</f>
        <v>2011$</v>
      </c>
      <c r="D6" s="63">
        <f>Inflation!AB5/Inflation!AA5</f>
        <v>1.0177579455423003</v>
      </c>
      <c r="E6" s="61">
        <f>B6*D6</f>
        <v>1649.7856297240687</v>
      </c>
    </row>
    <row r="7" spans="1:5">
      <c r="A7" s="2" t="str">
        <f>'Input Assumptions'!D47</f>
        <v>Gas Tank</v>
      </c>
      <c r="B7" s="62">
        <f>'Input Assumptions'!B38</f>
        <v>785</v>
      </c>
      <c r="C7" s="103" t="str">
        <f>'Input Assumptions'!C38</f>
        <v>2013$</v>
      </c>
      <c r="D7" s="63">
        <f>Inflation!$AB$5/Inflation!$AC$5</f>
        <v>0.98250549450549451</v>
      </c>
      <c r="E7" s="61">
        <f>B7*D7</f>
        <v>771.26681318681324</v>
      </c>
    </row>
    <row r="8" spans="1:5">
      <c r="A8" s="2" t="str">
        <f>'Input Assumptions'!D48</f>
        <v>Instant Gas</v>
      </c>
      <c r="B8" s="62">
        <f>'Input Assumptions'!B39</f>
        <v>3760</v>
      </c>
      <c r="C8" s="103" t="str">
        <f>'Input Assumptions'!C39</f>
        <v>2013$</v>
      </c>
      <c r="D8" s="63">
        <f>Inflation!$AB$5/Inflation!$AC$5</f>
        <v>0.98250549450549451</v>
      </c>
      <c r="E8" s="61">
        <f>B8*D8</f>
        <v>3694.2206593406595</v>
      </c>
    </row>
    <row r="9" spans="1:5">
      <c r="A9" s="2" t="str">
        <f>'Input Assumptions'!D49</f>
        <v>Condensing Gas</v>
      </c>
      <c r="B9" s="62">
        <f>'Input Assumptions'!B40</f>
        <v>1861.3517860501238</v>
      </c>
      <c r="C9" s="103" t="str">
        <f>'Input Assumptions'!C40</f>
        <v>2006$</v>
      </c>
      <c r="D9" s="63">
        <f>Inflation!$AB$5/Inflation!$V$5</f>
        <v>1.1175999999999999</v>
      </c>
      <c r="E9" s="61">
        <f>B9*D9</f>
        <v>2080.2467560896184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  <c r="B1" s="139"/>
      <c r="C1" s="138"/>
      <c r="D1" s="138"/>
      <c r="E1" s="138"/>
      <c r="F1" s="138"/>
      <c r="G1" s="138"/>
      <c r="H1" s="138"/>
      <c r="I1" s="138"/>
      <c r="J1" s="138"/>
    </row>
    <row r="2" spans="1:10" ht="18.75">
      <c r="A2" s="147"/>
      <c r="B2" s="139"/>
      <c r="C2" s="138"/>
      <c r="D2" s="138"/>
      <c r="E2" s="138"/>
      <c r="F2" s="138"/>
      <c r="G2" s="138"/>
      <c r="H2" s="138"/>
      <c r="I2" s="138"/>
      <c r="J2" s="138"/>
    </row>
    <row r="3" spans="1:10" ht="23.25" customHeight="1">
      <c r="A3" s="27" t="s">
        <v>89</v>
      </c>
    </row>
    <row r="4" spans="1:10" s="19" customFormat="1" ht="47.25">
      <c r="A4" s="140" t="s">
        <v>140</v>
      </c>
      <c r="B4" s="146" t="str">
        <f>'Input Assumptions'!D26</f>
        <v>O&amp;M Cost (2006$/ device/Yr)</v>
      </c>
      <c r="C4" s="146" t="s">
        <v>68</v>
      </c>
      <c r="D4" s="146" t="s">
        <v>21</v>
      </c>
    </row>
    <row r="5" spans="1:10">
      <c r="A5" s="2" t="str">
        <f>'Input Assumptions'!D45</f>
        <v>Electric Resistance</v>
      </c>
      <c r="B5" s="61">
        <f>'Input Assumptions'!D27</f>
        <v>4.0147653217481896</v>
      </c>
      <c r="C5" s="63">
        <f>Inflation!$AB$5/Inflation!$V$5</f>
        <v>1.1175999999999999</v>
      </c>
      <c r="D5" s="61">
        <f>B5*C5</f>
        <v>4.4869017235857767</v>
      </c>
    </row>
    <row r="6" spans="1:10">
      <c r="A6" s="2" t="str">
        <f>'Input Assumptions'!D46</f>
        <v>HPWH</v>
      </c>
      <c r="B6" s="61">
        <f>'Input Assumptions'!D28</f>
        <v>8.8912994251335906</v>
      </c>
      <c r="C6" s="63">
        <f>Inflation!$AB$5/Inflation!$V$5</f>
        <v>1.1175999999999999</v>
      </c>
      <c r="D6" s="61">
        <f>B6*C6</f>
        <v>9.9369162375292994</v>
      </c>
    </row>
    <row r="7" spans="1:10">
      <c r="A7" s="2" t="str">
        <f>'Input Assumptions'!D47</f>
        <v>Gas Tank</v>
      </c>
      <c r="B7" s="61">
        <f>'Input Assumptions'!D29</f>
        <v>12.364813725618941</v>
      </c>
      <c r="C7" s="63">
        <f>Inflation!$AB$5/Inflation!$V$5</f>
        <v>1.1175999999999999</v>
      </c>
      <c r="D7" s="61">
        <f>B7*C7</f>
        <v>13.818915819751727</v>
      </c>
    </row>
    <row r="8" spans="1:10">
      <c r="A8" s="2" t="str">
        <f>'Input Assumptions'!D48</f>
        <v>Instant Gas</v>
      </c>
      <c r="B8" s="61">
        <f>'Input Assumptions'!D30</f>
        <v>66.879220980384858</v>
      </c>
      <c r="C8" s="63">
        <f>Inflation!$AB$5/Inflation!$V$5</f>
        <v>1.1175999999999999</v>
      </c>
      <c r="D8" s="61">
        <f>B8*C8</f>
        <v>74.744217367678118</v>
      </c>
    </row>
    <row r="9" spans="1:10">
      <c r="A9" s="2" t="str">
        <f>'Input Assumptions'!D49</f>
        <v>Condensing Gas</v>
      </c>
      <c r="B9" s="61">
        <f>'Input Assumptions'!D31</f>
        <v>14.794662287278264</v>
      </c>
      <c r="C9" s="63">
        <f>Inflation!$AB$5/Inflation!$V$5</f>
        <v>1.1175999999999999</v>
      </c>
      <c r="D9" s="61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>
      <selection activeCell="D21" sqref="D21"/>
    </sheetView>
  </sheetViews>
  <sheetFormatPr defaultColWidth="9.140625" defaultRowHeight="15.75"/>
  <cols>
    <col min="1" max="1" width="45.57031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10">
      <c r="A3" s="26" t="s">
        <v>69</v>
      </c>
      <c r="J3" s="45"/>
    </row>
    <row r="4" spans="1:10">
      <c r="A4" s="174" t="s">
        <v>91</v>
      </c>
      <c r="C4" s="12"/>
    </row>
    <row r="5" spans="1:10">
      <c r="A5" s="175" t="s">
        <v>90</v>
      </c>
    </row>
    <row r="6" spans="1:10">
      <c r="A6" s="77"/>
    </row>
    <row r="7" spans="1:10">
      <c r="A7" s="12" t="s">
        <v>139</v>
      </c>
    </row>
    <row r="8" spans="1:10">
      <c r="A8" s="66" t="s">
        <v>40</v>
      </c>
      <c r="B8" s="71" t="s">
        <v>39</v>
      </c>
      <c r="C8" s="107" t="s">
        <v>53</v>
      </c>
      <c r="D8" s="82"/>
      <c r="E8" s="82"/>
      <c r="F8" s="82"/>
      <c r="G8" s="93"/>
    </row>
    <row r="9" spans="1:10">
      <c r="A9" s="67" t="s">
        <v>15</v>
      </c>
      <c r="B9" s="72" t="s">
        <v>171</v>
      </c>
      <c r="C9" s="45"/>
      <c r="D9" s="45"/>
      <c r="E9" s="45"/>
      <c r="F9" s="45"/>
      <c r="G9" s="68"/>
    </row>
    <row r="10" spans="1:10">
      <c r="A10" s="67" t="s">
        <v>95</v>
      </c>
      <c r="B10" s="72" t="s">
        <v>7</v>
      </c>
      <c r="C10" s="45"/>
      <c r="D10" s="45"/>
      <c r="E10" s="45"/>
      <c r="F10" s="45"/>
      <c r="G10" s="68"/>
    </row>
    <row r="11" spans="1:10">
      <c r="A11" s="67" t="s">
        <v>73</v>
      </c>
      <c r="B11" s="72" t="s">
        <v>8</v>
      </c>
      <c r="C11" s="45"/>
      <c r="D11" s="45"/>
      <c r="E11" s="45"/>
      <c r="F11" s="45"/>
      <c r="G11" s="68"/>
    </row>
    <row r="12" spans="1:10">
      <c r="A12" s="67" t="s">
        <v>74</v>
      </c>
      <c r="B12" s="72" t="s">
        <v>75</v>
      </c>
      <c r="C12" s="45"/>
      <c r="E12" s="45"/>
      <c r="F12" s="45"/>
      <c r="G12" s="68"/>
    </row>
    <row r="13" spans="1:10">
      <c r="A13" s="67" t="s">
        <v>125</v>
      </c>
      <c r="B13" s="98">
        <v>95548.742999999988</v>
      </c>
      <c r="C13" s="60" t="s">
        <v>124</v>
      </c>
      <c r="D13" s="45"/>
      <c r="E13" s="45"/>
      <c r="F13" s="45"/>
      <c r="G13" s="68"/>
    </row>
    <row r="14" spans="1:10">
      <c r="A14" s="67" t="s">
        <v>46</v>
      </c>
      <c r="B14" s="73">
        <v>14</v>
      </c>
      <c r="C14" s="45" t="s">
        <v>96</v>
      </c>
      <c r="D14" s="45"/>
      <c r="E14" s="45"/>
      <c r="F14" s="45"/>
      <c r="G14" s="68"/>
    </row>
    <row r="15" spans="1:10">
      <c r="A15" s="69" t="s">
        <v>52</v>
      </c>
      <c r="B15" s="99">
        <v>0.04</v>
      </c>
      <c r="C15" s="45" t="s">
        <v>70</v>
      </c>
      <c r="D15" s="45"/>
      <c r="E15" s="45"/>
      <c r="F15" s="45"/>
      <c r="G15" s="68"/>
    </row>
    <row r="16" spans="1:10">
      <c r="A16" s="69" t="s">
        <v>63</v>
      </c>
      <c r="B16" s="120">
        <v>0.1</v>
      </c>
      <c r="C16" s="45" t="s">
        <v>64</v>
      </c>
      <c r="D16" s="45"/>
      <c r="E16" s="45"/>
      <c r="F16" s="45"/>
      <c r="G16" s="68"/>
    </row>
    <row r="17" spans="1:12">
      <c r="A17" s="69" t="s">
        <v>126</v>
      </c>
      <c r="B17" s="73">
        <v>6470</v>
      </c>
      <c r="C17" s="45" t="s">
        <v>127</v>
      </c>
      <c r="D17" s="45"/>
      <c r="E17" s="45"/>
      <c r="F17" s="45"/>
      <c r="G17" s="68"/>
    </row>
    <row r="18" spans="1:12">
      <c r="A18" s="69" t="s">
        <v>150</v>
      </c>
      <c r="B18" s="73">
        <v>3.4119999999999999</v>
      </c>
      <c r="C18" s="45"/>
      <c r="D18" s="45"/>
      <c r="E18" s="45"/>
      <c r="F18" s="45"/>
      <c r="G18" s="68"/>
    </row>
    <row r="19" spans="1:12">
      <c r="A19" s="67" t="s">
        <v>42</v>
      </c>
      <c r="B19" s="73">
        <v>-2.2999999999999998</v>
      </c>
      <c r="C19" s="45"/>
      <c r="D19" s="45"/>
      <c r="E19" s="45"/>
      <c r="F19" s="45"/>
      <c r="G19" s="68"/>
    </row>
    <row r="20" spans="1:12">
      <c r="A20" s="157" t="s">
        <v>98</v>
      </c>
      <c r="B20" s="121" t="s">
        <v>99</v>
      </c>
      <c r="C20" s="42"/>
      <c r="D20" s="42"/>
      <c r="E20" s="42"/>
      <c r="F20" s="42"/>
      <c r="G20" s="70"/>
    </row>
    <row r="21" spans="1:12">
      <c r="A21" s="76" t="s">
        <v>76</v>
      </c>
    </row>
    <row r="22" spans="1:12">
      <c r="A22" s="29" t="s">
        <v>28</v>
      </c>
    </row>
    <row r="23" spans="1:12">
      <c r="A23" s="31" t="s">
        <v>27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Montana, Gas FAF, Starting with Electric Resistance &lt;=55 Gallons</v>
      </c>
    </row>
    <row r="26" spans="1:12" ht="47.25">
      <c r="A26" s="89" t="s">
        <v>0</v>
      </c>
      <c r="B26" s="89" t="s">
        <v>138</v>
      </c>
      <c r="C26" s="89" t="s">
        <v>137</v>
      </c>
      <c r="D26" s="89" t="s">
        <v>136</v>
      </c>
      <c r="E26" s="89" t="s">
        <v>17</v>
      </c>
      <c r="F26" s="89" t="s">
        <v>53</v>
      </c>
      <c r="G26" s="82"/>
      <c r="H26" s="82"/>
      <c r="I26" s="82"/>
      <c r="J26" s="82"/>
      <c r="K26" s="82"/>
      <c r="L26" s="93"/>
    </row>
    <row r="27" spans="1:12">
      <c r="A27" s="2" t="s">
        <v>8</v>
      </c>
      <c r="B27" s="112">
        <v>3355.4343604471896</v>
      </c>
      <c r="C27" s="113">
        <v>0</v>
      </c>
      <c r="D27" s="114">
        <v>4.0147653217481896</v>
      </c>
      <c r="E27" s="115">
        <v>1</v>
      </c>
      <c r="F27" s="60" t="s">
        <v>62</v>
      </c>
      <c r="G27" s="45"/>
      <c r="H27" s="45"/>
      <c r="I27" s="45"/>
      <c r="J27" s="45"/>
      <c r="K27" s="45"/>
      <c r="L27" s="68"/>
    </row>
    <row r="28" spans="1:12">
      <c r="A28" s="2" t="s">
        <v>11</v>
      </c>
      <c r="B28" s="112">
        <v>1593.8313212124149</v>
      </c>
      <c r="C28" s="113">
        <v>0</v>
      </c>
      <c r="D28" s="114">
        <v>8.8912994251335906</v>
      </c>
      <c r="E28" s="115">
        <v>1</v>
      </c>
      <c r="F28" s="60" t="s">
        <v>62</v>
      </c>
      <c r="G28" s="45"/>
      <c r="H28" s="45"/>
      <c r="I28" s="45"/>
      <c r="J28" s="45"/>
      <c r="K28" s="45"/>
      <c r="L28" s="68"/>
    </row>
    <row r="29" spans="1:12">
      <c r="A29" s="2" t="s">
        <v>12</v>
      </c>
      <c r="B29" s="112">
        <v>0</v>
      </c>
      <c r="C29" s="113">
        <v>17.346578845220922</v>
      </c>
      <c r="D29" s="114">
        <v>12.364813725618941</v>
      </c>
      <c r="E29" s="115">
        <v>0</v>
      </c>
      <c r="F29" s="60" t="s">
        <v>62</v>
      </c>
      <c r="G29" s="45"/>
      <c r="H29" s="45"/>
      <c r="I29" s="45"/>
      <c r="J29" s="45"/>
      <c r="K29" s="45"/>
      <c r="L29" s="68"/>
    </row>
    <row r="30" spans="1:12">
      <c r="A30" s="2" t="s">
        <v>13</v>
      </c>
      <c r="B30" s="112">
        <v>0</v>
      </c>
      <c r="C30" s="113">
        <v>13.162899583423945</v>
      </c>
      <c r="D30" s="114">
        <v>66.879220980384858</v>
      </c>
      <c r="E30" s="115">
        <v>0</v>
      </c>
      <c r="F30" s="60" t="s">
        <v>62</v>
      </c>
      <c r="G30" s="45"/>
      <c r="H30" s="45"/>
      <c r="I30" s="45"/>
      <c r="J30" s="45"/>
      <c r="K30" s="45"/>
      <c r="L30" s="68"/>
    </row>
    <row r="31" spans="1:12">
      <c r="A31" s="79" t="s">
        <v>14</v>
      </c>
      <c r="B31" s="116">
        <v>0</v>
      </c>
      <c r="C31" s="117">
        <v>9.1880867494806662</v>
      </c>
      <c r="D31" s="118">
        <v>14.794662287278264</v>
      </c>
      <c r="E31" s="119">
        <v>0</v>
      </c>
      <c r="F31" s="106" t="s">
        <v>62</v>
      </c>
      <c r="G31" s="42"/>
      <c r="H31" s="42"/>
      <c r="I31" s="42"/>
      <c r="J31" s="42"/>
      <c r="K31" s="42"/>
      <c r="L31" s="70"/>
    </row>
    <row r="32" spans="1:12">
      <c r="A32" s="2"/>
      <c r="B32" s="112"/>
      <c r="C32" s="113"/>
      <c r="D32" s="114"/>
      <c r="E32" s="115"/>
      <c r="F32" s="60"/>
      <c r="G32" s="45"/>
      <c r="H32" s="45"/>
      <c r="I32" s="45"/>
      <c r="J32" s="45"/>
      <c r="K32" s="45"/>
      <c r="L32" s="45"/>
    </row>
    <row r="33" spans="1:1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59"/>
      <c r="L33" s="78"/>
    </row>
    <row r="34" spans="1:12">
      <c r="A34" s="12" t="str">
        <f>CONCATENATE("Capital Cost by Water Heater Type - ",State,", ", SpaceHeat,", Starting with ",StartWH," ",TankSize)</f>
        <v>Capital Cost by Water Heater Type - Montana, Gas FAF, Starting with Electric Resistance &lt;=55 Gallons</v>
      </c>
      <c r="B34" s="78"/>
      <c r="C34" s="78"/>
      <c r="D34" s="5"/>
      <c r="E34" s="2"/>
      <c r="F34" s="2"/>
      <c r="G34" s="78"/>
      <c r="H34" s="78"/>
      <c r="I34" s="78"/>
      <c r="J34" s="78"/>
      <c r="K34" s="78"/>
      <c r="L34" s="78"/>
    </row>
    <row r="35" spans="1:12" ht="31.5">
      <c r="A35" s="104" t="s">
        <v>0</v>
      </c>
      <c r="B35" s="104" t="s">
        <v>135</v>
      </c>
      <c r="C35" s="104" t="s">
        <v>67</v>
      </c>
      <c r="D35" s="105" t="s">
        <v>53</v>
      </c>
      <c r="E35" s="105"/>
      <c r="F35" s="105"/>
      <c r="G35" s="105"/>
      <c r="H35" s="105"/>
      <c r="I35" s="105"/>
      <c r="J35" s="105"/>
      <c r="K35" s="105"/>
      <c r="L35" s="105"/>
    </row>
    <row r="36" spans="1:12">
      <c r="A36" s="2" t="s">
        <v>8</v>
      </c>
      <c r="B36" s="108">
        <v>590</v>
      </c>
      <c r="C36" s="109" t="s">
        <v>57</v>
      </c>
      <c r="D36" s="55" t="s">
        <v>58</v>
      </c>
    </row>
    <row r="37" spans="1:12">
      <c r="A37" s="2" t="s">
        <v>11</v>
      </c>
      <c r="B37" s="108">
        <v>1621</v>
      </c>
      <c r="C37" s="109" t="s">
        <v>56</v>
      </c>
      <c r="D37" s="55" t="s">
        <v>59</v>
      </c>
    </row>
    <row r="38" spans="1:12">
      <c r="A38" s="2" t="s">
        <v>12</v>
      </c>
      <c r="B38" s="108">
        <v>785</v>
      </c>
      <c r="C38" s="109" t="s">
        <v>55</v>
      </c>
      <c r="D38" s="55" t="s">
        <v>60</v>
      </c>
    </row>
    <row r="39" spans="1:12">
      <c r="A39" s="2" t="s">
        <v>13</v>
      </c>
      <c r="B39" s="108">
        <v>3760</v>
      </c>
      <c r="C39" s="109" t="s">
        <v>55</v>
      </c>
      <c r="D39" s="55" t="s">
        <v>60</v>
      </c>
    </row>
    <row r="40" spans="1:12">
      <c r="A40" s="42" t="s">
        <v>14</v>
      </c>
      <c r="B40" s="110">
        <v>1861.3517860501238</v>
      </c>
      <c r="C40" s="111" t="s">
        <v>61</v>
      </c>
      <c r="D40" s="106" t="s">
        <v>54</v>
      </c>
      <c r="E40" s="42"/>
      <c r="F40" s="42"/>
      <c r="G40" s="42"/>
      <c r="H40" s="42"/>
      <c r="I40" s="42"/>
      <c r="J40" s="42"/>
      <c r="K40" s="42"/>
      <c r="L40" s="42"/>
    </row>
    <row r="41" spans="1:12">
      <c r="A41" s="45"/>
      <c r="B41" s="108"/>
      <c r="C41" s="143"/>
      <c r="D41" s="60"/>
      <c r="E41" s="45"/>
      <c r="F41" s="45"/>
      <c r="G41" s="45"/>
      <c r="H41" s="45"/>
      <c r="I41" s="45"/>
      <c r="J41" s="45"/>
      <c r="K41" s="45"/>
      <c r="L41" s="45"/>
    </row>
    <row r="43" spans="1:12" s="16" customFormat="1">
      <c r="A43" s="65" t="s">
        <v>26</v>
      </c>
    </row>
    <row r="44" spans="1:12" s="16" customFormat="1" ht="31.5">
      <c r="A44" s="141" t="s">
        <v>1</v>
      </c>
      <c r="B44" s="142" t="s">
        <v>2</v>
      </c>
      <c r="C44" s="142" t="s">
        <v>3</v>
      </c>
      <c r="D44" s="142" t="s">
        <v>4</v>
      </c>
      <c r="E44" s="142" t="s">
        <v>5</v>
      </c>
      <c r="F44" s="142" t="s">
        <v>6</v>
      </c>
      <c r="G44" s="142" t="s">
        <v>22</v>
      </c>
      <c r="H44" s="142" t="s">
        <v>23</v>
      </c>
    </row>
    <row r="45" spans="1:12" s="16" customFormat="1">
      <c r="A45" s="130">
        <v>5112121</v>
      </c>
      <c r="B45" s="101" t="s">
        <v>7</v>
      </c>
      <c r="C45" s="101" t="s">
        <v>8</v>
      </c>
      <c r="D45" s="101" t="s">
        <v>8</v>
      </c>
      <c r="E45" s="101" t="s">
        <v>9</v>
      </c>
      <c r="F45" s="101" t="s">
        <v>10</v>
      </c>
      <c r="G45" s="101" t="s">
        <v>24</v>
      </c>
      <c r="H45" s="101" t="s">
        <v>25</v>
      </c>
    </row>
    <row r="46" spans="1:12" s="16" customFormat="1">
      <c r="A46" s="130">
        <v>5112121</v>
      </c>
      <c r="B46" s="101" t="s">
        <v>7</v>
      </c>
      <c r="C46" s="101" t="s">
        <v>8</v>
      </c>
      <c r="D46" s="101" t="s">
        <v>11</v>
      </c>
      <c r="E46" s="101" t="s">
        <v>9</v>
      </c>
      <c r="F46" s="101" t="s">
        <v>10</v>
      </c>
      <c r="G46" s="101" t="s">
        <v>24</v>
      </c>
      <c r="H46" s="101" t="s">
        <v>25</v>
      </c>
    </row>
    <row r="47" spans="1:12" s="16" customFormat="1">
      <c r="A47" s="130">
        <v>5112121</v>
      </c>
      <c r="B47" s="101" t="s">
        <v>7</v>
      </c>
      <c r="C47" s="101" t="s">
        <v>8</v>
      </c>
      <c r="D47" s="101" t="s">
        <v>12</v>
      </c>
      <c r="E47" s="101" t="s">
        <v>9</v>
      </c>
      <c r="F47" s="101" t="s">
        <v>10</v>
      </c>
      <c r="G47" s="101" t="s">
        <v>24</v>
      </c>
      <c r="H47" s="101" t="s">
        <v>25</v>
      </c>
    </row>
    <row r="48" spans="1:12" s="16" customFormat="1">
      <c r="A48" s="130">
        <v>5112121</v>
      </c>
      <c r="B48" s="101" t="s">
        <v>7</v>
      </c>
      <c r="C48" s="101" t="s">
        <v>8</v>
      </c>
      <c r="D48" s="101" t="s">
        <v>13</v>
      </c>
      <c r="E48" s="101" t="s">
        <v>9</v>
      </c>
      <c r="F48" s="101" t="s">
        <v>10</v>
      </c>
      <c r="G48" s="101" t="s">
        <v>24</v>
      </c>
      <c r="H48" s="101" t="s">
        <v>25</v>
      </c>
    </row>
    <row r="49" spans="1:8" s="16" customFormat="1">
      <c r="A49" s="130">
        <v>5112121</v>
      </c>
      <c r="B49" s="101" t="s">
        <v>7</v>
      </c>
      <c r="C49" s="101" t="s">
        <v>8</v>
      </c>
      <c r="D49" s="101" t="s">
        <v>14</v>
      </c>
      <c r="E49" s="101" t="s">
        <v>9</v>
      </c>
      <c r="F49" s="101" t="s">
        <v>10</v>
      </c>
      <c r="G49" s="101" t="s">
        <v>24</v>
      </c>
      <c r="H49" s="101" t="s">
        <v>25</v>
      </c>
    </row>
    <row r="50" spans="1:8" s="16" customFormat="1">
      <c r="A50" s="74" t="s">
        <v>29</v>
      </c>
    </row>
    <row r="51" spans="1:8" s="16" customForma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/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 s="9" customFormat="1" ht="22.5" customHeight="1">
      <c r="A3" s="26" t="s">
        <v>71</v>
      </c>
    </row>
    <row r="4" spans="1:23" s="9" customFormat="1" ht="15.75">
      <c r="A4" s="29" t="s">
        <v>37</v>
      </c>
    </row>
    <row r="5" spans="1:23" s="9" customFormat="1" ht="15.75">
      <c r="A5" s="30" t="s">
        <v>31</v>
      </c>
    </row>
    <row r="6" spans="1:23" s="9" customFormat="1" ht="15.75">
      <c r="A6" s="30" t="s">
        <v>32</v>
      </c>
    </row>
    <row r="7" spans="1:23" s="9" customFormat="1" ht="15.75">
      <c r="A7" s="126"/>
    </row>
    <row r="8" spans="1:23" s="9" customFormat="1" ht="15.75">
      <c r="A8" s="127" t="str">
        <f>CONCATENATE($A$3," - ",'Input Assumptions'!$B$9," ", 'Input Assumptions'!$B$10," Space Heat, ", 'Input Assumptions'!$B$11," ", 'Input Assumptions'!$B$12)</f>
        <v>Non-Price Factor Assumptions ($/$) - Montana Gas FAF Space Heat, Electric Resistance &lt;=55 Gallons</v>
      </c>
    </row>
    <row r="9" spans="1:23" s="23" customFormat="1" ht="15.75">
      <c r="A9" s="144" t="str">
        <f>+'Device Energy Use'!A4</f>
        <v>Water Heat Ending</v>
      </c>
      <c r="B9" s="145">
        <v>2014</v>
      </c>
      <c r="C9" s="145">
        <v>2015</v>
      </c>
      <c r="D9" s="145">
        <v>2016</v>
      </c>
      <c r="E9" s="145">
        <v>2017</v>
      </c>
      <c r="F9" s="145">
        <v>2018</v>
      </c>
      <c r="G9" s="145">
        <v>2019</v>
      </c>
      <c r="H9" s="145">
        <v>2020</v>
      </c>
      <c r="I9" s="145">
        <v>2021</v>
      </c>
      <c r="J9" s="145">
        <v>2022</v>
      </c>
      <c r="K9" s="145">
        <v>2023</v>
      </c>
      <c r="L9" s="145">
        <v>2024</v>
      </c>
      <c r="M9" s="145">
        <v>2025</v>
      </c>
      <c r="N9" s="145">
        <v>2026</v>
      </c>
      <c r="O9" s="145">
        <v>2027</v>
      </c>
      <c r="P9" s="145">
        <v>2028</v>
      </c>
      <c r="Q9" s="145">
        <v>2029</v>
      </c>
      <c r="R9" s="145">
        <v>2030</v>
      </c>
      <c r="S9" s="145">
        <v>2031</v>
      </c>
      <c r="T9" s="145">
        <v>2032</v>
      </c>
      <c r="U9" s="145">
        <v>2033</v>
      </c>
      <c r="V9" s="145">
        <v>2034</v>
      </c>
      <c r="W9" s="145">
        <v>2035</v>
      </c>
    </row>
    <row r="10" spans="1:23" s="9" customFormat="1" ht="15.75">
      <c r="A10" s="9" t="str">
        <f>+'Device Energy Use'!A5</f>
        <v>Electric Resistance</v>
      </c>
      <c r="B10" s="24">
        <v>10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</row>
    <row r="11" spans="1:23" s="9" customFormat="1" ht="15.75">
      <c r="A11" s="9" t="str">
        <f>+'Device Energy Use'!A6</f>
        <v>HPWH</v>
      </c>
      <c r="B11" s="24">
        <v>-10</v>
      </c>
      <c r="C11" s="36">
        <f t="shared" ref="C11:W11" si="0">B11*$I$16</f>
        <v>-9.2629999999999999</v>
      </c>
      <c r="D11" s="36">
        <f t="shared" si="0"/>
        <v>-8.5803168999999997</v>
      </c>
      <c r="E11" s="36">
        <f t="shared" si="0"/>
        <v>-7.9479475444699998</v>
      </c>
      <c r="F11" s="36">
        <f t="shared" si="0"/>
        <v>-7.362183810442561</v>
      </c>
      <c r="G11" s="36">
        <f t="shared" si="0"/>
        <v>-6.8195908636129445</v>
      </c>
      <c r="H11" s="36">
        <f t="shared" si="0"/>
        <v>-6.3169870169646707</v>
      </c>
      <c r="I11" s="36">
        <f t="shared" si="0"/>
        <v>-5.8514250738143749</v>
      </c>
      <c r="J11" s="36">
        <f t="shared" si="0"/>
        <v>-5.4201750458742559</v>
      </c>
      <c r="K11" s="36">
        <f t="shared" si="0"/>
        <v>-5.0207081449933231</v>
      </c>
      <c r="L11" s="36">
        <f t="shared" si="0"/>
        <v>-4.6506819547073155</v>
      </c>
      <c r="M11" s="36">
        <f t="shared" si="0"/>
        <v>-4.3079266946453867</v>
      </c>
      <c r="N11" s="36">
        <f t="shared" si="0"/>
        <v>-3.9904324972500218</v>
      </c>
      <c r="O11" s="36">
        <f t="shared" si="0"/>
        <v>-3.6963376222026953</v>
      </c>
      <c r="P11" s="36">
        <f t="shared" si="0"/>
        <v>-3.4239175394463568</v>
      </c>
      <c r="Q11" s="36">
        <f t="shared" si="0"/>
        <v>-3.1715748167891604</v>
      </c>
      <c r="R11" s="36">
        <f t="shared" si="0"/>
        <v>-2.9378297527917994</v>
      </c>
      <c r="S11" s="36">
        <f t="shared" si="0"/>
        <v>-2.7213117000110438</v>
      </c>
      <c r="T11" s="36">
        <f t="shared" si="0"/>
        <v>-2.5207510277202299</v>
      </c>
      <c r="U11" s="36">
        <f t="shared" si="0"/>
        <v>-2.3349716769772488</v>
      </c>
      <c r="V11" s="36">
        <f t="shared" si="0"/>
        <v>-2.1628842643840258</v>
      </c>
      <c r="W11" s="36">
        <f t="shared" si="0"/>
        <v>-2.0034796940989232</v>
      </c>
    </row>
    <row r="12" spans="1:23" s="9" customFormat="1" ht="15.75">
      <c r="A12" s="9" t="str">
        <f>+'Device Energy Use'!A7</f>
        <v>Gas Tank</v>
      </c>
      <c r="B12" s="24">
        <v>-2</v>
      </c>
      <c r="C12" s="36">
        <f t="shared" ref="C12:W12" si="1">B12</f>
        <v>-2</v>
      </c>
      <c r="D12" s="36">
        <f t="shared" si="1"/>
        <v>-2</v>
      </c>
      <c r="E12" s="36">
        <f t="shared" si="1"/>
        <v>-2</v>
      </c>
      <c r="F12" s="36">
        <f t="shared" si="1"/>
        <v>-2</v>
      </c>
      <c r="G12" s="36">
        <f t="shared" si="1"/>
        <v>-2</v>
      </c>
      <c r="H12" s="36">
        <f t="shared" si="1"/>
        <v>-2</v>
      </c>
      <c r="I12" s="36">
        <f t="shared" si="1"/>
        <v>-2</v>
      </c>
      <c r="J12" s="36">
        <f t="shared" si="1"/>
        <v>-2</v>
      </c>
      <c r="K12" s="36">
        <f t="shared" si="1"/>
        <v>-2</v>
      </c>
      <c r="L12" s="36">
        <f t="shared" si="1"/>
        <v>-2</v>
      </c>
      <c r="M12" s="36">
        <f t="shared" si="1"/>
        <v>-2</v>
      </c>
      <c r="N12" s="36">
        <f t="shared" si="1"/>
        <v>-2</v>
      </c>
      <c r="O12" s="36">
        <f t="shared" si="1"/>
        <v>-2</v>
      </c>
      <c r="P12" s="36">
        <f t="shared" si="1"/>
        <v>-2</v>
      </c>
      <c r="Q12" s="36">
        <f t="shared" si="1"/>
        <v>-2</v>
      </c>
      <c r="R12" s="36">
        <f t="shared" si="1"/>
        <v>-2</v>
      </c>
      <c r="S12" s="36">
        <f t="shared" si="1"/>
        <v>-2</v>
      </c>
      <c r="T12" s="36">
        <f t="shared" si="1"/>
        <v>-2</v>
      </c>
      <c r="U12" s="36">
        <f t="shared" si="1"/>
        <v>-2</v>
      </c>
      <c r="V12" s="36">
        <f t="shared" si="1"/>
        <v>-2</v>
      </c>
      <c r="W12" s="36">
        <f t="shared" si="1"/>
        <v>-2</v>
      </c>
    </row>
    <row r="13" spans="1:23" s="9" customFormat="1" ht="15.75">
      <c r="A13" s="9" t="str">
        <f>+'Device Energy Use'!A8</f>
        <v>Instant Gas</v>
      </c>
      <c r="B13" s="24">
        <v>-10</v>
      </c>
      <c r="C13" s="36">
        <f t="shared" ref="C13:W13" si="2">B13*$I$16</f>
        <v>-9.2629999999999999</v>
      </c>
      <c r="D13" s="36">
        <f t="shared" si="2"/>
        <v>-8.5803168999999997</v>
      </c>
      <c r="E13" s="36">
        <f t="shared" si="2"/>
        <v>-7.9479475444699998</v>
      </c>
      <c r="F13" s="36">
        <f t="shared" si="2"/>
        <v>-7.362183810442561</v>
      </c>
      <c r="G13" s="36">
        <f t="shared" si="2"/>
        <v>-6.8195908636129445</v>
      </c>
      <c r="H13" s="36">
        <f t="shared" si="2"/>
        <v>-6.3169870169646707</v>
      </c>
      <c r="I13" s="36">
        <f t="shared" si="2"/>
        <v>-5.8514250738143749</v>
      </c>
      <c r="J13" s="36">
        <f t="shared" si="2"/>
        <v>-5.4201750458742559</v>
      </c>
      <c r="K13" s="36">
        <f t="shared" si="2"/>
        <v>-5.0207081449933231</v>
      </c>
      <c r="L13" s="36">
        <f t="shared" si="2"/>
        <v>-4.6506819547073155</v>
      </c>
      <c r="M13" s="36">
        <f t="shared" si="2"/>
        <v>-4.3079266946453867</v>
      </c>
      <c r="N13" s="36">
        <f t="shared" si="2"/>
        <v>-3.9904324972500218</v>
      </c>
      <c r="O13" s="36">
        <f t="shared" si="2"/>
        <v>-3.6963376222026953</v>
      </c>
      <c r="P13" s="36">
        <f t="shared" si="2"/>
        <v>-3.4239175394463568</v>
      </c>
      <c r="Q13" s="36">
        <f t="shared" si="2"/>
        <v>-3.1715748167891604</v>
      </c>
      <c r="R13" s="36">
        <f t="shared" si="2"/>
        <v>-2.9378297527917994</v>
      </c>
      <c r="S13" s="36">
        <f t="shared" si="2"/>
        <v>-2.7213117000110438</v>
      </c>
      <c r="T13" s="36">
        <f t="shared" si="2"/>
        <v>-2.5207510277202299</v>
      </c>
      <c r="U13" s="36">
        <f t="shared" si="2"/>
        <v>-2.3349716769772488</v>
      </c>
      <c r="V13" s="36">
        <f t="shared" si="2"/>
        <v>-2.1628842643840258</v>
      </c>
      <c r="W13" s="36">
        <f t="shared" si="2"/>
        <v>-2.0034796940989232</v>
      </c>
    </row>
    <row r="14" spans="1:23" s="9" customFormat="1" ht="15.75">
      <c r="A14" s="9" t="str">
        <f>+'Device Energy Use'!A9</f>
        <v>Condensing Gas</v>
      </c>
      <c r="B14" s="24">
        <v>-10</v>
      </c>
      <c r="C14" s="36">
        <f t="shared" ref="C14:W14" si="3">B14*$I$16</f>
        <v>-9.2629999999999999</v>
      </c>
      <c r="D14" s="36">
        <f t="shared" si="3"/>
        <v>-8.5803168999999997</v>
      </c>
      <c r="E14" s="36">
        <f t="shared" si="3"/>
        <v>-7.9479475444699998</v>
      </c>
      <c r="F14" s="36">
        <f t="shared" si="3"/>
        <v>-7.362183810442561</v>
      </c>
      <c r="G14" s="36">
        <f t="shared" si="3"/>
        <v>-6.8195908636129445</v>
      </c>
      <c r="H14" s="36">
        <f t="shared" si="3"/>
        <v>-6.3169870169646707</v>
      </c>
      <c r="I14" s="36">
        <f t="shared" si="3"/>
        <v>-5.8514250738143749</v>
      </c>
      <c r="J14" s="36">
        <f t="shared" si="3"/>
        <v>-5.4201750458742559</v>
      </c>
      <c r="K14" s="36">
        <f t="shared" si="3"/>
        <v>-5.0207081449933231</v>
      </c>
      <c r="L14" s="36">
        <f t="shared" si="3"/>
        <v>-4.6506819547073155</v>
      </c>
      <c r="M14" s="36">
        <f t="shared" si="3"/>
        <v>-4.3079266946453867</v>
      </c>
      <c r="N14" s="36">
        <f t="shared" si="3"/>
        <v>-3.9904324972500218</v>
      </c>
      <c r="O14" s="36">
        <f t="shared" si="3"/>
        <v>-3.6963376222026953</v>
      </c>
      <c r="P14" s="36">
        <f t="shared" si="3"/>
        <v>-3.4239175394463568</v>
      </c>
      <c r="Q14" s="36">
        <f t="shared" si="3"/>
        <v>-3.1715748167891604</v>
      </c>
      <c r="R14" s="36">
        <f t="shared" si="3"/>
        <v>-2.9378297527917994</v>
      </c>
      <c r="S14" s="36">
        <f t="shared" si="3"/>
        <v>-2.7213117000110438</v>
      </c>
      <c r="T14" s="36">
        <f t="shared" si="3"/>
        <v>-2.5207510277202299</v>
      </c>
      <c r="U14" s="36">
        <f t="shared" si="3"/>
        <v>-2.3349716769772488</v>
      </c>
      <c r="V14" s="36">
        <f t="shared" si="3"/>
        <v>-2.1628842643840258</v>
      </c>
      <c r="W14" s="36">
        <f t="shared" si="3"/>
        <v>-2.0034796940989232</v>
      </c>
    </row>
    <row r="15" spans="1:23" s="9" customFormat="1" ht="15.75"/>
    <row r="16" spans="1:23" s="9" customFormat="1" ht="15.75">
      <c r="A16" s="37" t="s">
        <v>92</v>
      </c>
      <c r="I16" s="36">
        <v>0.92630000000000001</v>
      </c>
    </row>
    <row r="17" spans="1:23" s="9" customFormat="1" ht="15.75">
      <c r="A17" s="32"/>
    </row>
    <row r="18" spans="1:23" s="9" customFormat="1" ht="15.75">
      <c r="A18" s="127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Montana Gas FAF Space Heat, Electric Resistance &lt;=55 Gallons</v>
      </c>
    </row>
    <row r="19" spans="1:23" s="9" customFormat="1" ht="15.75">
      <c r="A19" s="144" t="str">
        <f t="shared" ref="A19:W19" si="4">A9</f>
        <v>Water Heat Ending</v>
      </c>
      <c r="B19" s="145">
        <f t="shared" si="4"/>
        <v>2014</v>
      </c>
      <c r="C19" s="145">
        <f t="shared" si="4"/>
        <v>2015</v>
      </c>
      <c r="D19" s="145">
        <f t="shared" si="4"/>
        <v>2016</v>
      </c>
      <c r="E19" s="145">
        <f t="shared" si="4"/>
        <v>2017</v>
      </c>
      <c r="F19" s="145">
        <f t="shared" si="4"/>
        <v>2018</v>
      </c>
      <c r="G19" s="145">
        <f t="shared" si="4"/>
        <v>2019</v>
      </c>
      <c r="H19" s="145">
        <f t="shared" si="4"/>
        <v>2020</v>
      </c>
      <c r="I19" s="145">
        <f t="shared" si="4"/>
        <v>2021</v>
      </c>
      <c r="J19" s="145">
        <f t="shared" si="4"/>
        <v>2022</v>
      </c>
      <c r="K19" s="145">
        <f t="shared" si="4"/>
        <v>2023</v>
      </c>
      <c r="L19" s="145">
        <f t="shared" si="4"/>
        <v>2024</v>
      </c>
      <c r="M19" s="145">
        <f t="shared" si="4"/>
        <v>2025</v>
      </c>
      <c r="N19" s="145">
        <f t="shared" si="4"/>
        <v>2026</v>
      </c>
      <c r="O19" s="145">
        <f t="shared" si="4"/>
        <v>2027</v>
      </c>
      <c r="P19" s="145">
        <f t="shared" si="4"/>
        <v>2028</v>
      </c>
      <c r="Q19" s="145">
        <f t="shared" si="4"/>
        <v>2029</v>
      </c>
      <c r="R19" s="145">
        <f t="shared" si="4"/>
        <v>2030</v>
      </c>
      <c r="S19" s="145">
        <f t="shared" si="4"/>
        <v>2031</v>
      </c>
      <c r="T19" s="145">
        <f t="shared" si="4"/>
        <v>2032</v>
      </c>
      <c r="U19" s="145">
        <f t="shared" si="4"/>
        <v>2033</v>
      </c>
      <c r="V19" s="145">
        <f t="shared" si="4"/>
        <v>2034</v>
      </c>
      <c r="W19" s="145">
        <f t="shared" si="4"/>
        <v>2035</v>
      </c>
    </row>
    <row r="20" spans="1:23" s="9" customFormat="1" ht="15.75">
      <c r="A20" s="10" t="str">
        <f>A10</f>
        <v>Electric Resistance</v>
      </c>
      <c r="B20" s="128">
        <f>EXP(B10)</f>
        <v>22026.465794806718</v>
      </c>
      <c r="C20" s="128">
        <f>EXP(C10)</f>
        <v>1</v>
      </c>
      <c r="D20" s="128">
        <f t="shared" ref="D20:W24" si="5">EXP(D10)</f>
        <v>1</v>
      </c>
      <c r="E20" s="128">
        <f t="shared" si="5"/>
        <v>1</v>
      </c>
      <c r="F20" s="128">
        <f t="shared" si="5"/>
        <v>1</v>
      </c>
      <c r="G20" s="128">
        <f t="shared" si="5"/>
        <v>1</v>
      </c>
      <c r="H20" s="128">
        <f t="shared" si="5"/>
        <v>1</v>
      </c>
      <c r="I20" s="128">
        <f t="shared" si="5"/>
        <v>1</v>
      </c>
      <c r="J20" s="128">
        <f t="shared" si="5"/>
        <v>1</v>
      </c>
      <c r="K20" s="128">
        <f t="shared" si="5"/>
        <v>1</v>
      </c>
      <c r="L20" s="128">
        <f t="shared" si="5"/>
        <v>1</v>
      </c>
      <c r="M20" s="128">
        <f t="shared" si="5"/>
        <v>1</v>
      </c>
      <c r="N20" s="128">
        <f t="shared" si="5"/>
        <v>1</v>
      </c>
      <c r="O20" s="128">
        <f t="shared" si="5"/>
        <v>1</v>
      </c>
      <c r="P20" s="128">
        <f t="shared" si="5"/>
        <v>1</v>
      </c>
      <c r="Q20" s="128">
        <f t="shared" si="5"/>
        <v>1</v>
      </c>
      <c r="R20" s="128">
        <f t="shared" si="5"/>
        <v>1</v>
      </c>
      <c r="S20" s="128">
        <f t="shared" si="5"/>
        <v>1</v>
      </c>
      <c r="T20" s="128">
        <f t="shared" si="5"/>
        <v>1</v>
      </c>
      <c r="U20" s="128">
        <f t="shared" si="5"/>
        <v>1</v>
      </c>
      <c r="V20" s="128">
        <f t="shared" si="5"/>
        <v>1</v>
      </c>
      <c r="W20" s="128">
        <f t="shared" si="5"/>
        <v>1</v>
      </c>
    </row>
    <row r="21" spans="1:23" s="9" customFormat="1" ht="15.75">
      <c r="A21" s="10" t="str">
        <f>A11</f>
        <v>HPWH</v>
      </c>
      <c r="B21" s="128">
        <f>EXP(B11)</f>
        <v>4.5399929762484854E-5</v>
      </c>
      <c r="C21" s="128">
        <f t="shared" ref="C21:R24" si="6">EXP(C11)</f>
        <v>9.4870286940392634E-5</v>
      </c>
      <c r="D21" s="128">
        <f t="shared" si="6"/>
        <v>1.8776546510123642E-4</v>
      </c>
      <c r="E21" s="128">
        <f t="shared" si="6"/>
        <v>3.5338673135440333E-4</v>
      </c>
      <c r="F21" s="128">
        <f t="shared" si="6"/>
        <v>6.3481063861947802E-4</v>
      </c>
      <c r="G21" s="128">
        <f t="shared" si="6"/>
        <v>1.0921676764187808E-3</v>
      </c>
      <c r="H21" s="128">
        <f t="shared" si="6"/>
        <v>1.8053748836946277E-3</v>
      </c>
      <c r="I21" s="128">
        <f t="shared" si="6"/>
        <v>2.8757980121219356E-3</v>
      </c>
      <c r="J21" s="128">
        <f t="shared" si="6"/>
        <v>4.4263717618983544E-3</v>
      </c>
      <c r="K21" s="128">
        <f t="shared" si="6"/>
        <v>6.599851402385312E-3</v>
      </c>
      <c r="L21" s="128">
        <f t="shared" si="6"/>
        <v>9.5550835739620938E-3</v>
      </c>
      <c r="M21" s="128">
        <f t="shared" si="6"/>
        <v>1.3461430337210025E-2</v>
      </c>
      <c r="N21" s="128">
        <f t="shared" si="6"/>
        <v>1.8491714774308395E-2</v>
      </c>
      <c r="O21" s="128">
        <f t="shared" si="6"/>
        <v>2.4814239375826518E-2</v>
      </c>
      <c r="P21" s="128">
        <f t="shared" si="6"/>
        <v>3.2584533378041639E-2</v>
      </c>
      <c r="Q21" s="128">
        <f t="shared" si="6"/>
        <v>4.1937501990398925E-2</v>
      </c>
      <c r="R21" s="128">
        <f t="shared" si="6"/>
        <v>5.2980585026743042E-2</v>
      </c>
      <c r="S21" s="128">
        <f t="shared" si="5"/>
        <v>6.578840315615643E-2</v>
      </c>
      <c r="T21" s="128">
        <f t="shared" si="5"/>
        <v>8.0399202040149567E-2</v>
      </c>
      <c r="U21" s="128">
        <f t="shared" si="5"/>
        <v>9.6813224530790096E-2</v>
      </c>
      <c r="V21" s="128">
        <f t="shared" si="5"/>
        <v>0.11499297213176096</v>
      </c>
      <c r="W21" s="128">
        <f t="shared" si="5"/>
        <v>0.13486517623877975</v>
      </c>
    </row>
    <row r="22" spans="1:23" ht="15.75">
      <c r="A22" s="10" t="str">
        <f>A12</f>
        <v>Gas Tank</v>
      </c>
      <c r="B22" s="128">
        <f t="shared" ref="B22:B24" si="7">EXP(B12)</f>
        <v>0.1353352832366127</v>
      </c>
      <c r="C22" s="128">
        <f t="shared" si="6"/>
        <v>0.1353352832366127</v>
      </c>
      <c r="D22" s="128">
        <f t="shared" si="5"/>
        <v>0.1353352832366127</v>
      </c>
      <c r="E22" s="128">
        <f t="shared" si="5"/>
        <v>0.1353352832366127</v>
      </c>
      <c r="F22" s="128">
        <f t="shared" si="5"/>
        <v>0.1353352832366127</v>
      </c>
      <c r="G22" s="128">
        <f t="shared" si="5"/>
        <v>0.1353352832366127</v>
      </c>
      <c r="H22" s="128">
        <f t="shared" si="5"/>
        <v>0.1353352832366127</v>
      </c>
      <c r="I22" s="128">
        <f t="shared" si="5"/>
        <v>0.1353352832366127</v>
      </c>
      <c r="J22" s="128">
        <f t="shared" si="5"/>
        <v>0.1353352832366127</v>
      </c>
      <c r="K22" s="128">
        <f t="shared" si="5"/>
        <v>0.1353352832366127</v>
      </c>
      <c r="L22" s="128">
        <f t="shared" si="5"/>
        <v>0.1353352832366127</v>
      </c>
      <c r="M22" s="128">
        <f t="shared" si="5"/>
        <v>0.1353352832366127</v>
      </c>
      <c r="N22" s="128">
        <f t="shared" si="5"/>
        <v>0.1353352832366127</v>
      </c>
      <c r="O22" s="128">
        <f t="shared" si="5"/>
        <v>0.1353352832366127</v>
      </c>
      <c r="P22" s="128">
        <f t="shared" si="5"/>
        <v>0.1353352832366127</v>
      </c>
      <c r="Q22" s="128">
        <f t="shared" si="5"/>
        <v>0.1353352832366127</v>
      </c>
      <c r="R22" s="128">
        <f t="shared" si="5"/>
        <v>0.1353352832366127</v>
      </c>
      <c r="S22" s="128">
        <f t="shared" si="5"/>
        <v>0.1353352832366127</v>
      </c>
      <c r="T22" s="128">
        <f t="shared" si="5"/>
        <v>0.1353352832366127</v>
      </c>
      <c r="U22" s="128">
        <f t="shared" si="5"/>
        <v>0.1353352832366127</v>
      </c>
      <c r="V22" s="128">
        <f t="shared" si="5"/>
        <v>0.1353352832366127</v>
      </c>
      <c r="W22" s="128">
        <f t="shared" si="5"/>
        <v>0.1353352832366127</v>
      </c>
    </row>
    <row r="23" spans="1:23" ht="15.75">
      <c r="A23" s="10" t="str">
        <f>A13</f>
        <v>Instant Gas</v>
      </c>
      <c r="B23" s="128">
        <f t="shared" si="7"/>
        <v>4.5399929762484854E-5</v>
      </c>
      <c r="C23" s="128">
        <f t="shared" si="6"/>
        <v>9.4870286940392634E-5</v>
      </c>
      <c r="D23" s="128">
        <f t="shared" si="5"/>
        <v>1.8776546510123642E-4</v>
      </c>
      <c r="E23" s="128">
        <f t="shared" si="5"/>
        <v>3.5338673135440333E-4</v>
      </c>
      <c r="F23" s="128">
        <f t="shared" si="5"/>
        <v>6.3481063861947802E-4</v>
      </c>
      <c r="G23" s="128">
        <f t="shared" si="5"/>
        <v>1.0921676764187808E-3</v>
      </c>
      <c r="H23" s="128">
        <f t="shared" si="5"/>
        <v>1.8053748836946277E-3</v>
      </c>
      <c r="I23" s="128">
        <f t="shared" si="5"/>
        <v>2.8757980121219356E-3</v>
      </c>
      <c r="J23" s="128">
        <f t="shared" si="5"/>
        <v>4.4263717618983544E-3</v>
      </c>
      <c r="K23" s="128">
        <f t="shared" si="5"/>
        <v>6.599851402385312E-3</v>
      </c>
      <c r="L23" s="128">
        <f t="shared" si="5"/>
        <v>9.5550835739620938E-3</v>
      </c>
      <c r="M23" s="128">
        <f t="shared" si="5"/>
        <v>1.3461430337210025E-2</v>
      </c>
      <c r="N23" s="128">
        <f t="shared" si="5"/>
        <v>1.8491714774308395E-2</v>
      </c>
      <c r="O23" s="128">
        <f t="shared" si="5"/>
        <v>2.4814239375826518E-2</v>
      </c>
      <c r="P23" s="128">
        <f t="shared" si="5"/>
        <v>3.2584533378041639E-2</v>
      </c>
      <c r="Q23" s="128">
        <f t="shared" si="5"/>
        <v>4.1937501990398925E-2</v>
      </c>
      <c r="R23" s="128">
        <f t="shared" si="5"/>
        <v>5.2980585026743042E-2</v>
      </c>
      <c r="S23" s="128">
        <f t="shared" si="5"/>
        <v>6.578840315615643E-2</v>
      </c>
      <c r="T23" s="128">
        <f t="shared" si="5"/>
        <v>8.0399202040149567E-2</v>
      </c>
      <c r="U23" s="128">
        <f t="shared" si="5"/>
        <v>9.6813224530790096E-2</v>
      </c>
      <c r="V23" s="128">
        <f t="shared" si="5"/>
        <v>0.11499297213176096</v>
      </c>
      <c r="W23" s="128">
        <f t="shared" si="5"/>
        <v>0.13486517623877975</v>
      </c>
    </row>
    <row r="24" spans="1:23" ht="15.75">
      <c r="A24" s="10" t="str">
        <f>A14</f>
        <v>Condensing Gas</v>
      </c>
      <c r="B24" s="128">
        <f t="shared" si="7"/>
        <v>4.5399929762484854E-5</v>
      </c>
      <c r="C24" s="128">
        <f t="shared" si="6"/>
        <v>9.4870286940392634E-5</v>
      </c>
      <c r="D24" s="128">
        <f t="shared" si="5"/>
        <v>1.8776546510123642E-4</v>
      </c>
      <c r="E24" s="128">
        <f t="shared" si="5"/>
        <v>3.5338673135440333E-4</v>
      </c>
      <c r="F24" s="128">
        <f t="shared" si="5"/>
        <v>6.3481063861947802E-4</v>
      </c>
      <c r="G24" s="128">
        <f t="shared" si="5"/>
        <v>1.0921676764187808E-3</v>
      </c>
      <c r="H24" s="128">
        <f t="shared" si="5"/>
        <v>1.8053748836946277E-3</v>
      </c>
      <c r="I24" s="128">
        <f t="shared" si="5"/>
        <v>2.8757980121219356E-3</v>
      </c>
      <c r="J24" s="128">
        <f t="shared" si="5"/>
        <v>4.4263717618983544E-3</v>
      </c>
      <c r="K24" s="128">
        <f t="shared" si="5"/>
        <v>6.599851402385312E-3</v>
      </c>
      <c r="L24" s="128">
        <f t="shared" si="5"/>
        <v>9.5550835739620938E-3</v>
      </c>
      <c r="M24" s="128">
        <f t="shared" si="5"/>
        <v>1.3461430337210025E-2</v>
      </c>
      <c r="N24" s="128">
        <f t="shared" si="5"/>
        <v>1.8491714774308395E-2</v>
      </c>
      <c r="O24" s="128">
        <f t="shared" si="5"/>
        <v>2.4814239375826518E-2</v>
      </c>
      <c r="P24" s="128">
        <f t="shared" si="5"/>
        <v>3.2584533378041639E-2</v>
      </c>
      <c r="Q24" s="128">
        <f t="shared" si="5"/>
        <v>4.1937501990398925E-2</v>
      </c>
      <c r="R24" s="128">
        <f t="shared" si="5"/>
        <v>5.2980585026743042E-2</v>
      </c>
      <c r="S24" s="128">
        <f t="shared" si="5"/>
        <v>6.578840315615643E-2</v>
      </c>
      <c r="T24" s="128">
        <f t="shared" si="5"/>
        <v>8.0399202040149567E-2</v>
      </c>
      <c r="U24" s="128">
        <f t="shared" si="5"/>
        <v>9.6813224530790096E-2</v>
      </c>
      <c r="V24" s="128">
        <f t="shared" si="5"/>
        <v>0.11499297213176096</v>
      </c>
      <c r="W24" s="128">
        <f t="shared" si="5"/>
        <v>0.13486517623877975</v>
      </c>
    </row>
    <row r="25" spans="1:23" ht="15.75">
      <c r="A25" s="10"/>
    </row>
    <row r="26" spans="1:23" s="9" customFormat="1" ht="15.75">
      <c r="A26" s="37" t="s">
        <v>33</v>
      </c>
    </row>
    <row r="27" spans="1:23" s="9" customFormat="1" ht="15.75">
      <c r="A27" s="35" t="s">
        <v>34</v>
      </c>
    </row>
    <row r="28" spans="1:23" s="9" customFormat="1" ht="15.75">
      <c r="A28" s="35" t="s">
        <v>41</v>
      </c>
    </row>
    <row r="29" spans="1:23" s="9" customFormat="1" ht="15.75">
      <c r="A29" s="35" t="s">
        <v>35</v>
      </c>
    </row>
    <row r="30" spans="1:23" s="9" customFormat="1" ht="15.75">
      <c r="A30" s="35" t="s">
        <v>36</v>
      </c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workbookViewId="0">
      <selection activeCell="A5" sqref="A5:W6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7" ht="26.25" customHeight="1">
      <c r="A3" s="26" t="str">
        <f>CONCATENATE('Input Assumptions'!B9," Retail Rates (2012$/mmBtu)")</f>
        <v>Montana Retail Rates (2012$/mmBtu)</v>
      </c>
    </row>
    <row r="4" spans="1:27">
      <c r="B4" s="12">
        <v>2014</v>
      </c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  <c r="J4" s="12">
        <v>2022</v>
      </c>
      <c r="K4" s="12">
        <v>2023</v>
      </c>
      <c r="L4" s="12">
        <v>2024</v>
      </c>
      <c r="M4" s="12">
        <v>2025</v>
      </c>
      <c r="N4" s="12">
        <v>2026</v>
      </c>
      <c r="O4" s="12">
        <v>2027</v>
      </c>
      <c r="P4" s="12">
        <v>2028</v>
      </c>
      <c r="Q4" s="12">
        <v>2029</v>
      </c>
      <c r="R4" s="12">
        <v>2030</v>
      </c>
      <c r="S4" s="12">
        <v>2031</v>
      </c>
      <c r="T4" s="12">
        <v>2032</v>
      </c>
      <c r="U4" s="12">
        <v>2033</v>
      </c>
      <c r="V4" s="12">
        <v>2034</v>
      </c>
      <c r="W4" s="12">
        <v>2035</v>
      </c>
    </row>
    <row r="5" spans="1:27">
      <c r="A5" s="9" t="s">
        <v>18</v>
      </c>
      <c r="B5" s="64">
        <v>30.323293949999996</v>
      </c>
      <c r="C5" s="64">
        <v>30.717496771349992</v>
      </c>
      <c r="D5" s="64">
        <v>31.116824229377539</v>
      </c>
      <c r="E5" s="64">
        <v>31.521342944359443</v>
      </c>
      <c r="F5" s="64">
        <v>31.931120402636111</v>
      </c>
      <c r="G5" s="64">
        <v>32.346224967870377</v>
      </c>
      <c r="H5" s="64">
        <v>32.766725892452691</v>
      </c>
      <c r="I5" s="64">
        <v>33.19269332905457</v>
      </c>
      <c r="J5" s="64">
        <v>33.624198342332278</v>
      </c>
      <c r="K5" s="64">
        <v>34.061312920782591</v>
      </c>
      <c r="L5" s="64">
        <v>34.504109988752759</v>
      </c>
      <c r="M5" s="64">
        <v>34.952663418606541</v>
      </c>
      <c r="N5" s="64">
        <v>35.40704804304842</v>
      </c>
      <c r="O5" s="64">
        <v>35.867339667608043</v>
      </c>
      <c r="P5" s="64">
        <v>36.333615083286944</v>
      </c>
      <c r="Q5" s="64">
        <v>36.805952079369668</v>
      </c>
      <c r="R5" s="64">
        <v>37.284429456401469</v>
      </c>
      <c r="S5" s="64">
        <v>37.769127039334684</v>
      </c>
      <c r="T5" s="64">
        <v>38.260125690846031</v>
      </c>
      <c r="U5" s="64">
        <v>38.757507324827024</v>
      </c>
      <c r="V5" s="64">
        <v>39.261354920049769</v>
      </c>
      <c r="W5" s="64">
        <v>39.77175253401041</v>
      </c>
      <c r="X5" s="10"/>
      <c r="Y5" s="10"/>
      <c r="Z5" s="10"/>
      <c r="AA5" s="10"/>
    </row>
    <row r="6" spans="1:27">
      <c r="A6" s="9" t="s">
        <v>19</v>
      </c>
      <c r="B6" s="64">
        <v>8.0975684999999995</v>
      </c>
      <c r="C6" s="64">
        <v>8.2190320274999991</v>
      </c>
      <c r="D6" s="64">
        <v>8.3423175079124974</v>
      </c>
      <c r="E6" s="64">
        <v>8.4674522705311848</v>
      </c>
      <c r="F6" s="64">
        <v>8.5944640545891513</v>
      </c>
      <c r="G6" s="64">
        <v>8.7233810154079876</v>
      </c>
      <c r="H6" s="64">
        <v>8.854231730639107</v>
      </c>
      <c r="I6" s="64">
        <v>8.9870452065986921</v>
      </c>
      <c r="J6" s="64">
        <v>9.1218508846976718</v>
      </c>
      <c r="K6" s="64">
        <v>9.2586786479681358</v>
      </c>
      <c r="L6" s="64">
        <v>9.3975588276876572</v>
      </c>
      <c r="M6" s="64">
        <v>9.5385222101029719</v>
      </c>
      <c r="N6" s="64">
        <v>9.681600043254516</v>
      </c>
      <c r="O6" s="64">
        <v>9.8268240439033328</v>
      </c>
      <c r="P6" s="64">
        <v>9.9742264045618825</v>
      </c>
      <c r="Q6" s="64">
        <v>10.123839800630309</v>
      </c>
      <c r="R6" s="64">
        <v>10.275697397639762</v>
      </c>
      <c r="S6" s="64">
        <v>10.429832858604357</v>
      </c>
      <c r="T6" s="64">
        <v>10.586280351483421</v>
      </c>
      <c r="U6" s="64">
        <v>10.745074556755672</v>
      </c>
      <c r="V6" s="64">
        <v>10.906250675107005</v>
      </c>
      <c r="W6" s="64">
        <v>11.069844435233609</v>
      </c>
      <c r="X6" s="11"/>
      <c r="Y6" s="11"/>
      <c r="Z6" s="11"/>
      <c r="AA6" s="11"/>
    </row>
    <row r="8" spans="1:27">
      <c r="A8" s="29" t="s">
        <v>72</v>
      </c>
    </row>
    <row r="9" spans="1:27">
      <c r="A9" s="77" t="s">
        <v>90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tabSelected="1" workbookViewId="0">
      <selection activeCell="D17" sqref="D17"/>
    </sheetView>
  </sheetViews>
  <sheetFormatPr defaultRowHeight="15.75"/>
  <cols>
    <col min="1" max="1" width="25.7109375" style="9" customWidth="1"/>
    <col min="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3">
      <c r="A3" s="12" t="s">
        <v>128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130</v>
      </c>
      <c r="B5" s="64">
        <v>4.3899999999999997</v>
      </c>
      <c r="C5" s="64">
        <v>4.2699999999999996</v>
      </c>
      <c r="D5" s="64">
        <v>4.2699999999999996</v>
      </c>
      <c r="E5" s="64">
        <v>4.32</v>
      </c>
      <c r="F5" s="64">
        <v>4.3899999999999997</v>
      </c>
      <c r="G5" s="64">
        <v>4.47</v>
      </c>
      <c r="H5" s="64">
        <v>4.66</v>
      </c>
      <c r="I5" s="64">
        <v>4.75</v>
      </c>
      <c r="J5" s="64">
        <v>4.8499999999999996</v>
      </c>
      <c r="K5" s="64">
        <v>4.95</v>
      </c>
      <c r="L5" s="64">
        <v>5.04</v>
      </c>
      <c r="M5" s="64">
        <v>5.27</v>
      </c>
      <c r="N5" s="64">
        <v>5.4</v>
      </c>
      <c r="O5" s="64">
        <v>5.53</v>
      </c>
      <c r="P5" s="64">
        <v>5.67</v>
      </c>
      <c r="Q5" s="64">
        <v>5.81</v>
      </c>
      <c r="R5" s="64">
        <v>6.06</v>
      </c>
      <c r="S5" s="64">
        <v>6.21</v>
      </c>
      <c r="T5" s="64">
        <v>6.36</v>
      </c>
      <c r="U5" s="64">
        <v>6.52</v>
      </c>
      <c r="V5" s="64">
        <v>6.69</v>
      </c>
      <c r="W5" s="64">
        <v>6.85</v>
      </c>
    </row>
    <row r="7" spans="1:23">
      <c r="A7" s="29" t="s">
        <v>129</v>
      </c>
    </row>
    <row r="8" spans="1:23">
      <c r="A8" s="29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51">
      <c r="A3" s="26" t="s">
        <v>160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65</v>
      </c>
      <c r="B5" s="100">
        <v>0.64119999999999999</v>
      </c>
      <c r="C5" s="100">
        <v>0.65359999999999996</v>
      </c>
      <c r="D5" s="100">
        <v>0.67</v>
      </c>
      <c r="E5" s="100">
        <v>0.68910000000000005</v>
      </c>
      <c r="F5" s="100">
        <v>0.71</v>
      </c>
      <c r="G5" s="100">
        <v>0.73029999999999995</v>
      </c>
      <c r="H5" s="100">
        <v>0.74450000000000005</v>
      </c>
      <c r="I5" s="100">
        <v>0.75929999999999997</v>
      </c>
      <c r="J5" s="100">
        <v>0.77359999999999995</v>
      </c>
      <c r="K5" s="100">
        <v>0.78790000000000004</v>
      </c>
      <c r="L5" s="100">
        <v>0.80169999999999997</v>
      </c>
      <c r="M5" s="100">
        <v>0.81420000000000003</v>
      </c>
      <c r="N5" s="100">
        <v>0.82279999999999998</v>
      </c>
      <c r="O5" s="100">
        <v>0.83430000000000004</v>
      </c>
      <c r="P5" s="100">
        <v>0.85209999999999997</v>
      </c>
      <c r="Q5" s="100">
        <v>0.87250000000000005</v>
      </c>
      <c r="R5" s="100">
        <v>0.8881</v>
      </c>
      <c r="S5" s="100">
        <v>0.90780000000000005</v>
      </c>
      <c r="T5" s="100">
        <v>0.93559999999999999</v>
      </c>
      <c r="U5" s="100">
        <v>0.96870000000000001</v>
      </c>
      <c r="V5" s="100">
        <v>1</v>
      </c>
      <c r="W5" s="100">
        <v>1.0289999999999999</v>
      </c>
      <c r="X5" s="100">
        <v>1.0516000000000001</v>
      </c>
      <c r="Y5" s="100">
        <v>1.0609999999999999</v>
      </c>
      <c r="Z5" s="100">
        <v>1.0751999999999999</v>
      </c>
      <c r="AA5" s="100">
        <v>1.0981000000000001</v>
      </c>
      <c r="AB5" s="100">
        <v>1.1175999999999999</v>
      </c>
      <c r="AC5" s="100">
        <v>1.1375</v>
      </c>
      <c r="AD5" s="100">
        <v>1.1549</v>
      </c>
      <c r="AE5" s="100">
        <v>1.1735</v>
      </c>
      <c r="AF5" s="100">
        <v>1.1930000000000001</v>
      </c>
      <c r="AG5" s="100">
        <v>1.2121</v>
      </c>
      <c r="AH5" s="100">
        <v>1.2324999999999999</v>
      </c>
      <c r="AI5" s="100">
        <v>1.2525999999999999</v>
      </c>
      <c r="AJ5" s="100">
        <v>1.2734000000000001</v>
      </c>
      <c r="AK5" s="100">
        <v>1.2952999999999999</v>
      </c>
      <c r="AL5" s="100">
        <v>1.3178000000000001</v>
      </c>
      <c r="AM5" s="100">
        <v>1.3408</v>
      </c>
      <c r="AN5" s="100">
        <v>1.3636999999999999</v>
      </c>
      <c r="AO5" s="100">
        <v>1.387</v>
      </c>
      <c r="AP5" s="100">
        <v>1.4109</v>
      </c>
      <c r="AQ5" s="100">
        <v>1.4353</v>
      </c>
      <c r="AR5" s="100">
        <v>1.4602999999999999</v>
      </c>
      <c r="AS5" s="100">
        <v>1.4864999999999999</v>
      </c>
      <c r="AT5" s="100">
        <v>1.5133000000000001</v>
      </c>
      <c r="AU5" s="100">
        <v>1.5411999999999999</v>
      </c>
      <c r="AV5" s="100">
        <v>1.5692999999999999</v>
      </c>
      <c r="AW5" s="100">
        <v>1.5978000000000001</v>
      </c>
      <c r="AX5" s="100">
        <v>1.627</v>
      </c>
      <c r="AY5" s="100">
        <v>1.6566000000000001</v>
      </c>
    </row>
    <row r="7" spans="1:51">
      <c r="A7" s="29" t="s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/>
  </sheetViews>
  <sheetFormatPr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2" spans="1:23">
      <c r="G2" s="131"/>
    </row>
    <row r="3" spans="1:23">
      <c r="A3" s="12" t="s">
        <v>134</v>
      </c>
      <c r="G3" s="131"/>
    </row>
    <row r="4" spans="1:23" ht="31.5">
      <c r="A4" s="66" t="s">
        <v>164</v>
      </c>
      <c r="B4" s="137" t="s">
        <v>133</v>
      </c>
    </row>
    <row r="5" spans="1:23">
      <c r="A5" s="171" t="s">
        <v>161</v>
      </c>
      <c r="B5" s="134">
        <f>'Consumer Cost'!B7</f>
        <v>85.190270540814424</v>
      </c>
    </row>
    <row r="6" spans="1:23">
      <c r="A6" s="170" t="s">
        <v>162</v>
      </c>
      <c r="B6" s="135">
        <f>'Utility Cost'!B4</f>
        <v>44.873605431633145</v>
      </c>
    </row>
    <row r="7" spans="1:23">
      <c r="A7" s="57" t="s">
        <v>163</v>
      </c>
      <c r="B7" s="135">
        <f>NPV(DiscountRate,B14:W14)</f>
        <v>130.06387597244745</v>
      </c>
    </row>
    <row r="8" spans="1:23">
      <c r="B8" s="131"/>
    </row>
    <row r="9" spans="1:23">
      <c r="B9" s="131"/>
    </row>
    <row r="10" spans="1:23">
      <c r="A10" s="12" t="s">
        <v>159</v>
      </c>
      <c r="B10" s="131"/>
    </row>
    <row r="11" spans="1:23">
      <c r="A11" s="105"/>
      <c r="B11" s="165">
        <f>'Utility Cost'!B7</f>
        <v>2014</v>
      </c>
      <c r="C11" s="165">
        <f>'Utility Cost'!C7</f>
        <v>2015</v>
      </c>
      <c r="D11" s="165">
        <f>'Utility Cost'!D7</f>
        <v>2016</v>
      </c>
      <c r="E11" s="165">
        <f>'Utility Cost'!E7</f>
        <v>2017</v>
      </c>
      <c r="F11" s="165">
        <f>'Utility Cost'!F7</f>
        <v>2018</v>
      </c>
      <c r="G11" s="165">
        <f>'Utility Cost'!G7</f>
        <v>2019</v>
      </c>
      <c r="H11" s="165">
        <f>'Utility Cost'!H7</f>
        <v>2020</v>
      </c>
      <c r="I11" s="165">
        <f>'Utility Cost'!I7</f>
        <v>2021</v>
      </c>
      <c r="J11" s="165">
        <f>'Utility Cost'!J7</f>
        <v>2022</v>
      </c>
      <c r="K11" s="165">
        <f>'Utility Cost'!K7</f>
        <v>2023</v>
      </c>
      <c r="L11" s="165">
        <f>'Utility Cost'!L7</f>
        <v>2024</v>
      </c>
      <c r="M11" s="165">
        <f>'Utility Cost'!M7</f>
        <v>2025</v>
      </c>
      <c r="N11" s="165">
        <f>'Utility Cost'!N7</f>
        <v>2026</v>
      </c>
      <c r="O11" s="165">
        <f>'Utility Cost'!O7</f>
        <v>2027</v>
      </c>
      <c r="P11" s="165">
        <f>'Utility Cost'!P7</f>
        <v>2028</v>
      </c>
      <c r="Q11" s="165">
        <f>'Utility Cost'!Q7</f>
        <v>2029</v>
      </c>
      <c r="R11" s="165">
        <f>'Utility Cost'!R7</f>
        <v>2030</v>
      </c>
      <c r="S11" s="165">
        <f>'Utility Cost'!S7</f>
        <v>2031</v>
      </c>
      <c r="T11" s="165">
        <f>'Utility Cost'!T7</f>
        <v>2032</v>
      </c>
      <c r="U11" s="165">
        <f>'Utility Cost'!U7</f>
        <v>2033</v>
      </c>
      <c r="V11" s="165">
        <f>'Utility Cost'!V7</f>
        <v>2034</v>
      </c>
      <c r="W11" s="165">
        <f>'Utility Cost'!W7</f>
        <v>2035</v>
      </c>
    </row>
    <row r="12" spans="1:23">
      <c r="A12" s="9" t="s">
        <v>157</v>
      </c>
      <c r="B12" s="159">
        <f>'Utility Cost'!B10</f>
        <v>0</v>
      </c>
      <c r="C12" s="159">
        <f>'Utility Cost'!C10</f>
        <v>0.41646212221878037</v>
      </c>
      <c r="D12" s="159">
        <f>'Utility Cost'!D10</f>
        <v>0.80252577971335026</v>
      </c>
      <c r="E12" s="159">
        <f>'Utility Cost'!E10</f>
        <v>1.173892376439468</v>
      </c>
      <c r="F12" s="159">
        <f>'Utility Cost'!F10</f>
        <v>1.5336469617173845</v>
      </c>
      <c r="G12" s="159">
        <f>'Utility Cost'!G10</f>
        <v>1.882751631134159</v>
      </c>
      <c r="H12" s="159">
        <f>'Utility Cost'!H10</f>
        <v>2.2723726096600068</v>
      </c>
      <c r="I12" s="159">
        <f>'Utility Cost'!I10</f>
        <v>2.6076008740676677</v>
      </c>
      <c r="J12" s="159">
        <f>'Utility Cost'!J10</f>
        <v>2.936490119154878</v>
      </c>
      <c r="K12" s="159">
        <f>'Utility Cost'!K10</f>
        <v>3.2537499355889765</v>
      </c>
      <c r="L12" s="159">
        <f>'Utility Cost'!L10</f>
        <v>3.5517600139848255</v>
      </c>
      <c r="M12" s="159">
        <f>'Utility Cost'!M10</f>
        <v>3.9406584197718133</v>
      </c>
      <c r="N12" s="159">
        <f>'Utility Cost'!N10</f>
        <v>4.2472141272314499</v>
      </c>
      <c r="O12" s="159">
        <f>'Utility Cost'!O10</f>
        <v>4.5405436794688869</v>
      </c>
      <c r="P12" s="159">
        <f>'Utility Cost'!P10</f>
        <v>4.8277662934177137</v>
      </c>
      <c r="Q12" s="159">
        <f>'Utility Cost'!Q10</f>
        <v>5.0995329737225497</v>
      </c>
      <c r="R12" s="159">
        <f>'Utility Cost'!R10</f>
        <v>5.4534738540833638</v>
      </c>
      <c r="S12" s="159">
        <f>'Utility Cost'!S10</f>
        <v>5.7016417925982692</v>
      </c>
      <c r="T12" s="159">
        <f>'Utility Cost'!T10</f>
        <v>5.9308325736117062</v>
      </c>
      <c r="U12" s="159">
        <f>'Utility Cost'!U10</f>
        <v>6.1498413897072055</v>
      </c>
      <c r="V12" s="159">
        <f>'Utility Cost'!V10</f>
        <v>6.35861061560027</v>
      </c>
      <c r="W12" s="159">
        <f>'Utility Cost'!W10</f>
        <v>6.5381573668973081</v>
      </c>
    </row>
    <row r="13" spans="1:23">
      <c r="A13" s="42" t="s">
        <v>156</v>
      </c>
      <c r="B13" s="164">
        <f>-('Consumer Cost'!B49-'Consumer Cost'!B12)</f>
        <v>0</v>
      </c>
      <c r="C13" s="164">
        <f>-('Consumer Cost'!C49-'Consumer Cost'!C12)</f>
        <v>0.25189570778617565</v>
      </c>
      <c r="D13" s="164">
        <f>-('Consumer Cost'!D49-'Consumer Cost'!D12)</f>
        <v>1.1082707602568291</v>
      </c>
      <c r="E13" s="164">
        <f>-('Consumer Cost'!E49-'Consumer Cost'!E12)</f>
        <v>1.924759078544902</v>
      </c>
      <c r="F13" s="164">
        <f>-('Consumer Cost'!F49-'Consumer Cost'!F12)</f>
        <v>2.7049116462299736</v>
      </c>
      <c r="G13" s="164">
        <f>-('Consumer Cost'!G49-'Consumer Cost'!G12)</f>
        <v>3.4524775595627659</v>
      </c>
      <c r="H13" s="164">
        <f>-('Consumer Cost'!H49-'Consumer Cost'!H12)</f>
        <v>4.1714354961127569</v>
      </c>
      <c r="I13" s="164">
        <f>-('Consumer Cost'!I49-'Consumer Cost'!I12)</f>
        <v>4.8659717485768255</v>
      </c>
      <c r="J13" s="164">
        <f>-('Consumer Cost'!J49-'Consumer Cost'!J12)</f>
        <v>5.5403830676345578</v>
      </c>
      <c r="K13" s="164">
        <f>-('Consumer Cost'!K49-'Consumer Cost'!K12)</f>
        <v>6.1988878422380225</v>
      </c>
      <c r="L13" s="164">
        <f>-('Consumer Cost'!L49-'Consumer Cost'!L12)</f>
        <v>6.8453413157732754</v>
      </c>
      <c r="M13" s="164">
        <f>-('Consumer Cost'!M49-'Consumer Cost'!M12)</f>
        <v>7.4828701839428113</v>
      </c>
      <c r="N13" s="164">
        <f>-('Consumer Cost'!N49-'Consumer Cost'!N12)</f>
        <v>8.1134671605516679</v>
      </c>
      <c r="O13" s="164">
        <f>-('Consumer Cost'!O49-'Consumer Cost'!O12)</f>
        <v>8.7376113432259679</v>
      </c>
      <c r="P13" s="164">
        <f>-('Consumer Cost'!P49-'Consumer Cost'!P12)</f>
        <v>9.3539963432412563</v>
      </c>
      <c r="Q13" s="164">
        <f>-('Consumer Cost'!Q49-'Consumer Cost'!Q12)</f>
        <v>9.9594452391985513</v>
      </c>
      <c r="R13" s="164">
        <f>-('Consumer Cost'!R49-'Consumer Cost'!R12)</f>
        <v>10.549063828038367</v>
      </c>
      <c r="S13" s="164">
        <f>-('Consumer Cost'!S49-'Consumer Cost'!S12)</f>
        <v>11.116634975422556</v>
      </c>
      <c r="T13" s="164">
        <f>-('Consumer Cost'!T49-'Consumer Cost'!T12)</f>
        <v>11.655200995492194</v>
      </c>
      <c r="U13" s="164">
        <f>-('Consumer Cost'!U49-'Consumer Cost'!U12)</f>
        <v>12.157737045106973</v>
      </c>
      <c r="V13" s="164">
        <f>-('Consumer Cost'!V49-'Consumer Cost'!V12)</f>
        <v>12.61780182520058</v>
      </c>
      <c r="W13" s="164">
        <f>-('Consumer Cost'!W49-'Consumer Cost'!W12)</f>
        <v>13.030066490065536</v>
      </c>
    </row>
    <row r="14" spans="1:23">
      <c r="A14" s="9" t="s">
        <v>158</v>
      </c>
      <c r="B14" s="159">
        <f>B12+B13</f>
        <v>0</v>
      </c>
      <c r="C14" s="159">
        <f t="shared" ref="C14:W14" si="0">C12+C13</f>
        <v>0.66835783000495597</v>
      </c>
      <c r="D14" s="159">
        <f t="shared" si="0"/>
        <v>1.9107965399701794</v>
      </c>
      <c r="E14" s="159">
        <f t="shared" si="0"/>
        <v>3.09865145498437</v>
      </c>
      <c r="F14" s="159">
        <f t="shared" si="0"/>
        <v>4.2385586079473576</v>
      </c>
      <c r="G14" s="159">
        <f t="shared" si="0"/>
        <v>5.3352291906969249</v>
      </c>
      <c r="H14" s="159">
        <f t="shared" si="0"/>
        <v>6.4438081057727636</v>
      </c>
      <c r="I14" s="159">
        <f t="shared" si="0"/>
        <v>7.4735726226444932</v>
      </c>
      <c r="J14" s="159">
        <f t="shared" si="0"/>
        <v>8.4768731867894367</v>
      </c>
      <c r="K14" s="159">
        <f t="shared" si="0"/>
        <v>9.4526377778269985</v>
      </c>
      <c r="L14" s="159">
        <f t="shared" si="0"/>
        <v>10.397101329758101</v>
      </c>
      <c r="M14" s="159">
        <f t="shared" si="0"/>
        <v>11.423528603714624</v>
      </c>
      <c r="N14" s="159">
        <f t="shared" si="0"/>
        <v>12.360681287783118</v>
      </c>
      <c r="O14" s="159">
        <f t="shared" si="0"/>
        <v>13.278155022694854</v>
      </c>
      <c r="P14" s="159">
        <f t="shared" si="0"/>
        <v>14.18176263665897</v>
      </c>
      <c r="Q14" s="159">
        <f t="shared" si="0"/>
        <v>15.058978212921101</v>
      </c>
      <c r="R14" s="159">
        <f t="shared" si="0"/>
        <v>16.00253768212173</v>
      </c>
      <c r="S14" s="159">
        <f t="shared" si="0"/>
        <v>16.818276768020826</v>
      </c>
      <c r="T14" s="159">
        <f t="shared" si="0"/>
        <v>17.5860335691039</v>
      </c>
      <c r="U14" s="159">
        <f t="shared" si="0"/>
        <v>18.307578434814179</v>
      </c>
      <c r="V14" s="159">
        <f t="shared" si="0"/>
        <v>18.97641244080085</v>
      </c>
      <c r="W14" s="159">
        <f t="shared" si="0"/>
        <v>19.568223856962845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/>
  </sheetViews>
  <sheetFormatPr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Montana, Single Family, Gas FAF, &lt;=55 Gallons, Electric Resistance is starting water heater</v>
      </c>
    </row>
    <row r="3" spans="1:25" ht="31.5">
      <c r="A3" s="155"/>
      <c r="B3" s="137" t="s">
        <v>147</v>
      </c>
    </row>
    <row r="4" spans="1:25">
      <c r="A4" s="154" t="s">
        <v>146</v>
      </c>
      <c r="B4" s="156">
        <f>NPV(DiscountRate,B10:W10)</f>
        <v>44.873605431633145</v>
      </c>
      <c r="D4" s="45"/>
      <c r="E4" s="45"/>
      <c r="F4" s="45"/>
      <c r="G4" s="45"/>
      <c r="H4" s="124"/>
      <c r="I4" s="45"/>
      <c r="J4" s="45"/>
      <c r="K4" s="45"/>
    </row>
    <row r="6" spans="1:25">
      <c r="A6" s="12" t="s">
        <v>143</v>
      </c>
    </row>
    <row r="7" spans="1:25">
      <c r="A7" s="155"/>
      <c r="B7" s="82">
        <f>'Net Reduction in Gas'!B10</f>
        <v>2014</v>
      </c>
      <c r="C7" s="82">
        <f>'Net Reduction in Gas'!C10</f>
        <v>2015</v>
      </c>
      <c r="D7" s="82">
        <f>'Net Reduction in Gas'!D10</f>
        <v>2016</v>
      </c>
      <c r="E7" s="82">
        <f>'Net Reduction in Gas'!E10</f>
        <v>2017</v>
      </c>
      <c r="F7" s="82">
        <f>'Net Reduction in Gas'!F10</f>
        <v>2018</v>
      </c>
      <c r="G7" s="82">
        <f>'Net Reduction in Gas'!G10</f>
        <v>2019</v>
      </c>
      <c r="H7" s="82">
        <f>'Net Reduction in Gas'!H10</f>
        <v>2020</v>
      </c>
      <c r="I7" s="82">
        <f>'Net Reduction in Gas'!I10</f>
        <v>2021</v>
      </c>
      <c r="J7" s="82">
        <f>'Net Reduction in Gas'!J10</f>
        <v>2022</v>
      </c>
      <c r="K7" s="82">
        <f>'Net Reduction in Gas'!K10</f>
        <v>2023</v>
      </c>
      <c r="L7" s="82">
        <f>'Net Reduction in Gas'!L10</f>
        <v>2024</v>
      </c>
      <c r="M7" s="82">
        <f>'Net Reduction in Gas'!M10</f>
        <v>2025</v>
      </c>
      <c r="N7" s="82">
        <f>'Net Reduction in Gas'!N10</f>
        <v>2026</v>
      </c>
      <c r="O7" s="82">
        <f>'Net Reduction in Gas'!O10</f>
        <v>2027</v>
      </c>
      <c r="P7" s="82">
        <f>'Net Reduction in Gas'!P10</f>
        <v>2028</v>
      </c>
      <c r="Q7" s="82">
        <f>'Net Reduction in Gas'!Q10</f>
        <v>2029</v>
      </c>
      <c r="R7" s="82">
        <f>'Net Reduction in Gas'!R10</f>
        <v>2030</v>
      </c>
      <c r="S7" s="82">
        <f>'Net Reduction in Gas'!S10</f>
        <v>2031</v>
      </c>
      <c r="T7" s="82">
        <f>'Net Reduction in Gas'!T10</f>
        <v>2032</v>
      </c>
      <c r="U7" s="82">
        <f>'Net Reduction in Gas'!U10</f>
        <v>2033</v>
      </c>
      <c r="V7" s="82">
        <f>'Net Reduction in Gas'!V10</f>
        <v>2034</v>
      </c>
      <c r="W7" s="93">
        <f>'Net Reduction in Gas'!W10</f>
        <v>2035</v>
      </c>
    </row>
    <row r="8" spans="1:25">
      <c r="A8" s="67" t="s">
        <v>169</v>
      </c>
      <c r="B8" s="133">
        <f>'Net Reduction in Gas'!B13</f>
        <v>0</v>
      </c>
      <c r="C8" s="133">
        <f>'Net Reduction in Gas'!C13</f>
        <v>9.7532112931798698E-2</v>
      </c>
      <c r="D8" s="133">
        <f>'Net Reduction in Gas'!D13</f>
        <v>0.18794514747385255</v>
      </c>
      <c r="E8" s="133">
        <f>'Net Reduction in Gas'!E13</f>
        <v>0.27173434639802496</v>
      </c>
      <c r="F8" s="133">
        <f>'Net Reduction in Gas'!F13</f>
        <v>0.34935010517480286</v>
      </c>
      <c r="G8" s="133">
        <f>'Net Reduction in Gas'!G13</f>
        <v>0.42119723291591926</v>
      </c>
      <c r="H8" s="133">
        <f>'Net Reduction in Gas'!H13</f>
        <v>0.48763360722317745</v>
      </c>
      <c r="I8" s="133">
        <f>'Net Reduction in Gas'!I13</f>
        <v>0.54896860506687739</v>
      </c>
      <c r="J8" s="133">
        <f>'Net Reduction in Gas'!J13</f>
        <v>0.6054618802381192</v>
      </c>
      <c r="K8" s="133">
        <f>'Net Reduction in Gas'!K13</f>
        <v>0.65732321931090432</v>
      </c>
      <c r="L8" s="133">
        <f>'Net Reduction in Gas'!L13</f>
        <v>0.70471428848905271</v>
      </c>
      <c r="M8" s="133">
        <f>'Net Reduction in Gas'!M13</f>
        <v>0.74775302082956618</v>
      </c>
      <c r="N8" s="133">
        <f>'Net Reduction in Gas'!N13</f>
        <v>0.78652113467249063</v>
      </c>
      <c r="O8" s="133">
        <f>'Net Reduction in Gas'!O13</f>
        <v>0.82107480641390351</v>
      </c>
      <c r="P8" s="133">
        <f>'Net Reduction in Gas'!P13</f>
        <v>0.85145790007367084</v>
      </c>
      <c r="Q8" s="133">
        <f>'Net Reduction in Gas'!Q13</f>
        <v>0.87771651871300338</v>
      </c>
      <c r="R8" s="133">
        <f>'Net Reduction in Gas'!R13</f>
        <v>0.89991317724147923</v>
      </c>
      <c r="S8" s="133">
        <f>'Net Reduction in Gas'!S13</f>
        <v>0.91813877497556673</v>
      </c>
      <c r="T8" s="133">
        <f>'Net Reduction in Gas'!T13</f>
        <v>0.93252084490750087</v>
      </c>
      <c r="U8" s="133">
        <f>'Net Reduction in Gas'!U13</f>
        <v>0.94322720701030771</v>
      </c>
      <c r="V8" s="133">
        <f>'Net Reduction in Gas'!V13</f>
        <v>0.95046496496267108</v>
      </c>
      <c r="W8" s="133">
        <f>'Net Reduction in Gas'!W13</f>
        <v>0.95447552801420565</v>
      </c>
      <c r="X8" s="131"/>
    </row>
    <row r="9" spans="1:25">
      <c r="A9" s="67" t="s">
        <v>144</v>
      </c>
      <c r="B9" s="45">
        <f>'Wholesale Price'!B5</f>
        <v>4.3899999999999997</v>
      </c>
      <c r="C9" s="45">
        <f>'Wholesale Price'!C5</f>
        <v>4.2699999999999996</v>
      </c>
      <c r="D9" s="45">
        <f>'Wholesale Price'!D5</f>
        <v>4.2699999999999996</v>
      </c>
      <c r="E9" s="45">
        <f>'Wholesale Price'!E5</f>
        <v>4.32</v>
      </c>
      <c r="F9" s="45">
        <f>'Wholesale Price'!F5</f>
        <v>4.3899999999999997</v>
      </c>
      <c r="G9" s="45">
        <f>'Wholesale Price'!G5</f>
        <v>4.47</v>
      </c>
      <c r="H9" s="45">
        <f>'Wholesale Price'!H5</f>
        <v>4.66</v>
      </c>
      <c r="I9" s="45">
        <f>'Wholesale Price'!I5</f>
        <v>4.75</v>
      </c>
      <c r="J9" s="45">
        <f>'Wholesale Price'!J5</f>
        <v>4.8499999999999996</v>
      </c>
      <c r="K9" s="45">
        <f>'Wholesale Price'!K5</f>
        <v>4.95</v>
      </c>
      <c r="L9" s="45">
        <f>'Wholesale Price'!L5</f>
        <v>5.04</v>
      </c>
      <c r="M9" s="45">
        <f>'Wholesale Price'!M5</f>
        <v>5.27</v>
      </c>
      <c r="N9" s="45">
        <f>'Wholesale Price'!N5</f>
        <v>5.4</v>
      </c>
      <c r="O9" s="45">
        <f>'Wholesale Price'!O5</f>
        <v>5.53</v>
      </c>
      <c r="P9" s="45">
        <f>'Wholesale Price'!P5</f>
        <v>5.67</v>
      </c>
      <c r="Q9" s="45">
        <f>'Wholesale Price'!Q5</f>
        <v>5.81</v>
      </c>
      <c r="R9" s="45">
        <f>'Wholesale Price'!R5</f>
        <v>6.06</v>
      </c>
      <c r="S9" s="45">
        <f>'Wholesale Price'!S5</f>
        <v>6.21</v>
      </c>
      <c r="T9" s="45">
        <f>'Wholesale Price'!T5</f>
        <v>6.36</v>
      </c>
      <c r="U9" s="45">
        <f>'Wholesale Price'!U5</f>
        <v>6.52</v>
      </c>
      <c r="V9" s="45">
        <f>'Wholesale Price'!V5</f>
        <v>6.69</v>
      </c>
      <c r="W9" s="45">
        <f>'Wholesale Price'!W5</f>
        <v>6.85</v>
      </c>
      <c r="X9" s="45"/>
      <c r="Y9" s="45"/>
    </row>
    <row r="10" spans="1:25">
      <c r="A10" s="57" t="s">
        <v>145</v>
      </c>
      <c r="B10" s="158">
        <f>B8*B9</f>
        <v>0</v>
      </c>
      <c r="C10" s="158">
        <f>C8*C9</f>
        <v>0.41646212221878037</v>
      </c>
      <c r="D10" s="158">
        <f t="shared" ref="D10:W10" si="0">D8*D9</f>
        <v>0.80252577971335026</v>
      </c>
      <c r="E10" s="158">
        <f t="shared" si="0"/>
        <v>1.173892376439468</v>
      </c>
      <c r="F10" s="158">
        <f t="shared" si="0"/>
        <v>1.5336469617173845</v>
      </c>
      <c r="G10" s="158">
        <f t="shared" si="0"/>
        <v>1.882751631134159</v>
      </c>
      <c r="H10" s="158">
        <f t="shared" si="0"/>
        <v>2.2723726096600068</v>
      </c>
      <c r="I10" s="158">
        <f t="shared" si="0"/>
        <v>2.6076008740676677</v>
      </c>
      <c r="J10" s="158">
        <f t="shared" si="0"/>
        <v>2.936490119154878</v>
      </c>
      <c r="K10" s="158">
        <f t="shared" si="0"/>
        <v>3.2537499355889765</v>
      </c>
      <c r="L10" s="158">
        <f t="shared" si="0"/>
        <v>3.5517600139848255</v>
      </c>
      <c r="M10" s="158">
        <f t="shared" si="0"/>
        <v>3.9406584197718133</v>
      </c>
      <c r="N10" s="158">
        <f t="shared" si="0"/>
        <v>4.2472141272314499</v>
      </c>
      <c r="O10" s="158">
        <f t="shared" si="0"/>
        <v>4.5405436794688869</v>
      </c>
      <c r="P10" s="158">
        <f t="shared" si="0"/>
        <v>4.8277662934177137</v>
      </c>
      <c r="Q10" s="158">
        <f t="shared" si="0"/>
        <v>5.0995329737225497</v>
      </c>
      <c r="R10" s="158">
        <f t="shared" si="0"/>
        <v>5.4534738540833638</v>
      </c>
      <c r="S10" s="158">
        <f t="shared" si="0"/>
        <v>5.7016417925982692</v>
      </c>
      <c r="T10" s="158">
        <f t="shared" si="0"/>
        <v>5.9308325736117062</v>
      </c>
      <c r="U10" s="158">
        <f t="shared" si="0"/>
        <v>6.1498413897072055</v>
      </c>
      <c r="V10" s="158">
        <f t="shared" si="0"/>
        <v>6.35861061560027</v>
      </c>
      <c r="W10" s="158">
        <f t="shared" si="0"/>
        <v>6.5381573668973081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2015-01-14T18:52:10Z</dcterms:modified>
</cp:coreProperties>
</file>