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0" yWindow="60" windowWidth="13950" windowHeight="6300" activeTab="1"/>
  </bookViews>
  <sheets>
    <sheet name="Summary-Charts" sheetId="39" r:id="rId1"/>
    <sheet name="Summary-Results" sheetId="40" r:id="rId2"/>
    <sheet name="Input Assumptions" sheetId="30" r:id="rId3"/>
    <sheet name="Non-Price Factors" sheetId="45" r:id="rId4"/>
    <sheet name="Retail Rates" sheetId="16" r:id="rId5"/>
    <sheet name="Wholesale Price" sheetId="50" r:id="rId6"/>
    <sheet name="Inflation" sheetId="37" r:id="rId7"/>
    <sheet name="Total Resource Cost" sheetId="51" r:id="rId8"/>
    <sheet name="Utility Cost" sheetId="49" r:id="rId9"/>
    <sheet name="Consumer Cost" sheetId="29" r:id="rId10"/>
    <sheet name="Net Reduction in Gas" sheetId="48" r:id="rId11"/>
    <sheet name="Energy Usage" sheetId="25" r:id="rId12"/>
    <sheet name="Water Heater Stock" sheetId="21" r:id="rId13"/>
    <sheet name="Water Heaters Retired" sheetId="34" r:id="rId14"/>
    <sheet name="Water Heaters Purchased" sheetId="33" r:id="rId15"/>
    <sheet name="Average Market Share" sheetId="46" r:id="rId16"/>
    <sheet name="Marginal Market Share" sheetId="23" r:id="rId17"/>
    <sheet name="Total Allocation Weight" sheetId="32" r:id="rId18"/>
    <sheet name="Marginal Allocation Weight" sheetId="31" r:id="rId19"/>
    <sheet name="Levelized Costs" sheetId="14" r:id="rId20"/>
    <sheet name="Fuel Cost" sheetId="15" r:id="rId21"/>
    <sheet name="Device Energy Use" sheetId="4" r:id="rId22"/>
    <sheet name="Capital Cost" sheetId="42" r:id="rId23"/>
    <sheet name="O&amp;M Cost" sheetId="43" r:id="rId24"/>
  </sheets>
  <definedNames>
    <definedName name="_Order1" hidden="1">255</definedName>
    <definedName name="CapitalChargeRate">'Input Assumptions'!$B$16</definedName>
    <definedName name="CBWorkbookPriority" hidden="1">-1631902449</definedName>
    <definedName name="ConvertMMBTU">'Input Assumptions'!$B$18</definedName>
    <definedName name="DiscountRate">'Input Assumptions'!$B$15</definedName>
    <definedName name="HeatRate">'Input Assumptions'!$B$17</definedName>
    <definedName name="Households">'Input Assumptions'!$B$13</definedName>
    <definedName name="Lifetime">'Input Assumptions'!$B$14</definedName>
    <definedName name="SpaceHeat">'Input Assumptions'!$B$10</definedName>
    <definedName name="StartWH">'Input Assumptions'!$B$11</definedName>
    <definedName name="State">'Input Assumptions'!$B$9</definedName>
    <definedName name="TankSize">'Input Assumptions'!$B$12</definedName>
    <definedName name="VarianceFactor">'Input Assumptions'!$B$19</definedName>
  </definedNames>
  <calcPr calcId="125725" calcOnSave="0"/>
</workbook>
</file>

<file path=xl/calcChain.xml><?xml version="1.0" encoding="utf-8"?>
<calcChain xmlns="http://schemas.openxmlformats.org/spreadsheetml/2006/main">
  <c r="D10" i="45"/>
  <c r="A1" i="30"/>
  <c r="E10" i="45" l="1"/>
  <c r="A1" i="43"/>
  <c r="A1" i="42"/>
  <c r="A1" i="4"/>
  <c r="A1" i="15"/>
  <c r="A1" i="14"/>
  <c r="A1" i="31"/>
  <c r="A1" i="32"/>
  <c r="A1" i="23"/>
  <c r="A1" i="46"/>
  <c r="A1" i="33"/>
  <c r="A1" i="34"/>
  <c r="A1" i="21"/>
  <c r="A1" i="25"/>
  <c r="A1" i="48"/>
  <c r="A1" i="29"/>
  <c r="A1" i="49"/>
  <c r="A1" i="51"/>
  <c r="A1" i="37"/>
  <c r="A1" i="50"/>
  <c r="A1" i="16"/>
  <c r="A1" i="45"/>
  <c r="B41" i="40"/>
  <c r="B35"/>
  <c r="B27"/>
  <c r="B19"/>
  <c r="B11"/>
  <c r="B3"/>
  <c r="A1"/>
  <c r="B57" i="39"/>
  <c r="B21"/>
  <c r="B39"/>
  <c r="B3"/>
  <c r="A1"/>
  <c r="F10" i="45" l="1"/>
  <c r="D9" i="49"/>
  <c r="E9"/>
  <c r="F9"/>
  <c r="G9"/>
  <c r="H9"/>
  <c r="I9"/>
  <c r="J9"/>
  <c r="K9"/>
  <c r="L9"/>
  <c r="M9"/>
  <c r="N9"/>
  <c r="O9"/>
  <c r="P9"/>
  <c r="Q9"/>
  <c r="R9"/>
  <c r="S9"/>
  <c r="T9"/>
  <c r="U9"/>
  <c r="V9"/>
  <c r="W9"/>
  <c r="D12" i="48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G10" i="45" l="1"/>
  <c r="B75" i="39"/>
  <c r="B45" i="40"/>
  <c r="B44"/>
  <c r="B43"/>
  <c r="B9" i="49"/>
  <c r="C9"/>
  <c r="C12" i="48"/>
  <c r="B12"/>
  <c r="C16" i="34"/>
  <c r="C17"/>
  <c r="C18"/>
  <c r="C19"/>
  <c r="C7"/>
  <c r="C8"/>
  <c r="C9"/>
  <c r="C10"/>
  <c r="B6" i="21"/>
  <c r="C6" i="34" s="1"/>
  <c r="B15" i="21"/>
  <c r="C15" i="34" s="1"/>
  <c r="H10" i="45" l="1"/>
  <c r="A25" i="30"/>
  <c r="A34"/>
  <c r="C42" i="40"/>
  <c r="I10" i="45" l="1"/>
  <c r="D20"/>
  <c r="E20"/>
  <c r="F20"/>
  <c r="G20"/>
  <c r="H20"/>
  <c r="I20"/>
  <c r="C20"/>
  <c r="B22"/>
  <c r="B23"/>
  <c r="B24"/>
  <c r="B21"/>
  <c r="B20"/>
  <c r="J10" l="1"/>
  <c r="A18"/>
  <c r="A8"/>
  <c r="B19"/>
  <c r="C19"/>
  <c r="D19"/>
  <c r="E19"/>
  <c r="F19"/>
  <c r="G19"/>
  <c r="H19"/>
  <c r="I19"/>
  <c r="J19"/>
  <c r="K19"/>
  <c r="L19"/>
  <c r="M19"/>
  <c r="N19"/>
  <c r="O19"/>
  <c r="P19"/>
  <c r="Q19"/>
  <c r="R19"/>
  <c r="S19"/>
  <c r="T19"/>
  <c r="U19"/>
  <c r="V19"/>
  <c r="W19"/>
  <c r="K10" l="1"/>
  <c r="J20"/>
  <c r="A12" i="46"/>
  <c r="A4"/>
  <c r="C14" i="45"/>
  <c r="C13"/>
  <c r="C12"/>
  <c r="C22" s="1"/>
  <c r="C11"/>
  <c r="C23" l="1"/>
  <c r="C24"/>
  <c r="C21"/>
  <c r="L10"/>
  <c r="K20"/>
  <c r="D14"/>
  <c r="D13"/>
  <c r="D12"/>
  <c r="D22" s="1"/>
  <c r="D11"/>
  <c r="A9"/>
  <c r="A19" s="1"/>
  <c r="M10" l="1"/>
  <c r="L20"/>
  <c r="D21"/>
  <c r="D23"/>
  <c r="D24"/>
  <c r="E11"/>
  <c r="E12"/>
  <c r="E22" s="1"/>
  <c r="E13"/>
  <c r="E14"/>
  <c r="E24" l="1"/>
  <c r="E23"/>
  <c r="E21"/>
  <c r="N10"/>
  <c r="M20"/>
  <c r="F14"/>
  <c r="F13"/>
  <c r="F12"/>
  <c r="F22" s="1"/>
  <c r="F11"/>
  <c r="D9" i="42"/>
  <c r="C9"/>
  <c r="B9"/>
  <c r="D8"/>
  <c r="C8"/>
  <c r="B8"/>
  <c r="D7"/>
  <c r="C7"/>
  <c r="B7"/>
  <c r="D6"/>
  <c r="C6"/>
  <c r="B6"/>
  <c r="D5"/>
  <c r="C5"/>
  <c r="B5"/>
  <c r="C4"/>
  <c r="B4"/>
  <c r="C9" i="43"/>
  <c r="B9"/>
  <c r="C8"/>
  <c r="B8"/>
  <c r="C7"/>
  <c r="B7"/>
  <c r="C6"/>
  <c r="B6"/>
  <c r="D6" s="1"/>
  <c r="C5"/>
  <c r="B5"/>
  <c r="B4"/>
  <c r="B4" i="4"/>
  <c r="C4"/>
  <c r="B5"/>
  <c r="C5"/>
  <c r="B6"/>
  <c r="C6"/>
  <c r="B7"/>
  <c r="C7"/>
  <c r="B8"/>
  <c r="C8"/>
  <c r="B9"/>
  <c r="C9"/>
  <c r="D6"/>
  <c r="D7"/>
  <c r="D8"/>
  <c r="D9"/>
  <c r="D5"/>
  <c r="A9" i="43"/>
  <c r="A8"/>
  <c r="A7"/>
  <c r="A6"/>
  <c r="A5"/>
  <c r="A9" i="42"/>
  <c r="A8"/>
  <c r="A7"/>
  <c r="A6"/>
  <c r="A5"/>
  <c r="O10" i="45" l="1"/>
  <c r="N20"/>
  <c r="F21"/>
  <c r="F23"/>
  <c r="F24"/>
  <c r="D5" i="43"/>
  <c r="B31" i="29" s="1"/>
  <c r="D9" i="43"/>
  <c r="B72" i="29" s="1"/>
  <c r="E6" i="42"/>
  <c r="B23" i="29" s="1"/>
  <c r="D8" i="43"/>
  <c r="B71" i="29" s="1"/>
  <c r="B69"/>
  <c r="B32"/>
  <c r="G11" i="45"/>
  <c r="G12"/>
  <c r="G22" s="1"/>
  <c r="G13"/>
  <c r="G14"/>
  <c r="E8" i="42"/>
  <c r="E5"/>
  <c r="E9"/>
  <c r="D7" i="43"/>
  <c r="E7" i="42"/>
  <c r="G21" i="45" l="1"/>
  <c r="G24"/>
  <c r="G23"/>
  <c r="P10"/>
  <c r="O20"/>
  <c r="B60" i="29"/>
  <c r="B35"/>
  <c r="B68"/>
  <c r="B34"/>
  <c r="B25"/>
  <c r="B62"/>
  <c r="B59"/>
  <c r="B22"/>
  <c r="B26"/>
  <c r="B63"/>
  <c r="B24"/>
  <c r="B61"/>
  <c r="B70"/>
  <c r="B33"/>
  <c r="H14" i="45"/>
  <c r="H13"/>
  <c r="H12"/>
  <c r="H22" s="1"/>
  <c r="H11"/>
  <c r="E9" i="4"/>
  <c r="A9"/>
  <c r="E8"/>
  <c r="A8"/>
  <c r="E7"/>
  <c r="A7"/>
  <c r="E6"/>
  <c r="A6"/>
  <c r="E5"/>
  <c r="A5"/>
  <c r="E4"/>
  <c r="A4" i="15"/>
  <c r="A4" i="14"/>
  <c r="A4" i="31"/>
  <c r="A4" i="32"/>
  <c r="A12" i="23"/>
  <c r="A4"/>
  <c r="W13" i="33"/>
  <c r="V13"/>
  <c r="V57" i="29" s="1"/>
  <c r="V48" s="1"/>
  <c r="U13" i="33"/>
  <c r="U57" i="29" s="1"/>
  <c r="U48" s="1"/>
  <c r="T13" i="33"/>
  <c r="T57" i="29" s="1"/>
  <c r="T48" s="1"/>
  <c r="S13" i="33"/>
  <c r="S57" i="29" s="1"/>
  <c r="S48" s="1"/>
  <c r="R13" i="33"/>
  <c r="R57" i="29" s="1"/>
  <c r="R48" s="1"/>
  <c r="Q13" i="33"/>
  <c r="Q57" i="29" s="1"/>
  <c r="Q48" s="1"/>
  <c r="P13" i="33"/>
  <c r="O13"/>
  <c r="O57" i="29" s="1"/>
  <c r="O48" s="1"/>
  <c r="N13" i="33"/>
  <c r="N57" i="29" s="1"/>
  <c r="N48" s="1"/>
  <c r="M13" i="33"/>
  <c r="M57" i="29" s="1"/>
  <c r="M48" s="1"/>
  <c r="L13" i="33"/>
  <c r="L57" i="29" s="1"/>
  <c r="L48" s="1"/>
  <c r="K13" i="33"/>
  <c r="K57" i="29" s="1"/>
  <c r="K48" s="1"/>
  <c r="J13" i="33"/>
  <c r="J57" i="29" s="1"/>
  <c r="J48" s="1"/>
  <c r="I13" i="33"/>
  <c r="I57" i="29" s="1"/>
  <c r="I48" s="1"/>
  <c r="H13" i="33"/>
  <c r="H57" i="29" s="1"/>
  <c r="H48" s="1"/>
  <c r="G13" i="33"/>
  <c r="G57" i="29" s="1"/>
  <c r="G48" s="1"/>
  <c r="F13" i="33"/>
  <c r="F57" i="29" s="1"/>
  <c r="F48" s="1"/>
  <c r="E13" i="33"/>
  <c r="E57" i="29" s="1"/>
  <c r="E48" s="1"/>
  <c r="D13" i="33"/>
  <c r="D57" i="29" s="1"/>
  <c r="D48" s="1"/>
  <c r="C13" i="33"/>
  <c r="C57" i="29" s="1"/>
  <c r="C48" s="1"/>
  <c r="B13" i="33"/>
  <c r="B57" i="29" s="1"/>
  <c r="B48" s="1"/>
  <c r="A13" i="33"/>
  <c r="A57" i="29" s="1"/>
  <c r="A48" s="1"/>
  <c r="W4" i="33"/>
  <c r="W20" i="29" s="1"/>
  <c r="W11" s="1"/>
  <c r="V4" i="33"/>
  <c r="V20" i="29" s="1"/>
  <c r="V11" s="1"/>
  <c r="U4" i="33"/>
  <c r="U20" i="29" s="1"/>
  <c r="U11" s="1"/>
  <c r="T4" i="33"/>
  <c r="T20" i="29" s="1"/>
  <c r="T11" s="1"/>
  <c r="S4" i="33"/>
  <c r="S20" i="29" s="1"/>
  <c r="S11" s="1"/>
  <c r="R4" i="33"/>
  <c r="R20" i="29" s="1"/>
  <c r="R11" s="1"/>
  <c r="Q4" i="33"/>
  <c r="Q20" i="29" s="1"/>
  <c r="Q11" s="1"/>
  <c r="P4" i="33"/>
  <c r="P20" i="29" s="1"/>
  <c r="P11" s="1"/>
  <c r="O4" i="33"/>
  <c r="O20" i="29" s="1"/>
  <c r="O11" s="1"/>
  <c r="N4" i="33"/>
  <c r="N20" i="29" s="1"/>
  <c r="N11" s="1"/>
  <c r="M4" i="33"/>
  <c r="M20" i="29" s="1"/>
  <c r="M11" s="1"/>
  <c r="L4" i="33"/>
  <c r="L20" i="29" s="1"/>
  <c r="L11" s="1"/>
  <c r="K4" i="33"/>
  <c r="K20" i="29" s="1"/>
  <c r="K11" s="1"/>
  <c r="J4" i="33"/>
  <c r="J20" i="29" s="1"/>
  <c r="J11" s="1"/>
  <c r="I4" i="33"/>
  <c r="I20" i="29" s="1"/>
  <c r="I11" s="1"/>
  <c r="H4" i="33"/>
  <c r="H20" i="29" s="1"/>
  <c r="H11" s="1"/>
  <c r="G4" i="33"/>
  <c r="G20" i="29" s="1"/>
  <c r="G11" s="1"/>
  <c r="F4" i="33"/>
  <c r="F20" i="29" s="1"/>
  <c r="F11" s="1"/>
  <c r="E4" i="33"/>
  <c r="E20" i="29" s="1"/>
  <c r="E11" s="1"/>
  <c r="D4" i="33"/>
  <c r="D20" i="29" s="1"/>
  <c r="D11" s="1"/>
  <c r="C4" i="33"/>
  <c r="C20" i="29" s="1"/>
  <c r="C11" s="1"/>
  <c r="B4" i="33"/>
  <c r="B20" i="29" s="1"/>
  <c r="B11" s="1"/>
  <c r="A4" i="33"/>
  <c r="A20" i="29" s="1"/>
  <c r="A11" s="1"/>
  <c r="W13" i="34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B13"/>
  <c r="A13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B4"/>
  <c r="A4"/>
  <c r="A13" i="21"/>
  <c r="A66" i="29" s="1"/>
  <c r="A4" i="21"/>
  <c r="W62" i="25"/>
  <c r="V62"/>
  <c r="U62"/>
  <c r="T62"/>
  <c r="S62"/>
  <c r="R62"/>
  <c r="Q62"/>
  <c r="P62"/>
  <c r="O62"/>
  <c r="N62"/>
  <c r="M62"/>
  <c r="L62"/>
  <c r="K62"/>
  <c r="J62"/>
  <c r="I62"/>
  <c r="H62"/>
  <c r="G62"/>
  <c r="F62"/>
  <c r="E62"/>
  <c r="D62"/>
  <c r="C62"/>
  <c r="B62"/>
  <c r="A62"/>
  <c r="W53"/>
  <c r="V53"/>
  <c r="U53"/>
  <c r="T53"/>
  <c r="S53"/>
  <c r="R53"/>
  <c r="Q53"/>
  <c r="P53"/>
  <c r="O53"/>
  <c r="N53"/>
  <c r="M53"/>
  <c r="L53"/>
  <c r="K53"/>
  <c r="J53"/>
  <c r="I53"/>
  <c r="H53"/>
  <c r="G53"/>
  <c r="F53"/>
  <c r="E53"/>
  <c r="D53"/>
  <c r="C53"/>
  <c r="B53"/>
  <c r="A53"/>
  <c r="W44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D44"/>
  <c r="C44"/>
  <c r="B44"/>
  <c r="A44"/>
  <c r="W35"/>
  <c r="V35"/>
  <c r="U35"/>
  <c r="T35"/>
  <c r="S35"/>
  <c r="R35"/>
  <c r="Q35"/>
  <c r="P35"/>
  <c r="O35"/>
  <c r="N35"/>
  <c r="M35"/>
  <c r="L35"/>
  <c r="K35"/>
  <c r="J35"/>
  <c r="I35"/>
  <c r="H35"/>
  <c r="G35"/>
  <c r="F35"/>
  <c r="E35"/>
  <c r="D35"/>
  <c r="C35"/>
  <c r="B35"/>
  <c r="A35"/>
  <c r="W25"/>
  <c r="W75" i="29" s="1"/>
  <c r="V25" i="25"/>
  <c r="V38" i="29" s="1"/>
  <c r="U25" i="25"/>
  <c r="U75" i="29" s="1"/>
  <c r="T25" i="25"/>
  <c r="T38" i="29" s="1"/>
  <c r="S25" i="25"/>
  <c r="R25"/>
  <c r="R38" i="29" s="1"/>
  <c r="Q25" i="25"/>
  <c r="P25"/>
  <c r="O25"/>
  <c r="O75" i="29" s="1"/>
  <c r="N25" i="25"/>
  <c r="M25"/>
  <c r="L25"/>
  <c r="L75" i="29" s="1"/>
  <c r="K25" i="25"/>
  <c r="K38" i="29" s="1"/>
  <c r="J25" i="25"/>
  <c r="J75" i="29" s="1"/>
  <c r="I25" i="25"/>
  <c r="H25"/>
  <c r="G25"/>
  <c r="G75" i="29" s="1"/>
  <c r="F25" i="25"/>
  <c r="F75" i="29" s="1"/>
  <c r="E25" i="25"/>
  <c r="D25"/>
  <c r="D38" i="29" s="1"/>
  <c r="C25" i="25"/>
  <c r="B25"/>
  <c r="B75" i="29" s="1"/>
  <c r="A25" i="25"/>
  <c r="A75" i="29" s="1"/>
  <c r="W16" i="25"/>
  <c r="W4" s="1"/>
  <c r="V16"/>
  <c r="V4" s="1"/>
  <c r="U16"/>
  <c r="U4" s="1"/>
  <c r="T16"/>
  <c r="T4" s="1"/>
  <c r="S16"/>
  <c r="S4" s="1"/>
  <c r="R16"/>
  <c r="R4" s="1"/>
  <c r="Q16"/>
  <c r="Q4" s="1"/>
  <c r="P16"/>
  <c r="P4" s="1"/>
  <c r="O16"/>
  <c r="O4" s="1"/>
  <c r="N16"/>
  <c r="N4" s="1"/>
  <c r="N5" s="1"/>
  <c r="N10" i="48" s="1"/>
  <c r="N7" i="49" s="1"/>
  <c r="N11" i="51" s="1"/>
  <c r="M16" i="25"/>
  <c r="M4" s="1"/>
  <c r="L16"/>
  <c r="L4" s="1"/>
  <c r="K16"/>
  <c r="K4" s="1"/>
  <c r="J16"/>
  <c r="J4" s="1"/>
  <c r="I16"/>
  <c r="I4" s="1"/>
  <c r="H16"/>
  <c r="H4" s="1"/>
  <c r="G16"/>
  <c r="G4" s="1"/>
  <c r="G5" s="1"/>
  <c r="G10" i="48" s="1"/>
  <c r="G7" i="49" s="1"/>
  <c r="G11" i="51" s="1"/>
  <c r="F16" i="25"/>
  <c r="F4" s="1"/>
  <c r="E16"/>
  <c r="E4" s="1"/>
  <c r="D16"/>
  <c r="D4" s="1"/>
  <c r="C16"/>
  <c r="C4" s="1"/>
  <c r="B16"/>
  <c r="B4" s="1"/>
  <c r="A16"/>
  <c r="W66" i="29"/>
  <c r="V66"/>
  <c r="U66"/>
  <c r="T66"/>
  <c r="S66"/>
  <c r="R66"/>
  <c r="Q66"/>
  <c r="P66"/>
  <c r="O66"/>
  <c r="N66"/>
  <c r="M66"/>
  <c r="L66"/>
  <c r="K66"/>
  <c r="J66"/>
  <c r="I66"/>
  <c r="H66"/>
  <c r="G66"/>
  <c r="F66"/>
  <c r="E66"/>
  <c r="D66"/>
  <c r="C66"/>
  <c r="B66"/>
  <c r="W57"/>
  <c r="W48" s="1"/>
  <c r="P57"/>
  <c r="P48" s="1"/>
  <c r="A4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B29"/>
  <c r="W4" i="15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B4"/>
  <c r="B4" i="14" s="1"/>
  <c r="B12" i="46" s="1"/>
  <c r="A3" i="16"/>
  <c r="H24" i="45" l="1"/>
  <c r="Q10"/>
  <c r="P20"/>
  <c r="H21"/>
  <c r="H23"/>
  <c r="A29" i="29"/>
  <c r="A13" i="45"/>
  <c r="A23" s="1"/>
  <c r="A8" i="46"/>
  <c r="B24" i="40" s="1"/>
  <c r="A16" i="46"/>
  <c r="B32" i="40" s="1"/>
  <c r="A12" i="45"/>
  <c r="A22" s="1"/>
  <c r="A15" i="46"/>
  <c r="B31" i="40" s="1"/>
  <c r="A7" i="46"/>
  <c r="B23" i="40" s="1"/>
  <c r="A10" i="45"/>
  <c r="A20" s="1"/>
  <c r="A13" i="46"/>
  <c r="B29" i="40" s="1"/>
  <c r="A5" i="46"/>
  <c r="B21" i="40" s="1"/>
  <c r="A11" i="45"/>
  <c r="A21" s="1"/>
  <c r="A14" i="46"/>
  <c r="B30" i="40" s="1"/>
  <c r="A6" i="46"/>
  <c r="B22" i="40" s="1"/>
  <c r="A14" i="45"/>
  <c r="A24" s="1"/>
  <c r="A9" i="46"/>
  <c r="B25" i="40" s="1"/>
  <c r="A17" i="46"/>
  <c r="B33" i="40" s="1"/>
  <c r="A21" i="25"/>
  <c r="A34" i="29" s="1"/>
  <c r="B21"/>
  <c r="A38"/>
  <c r="I11" i="45"/>
  <c r="I12"/>
  <c r="I22" s="1"/>
  <c r="I13"/>
  <c r="I14"/>
  <c r="B4" i="31"/>
  <c r="B4" i="23" s="1"/>
  <c r="B12"/>
  <c r="L5" i="15"/>
  <c r="E5"/>
  <c r="E5" i="14" s="1"/>
  <c r="E5" i="31" s="1"/>
  <c r="M5" i="15"/>
  <c r="U5"/>
  <c r="U5" i="14" s="1"/>
  <c r="V4"/>
  <c r="V4" i="31" s="1"/>
  <c r="P4" i="14"/>
  <c r="P12" i="46" s="1"/>
  <c r="I4" i="14"/>
  <c r="Q4"/>
  <c r="Q12" i="46" s="1"/>
  <c r="G4" i="14"/>
  <c r="J4"/>
  <c r="J12" i="46" s="1"/>
  <c r="R4" i="14"/>
  <c r="U4"/>
  <c r="F4"/>
  <c r="H4"/>
  <c r="M10" i="25"/>
  <c r="M4" i="48" s="1"/>
  <c r="B38" i="29"/>
  <c r="U38"/>
  <c r="T10" i="25"/>
  <c r="T4" i="48" s="1"/>
  <c r="B5" i="25"/>
  <c r="B10" i="48" s="1"/>
  <c r="B7" i="49" s="1"/>
  <c r="B11" i="51" s="1"/>
  <c r="J38" i="29"/>
  <c r="A49" i="25"/>
  <c r="A6" i="15"/>
  <c r="A20" i="25"/>
  <c r="A33" i="29" s="1"/>
  <c r="A58" i="25"/>
  <c r="A67"/>
  <c r="I5" i="15"/>
  <c r="I5" i="14" s="1"/>
  <c r="I5" i="31" s="1"/>
  <c r="A18" i="21"/>
  <c r="A18" i="34" s="1"/>
  <c r="A7" i="21"/>
  <c r="A7" i="33" s="1"/>
  <c r="A23" i="29" s="1"/>
  <c r="A14" s="1"/>
  <c r="A8" i="23"/>
  <c r="B8" i="40" s="1"/>
  <c r="A16" i="23"/>
  <c r="A30" i="25"/>
  <c r="A43" i="29" s="1"/>
  <c r="A19" i="25"/>
  <c r="A32" i="29" s="1"/>
  <c r="A40" i="25"/>
  <c r="A9" i="21"/>
  <c r="A9" i="33" s="1"/>
  <c r="A25" i="29" s="1"/>
  <c r="A16" s="1"/>
  <c r="A15" i="23"/>
  <c r="A16" i="21"/>
  <c r="A69" i="29" s="1"/>
  <c r="J5" i="15"/>
  <c r="J5" i="14" s="1"/>
  <c r="J5" i="31" s="1"/>
  <c r="Q5" i="15"/>
  <c r="Q5" i="14" s="1"/>
  <c r="G38" i="29"/>
  <c r="F38"/>
  <c r="A28" i="25"/>
  <c r="A38"/>
  <c r="A6" i="23"/>
  <c r="A6" i="14"/>
  <c r="A56" i="25"/>
  <c r="A14" i="23"/>
  <c r="A47" i="25"/>
  <c r="R75" i="29"/>
  <c r="A65" i="25"/>
  <c r="O38" i="29"/>
  <c r="W38"/>
  <c r="V75"/>
  <c r="D5" i="15"/>
  <c r="D5" i="14" s="1"/>
  <c r="D5" i="31" s="1"/>
  <c r="U5" i="25"/>
  <c r="U10" i="48" s="1"/>
  <c r="U7" i="49" s="1"/>
  <c r="U11" i="51" s="1"/>
  <c r="U10" i="25"/>
  <c r="U4" i="48" s="1"/>
  <c r="K75" i="29"/>
  <c r="A41" i="25"/>
  <c r="L38" i="29"/>
  <c r="N4" i="14"/>
  <c r="A9"/>
  <c r="D5" i="25"/>
  <c r="D10" i="48" s="1"/>
  <c r="D7" i="49" s="1"/>
  <c r="D11" i="51" s="1"/>
  <c r="F10" i="25"/>
  <c r="F4" i="48" s="1"/>
  <c r="R5" i="15"/>
  <c r="R5" i="14" s="1"/>
  <c r="R10" i="25"/>
  <c r="R4" i="48" s="1"/>
  <c r="B5" i="15"/>
  <c r="T5"/>
  <c r="T5" i="14" s="1"/>
  <c r="J5" i="25"/>
  <c r="J10" i="48" s="1"/>
  <c r="J7" i="49" s="1"/>
  <c r="J11" i="51" s="1"/>
  <c r="J10" i="25"/>
  <c r="J4" i="48" s="1"/>
  <c r="D4" i="14"/>
  <c r="L4"/>
  <c r="L12" i="46" s="1"/>
  <c r="T4" i="14"/>
  <c r="A15" i="21"/>
  <c r="A27" i="25"/>
  <c r="A18"/>
  <c r="A31" i="29" s="1"/>
  <c r="A5" i="15"/>
  <c r="A5" i="14"/>
  <c r="A5" i="23"/>
  <c r="B5" i="40" s="1"/>
  <c r="A64" i="25"/>
  <c r="A13" i="23"/>
  <c r="A46" i="25"/>
  <c r="A17" i="23"/>
  <c r="A22" i="25"/>
  <c r="A35" i="29" s="1"/>
  <c r="A10" i="21"/>
  <c r="A10" i="33" s="1"/>
  <c r="A26" i="29" s="1"/>
  <c r="A17" s="1"/>
  <c r="A19" i="21"/>
  <c r="A68" i="25"/>
  <c r="A59"/>
  <c r="A9" i="15"/>
  <c r="A9" i="23"/>
  <c r="W4" i="14"/>
  <c r="D75" i="29"/>
  <c r="R5" i="25"/>
  <c r="R10" i="48" s="1"/>
  <c r="R7" i="49" s="1"/>
  <c r="R11" i="51" s="1"/>
  <c r="B10" i="25"/>
  <c r="B4" i="48" s="1"/>
  <c r="C75" i="29"/>
  <c r="C38"/>
  <c r="S75"/>
  <c r="S38"/>
  <c r="A55" i="25"/>
  <c r="A50"/>
  <c r="F5"/>
  <c r="F10" i="48" s="1"/>
  <c r="F7" i="49" s="1"/>
  <c r="F11" i="51" s="1"/>
  <c r="O4" i="14"/>
  <c r="I38" i="29"/>
  <c r="I75"/>
  <c r="A6" i="21"/>
  <c r="A6" i="33" s="1"/>
  <c r="A22" i="29" s="1"/>
  <c r="A13" s="1"/>
  <c r="A37" i="25"/>
  <c r="A7" i="23"/>
  <c r="A57" i="25"/>
  <c r="A48"/>
  <c r="A39"/>
  <c r="A29"/>
  <c r="A17" i="21"/>
  <c r="A17" i="33" s="1"/>
  <c r="A61" i="29" s="1"/>
  <c r="A52" s="1"/>
  <c r="V10" i="25"/>
  <c r="V4" i="48" s="1"/>
  <c r="A66" i="25"/>
  <c r="T75" i="29"/>
  <c r="Q10" i="25"/>
  <c r="Q4" i="48" s="1"/>
  <c r="P75" i="29"/>
  <c r="P38"/>
  <c r="A31" i="25"/>
  <c r="M4" i="14"/>
  <c r="E4"/>
  <c r="W10" i="25"/>
  <c r="W4" i="48" s="1"/>
  <c r="W5" i="25"/>
  <c r="W10" i="48" s="1"/>
  <c r="W7" i="49" s="1"/>
  <c r="W11" i="51" s="1"/>
  <c r="G10" i="25"/>
  <c r="G4" i="48" s="1"/>
  <c r="H75" i="29"/>
  <c r="H38"/>
  <c r="U8" i="15"/>
  <c r="U8" i="14" s="1"/>
  <c r="O8" i="15"/>
  <c r="O8" i="14" s="1"/>
  <c r="H8" i="15"/>
  <c r="H8" i="14" s="1"/>
  <c r="T8" i="15"/>
  <c r="T8" i="14" s="1"/>
  <c r="P8" i="15"/>
  <c r="P8" i="14" s="1"/>
  <c r="G8" i="15"/>
  <c r="G8" i="14" s="1"/>
  <c r="E5" i="25"/>
  <c r="E10" i="48" s="1"/>
  <c r="E7" i="49" s="1"/>
  <c r="E11" i="51" s="1"/>
  <c r="E10" i="25"/>
  <c r="E4" i="48" s="1"/>
  <c r="Q5" i="25"/>
  <c r="Q10" i="48" s="1"/>
  <c r="Q7" i="49" s="1"/>
  <c r="Q11" i="51" s="1"/>
  <c r="H10" i="25"/>
  <c r="H4" i="48" s="1"/>
  <c r="H5" i="25"/>
  <c r="H10" i="48" s="1"/>
  <c r="H7" i="49" s="1"/>
  <c r="H11" i="51" s="1"/>
  <c r="I10" i="25"/>
  <c r="I4" i="48" s="1"/>
  <c r="I5" i="25"/>
  <c r="I10" i="48" s="1"/>
  <c r="I7" i="49" s="1"/>
  <c r="I11" i="51" s="1"/>
  <c r="P5" i="25"/>
  <c r="P10" i="48" s="1"/>
  <c r="P7" i="49" s="1"/>
  <c r="P11" i="51" s="1"/>
  <c r="P10" i="25"/>
  <c r="P4" i="48" s="1"/>
  <c r="L5" i="25"/>
  <c r="L10" i="48" s="1"/>
  <c r="L7" i="49" s="1"/>
  <c r="L11" i="51" s="1"/>
  <c r="L10" i="25"/>
  <c r="L4" i="48" s="1"/>
  <c r="T5" i="25"/>
  <c r="T10" i="48" s="1"/>
  <c r="T7" i="49" s="1"/>
  <c r="T11" i="51" s="1"/>
  <c r="O10" i="25"/>
  <c r="O4" i="48" s="1"/>
  <c r="T9" i="15"/>
  <c r="T9" i="14" s="1"/>
  <c r="L9" i="15"/>
  <c r="L9" i="14" s="1"/>
  <c r="D9" i="15"/>
  <c r="D9" i="14" s="1"/>
  <c r="S9" i="15"/>
  <c r="S9" i="14" s="1"/>
  <c r="K9" i="15"/>
  <c r="K9" i="14" s="1"/>
  <c r="C9" i="15"/>
  <c r="C9" i="14" s="1"/>
  <c r="R9" i="15"/>
  <c r="R9" i="14" s="1"/>
  <c r="J9" i="15"/>
  <c r="J9" i="14" s="1"/>
  <c r="B9" i="15"/>
  <c r="W9"/>
  <c r="W9" i="14" s="1"/>
  <c r="O9" i="15"/>
  <c r="O9" i="14" s="1"/>
  <c r="G9" i="15"/>
  <c r="G9" i="14" s="1"/>
  <c r="M9" i="15"/>
  <c r="M9" i="14" s="1"/>
  <c r="I9" i="15"/>
  <c r="I9" i="14" s="1"/>
  <c r="H9" i="15"/>
  <c r="H9" i="14" s="1"/>
  <c r="F9" i="15"/>
  <c r="F9" i="14" s="1"/>
  <c r="E9" i="15"/>
  <c r="E9" i="14" s="1"/>
  <c r="Q9" i="15"/>
  <c r="Q9" i="14" s="1"/>
  <c r="V9" i="15"/>
  <c r="V9" i="14" s="1"/>
  <c r="U9" i="15"/>
  <c r="U9" i="14" s="1"/>
  <c r="P9" i="15"/>
  <c r="P9" i="14" s="1"/>
  <c r="N9" i="15"/>
  <c r="N9" i="14" s="1"/>
  <c r="S10" i="25"/>
  <c r="S4" i="48" s="1"/>
  <c r="S5" i="25"/>
  <c r="S10" i="48" s="1"/>
  <c r="S7" i="49" s="1"/>
  <c r="S11" i="51" s="1"/>
  <c r="E75" i="29"/>
  <c r="E38"/>
  <c r="M38"/>
  <c r="M75"/>
  <c r="O5" i="25"/>
  <c r="O10" i="48" s="1"/>
  <c r="O7" i="49" s="1"/>
  <c r="O11" i="51" s="1"/>
  <c r="C10" i="25"/>
  <c r="C4" i="48" s="1"/>
  <c r="C5" i="25"/>
  <c r="C10" i="48" s="1"/>
  <c r="C7" i="49" s="1"/>
  <c r="C11" i="51" s="1"/>
  <c r="K10" i="25"/>
  <c r="K4" i="48" s="1"/>
  <c r="K5" i="25"/>
  <c r="K10" i="48" s="1"/>
  <c r="K7" i="49" s="1"/>
  <c r="K11" i="51" s="1"/>
  <c r="D10" i="25"/>
  <c r="D4" i="48" s="1"/>
  <c r="N38" i="29"/>
  <c r="N75"/>
  <c r="N10" i="25"/>
  <c r="N4" i="48" s="1"/>
  <c r="V5" i="25"/>
  <c r="V10" i="48" s="1"/>
  <c r="V7" i="49" s="1"/>
  <c r="V11" i="51" s="1"/>
  <c r="Q38" i="29"/>
  <c r="Q75"/>
  <c r="C4" i="14"/>
  <c r="S4"/>
  <c r="M5" i="25"/>
  <c r="M10" i="48" s="1"/>
  <c r="M7" i="49" s="1"/>
  <c r="M11" i="51" s="1"/>
  <c r="K4" i="14"/>
  <c r="A8" i="15"/>
  <c r="A7"/>
  <c r="A8" i="21"/>
  <c r="S8" i="15"/>
  <c r="S8" i="14" s="1"/>
  <c r="K8" i="15"/>
  <c r="K8" i="14" s="1"/>
  <c r="C8" i="15"/>
  <c r="C8" i="14" s="1"/>
  <c r="R8" i="15"/>
  <c r="R8" i="14" s="1"/>
  <c r="J8" i="15"/>
  <c r="J8" i="14" s="1"/>
  <c r="B8" i="15"/>
  <c r="Q8"/>
  <c r="Q8" i="14" s="1"/>
  <c r="I8" i="15"/>
  <c r="I8" i="14" s="1"/>
  <c r="V8" i="15"/>
  <c r="V8" i="14" s="1"/>
  <c r="N8" i="15"/>
  <c r="N8" i="14" s="1"/>
  <c r="F8" i="15"/>
  <c r="F8" i="14" s="1"/>
  <c r="M8" i="15"/>
  <c r="M8" i="14" s="1"/>
  <c r="L8" i="15"/>
  <c r="L8" i="14" s="1"/>
  <c r="A7"/>
  <c r="A8"/>
  <c r="D8" i="15"/>
  <c r="D8" i="14" s="1"/>
  <c r="W8" i="15"/>
  <c r="W8" i="14" s="1"/>
  <c r="E8" i="15"/>
  <c r="E8" i="14" s="1"/>
  <c r="P5" i="15"/>
  <c r="P5" i="14" s="1"/>
  <c r="P5" i="31" s="1"/>
  <c r="H5" i="15"/>
  <c r="H5" i="14" s="1"/>
  <c r="H5" i="31" s="1"/>
  <c r="W5" i="15"/>
  <c r="W5" i="14" s="1"/>
  <c r="O5" i="15"/>
  <c r="O5" i="14" s="1"/>
  <c r="O5" i="31" s="1"/>
  <c r="G5" i="15"/>
  <c r="G5" i="14" s="1"/>
  <c r="G5" i="31" s="1"/>
  <c r="V5" i="15"/>
  <c r="V5" i="14" s="1"/>
  <c r="N5" i="15"/>
  <c r="N5" i="14" s="1"/>
  <c r="N5" i="31" s="1"/>
  <c r="F5" i="15"/>
  <c r="F5" i="14" s="1"/>
  <c r="F5" i="31" s="1"/>
  <c r="S5" i="15"/>
  <c r="S5" i="14" s="1"/>
  <c r="K5" i="15"/>
  <c r="K5" i="14" s="1"/>
  <c r="K5" i="31" s="1"/>
  <c r="C5" i="15"/>
  <c r="C5" i="14" s="1"/>
  <c r="C5" i="31" s="1"/>
  <c r="D8" l="1"/>
  <c r="H9"/>
  <c r="C9"/>
  <c r="H8"/>
  <c r="G9"/>
  <c r="F8"/>
  <c r="C8"/>
  <c r="D9"/>
  <c r="E8"/>
  <c r="E9"/>
  <c r="G8"/>
  <c r="F9"/>
  <c r="I24" i="45"/>
  <c r="I9" i="31"/>
  <c r="I23" i="45"/>
  <c r="I8" i="31"/>
  <c r="I21" i="45"/>
  <c r="R10"/>
  <c r="Q5" i="31"/>
  <c r="Q20" i="45"/>
  <c r="L5" i="14"/>
  <c r="L5" i="31" s="1"/>
  <c r="B8" i="14"/>
  <c r="B9"/>
  <c r="M5"/>
  <c r="M5" i="31" s="1"/>
  <c r="B5" i="14"/>
  <c r="B5" i="31" s="1"/>
  <c r="J13" i="45"/>
  <c r="J14"/>
  <c r="J12"/>
  <c r="J22" s="1"/>
  <c r="J11"/>
  <c r="V4" i="46"/>
  <c r="U12" i="23"/>
  <c r="U12" i="46"/>
  <c r="R12" i="23"/>
  <c r="R12" i="46"/>
  <c r="O12" i="23"/>
  <c r="O12" i="46"/>
  <c r="G12" i="23"/>
  <c r="G12" i="46"/>
  <c r="M12" i="23"/>
  <c r="M12" i="46"/>
  <c r="D12" i="23"/>
  <c r="D12" i="46"/>
  <c r="S12" i="23"/>
  <c r="S12" i="46"/>
  <c r="N12" i="23"/>
  <c r="N12" i="46"/>
  <c r="C12" i="23"/>
  <c r="C12" i="46"/>
  <c r="E12" i="23"/>
  <c r="E12" i="46"/>
  <c r="I12" i="23"/>
  <c r="I12" i="46"/>
  <c r="K12" i="23"/>
  <c r="K12" i="46"/>
  <c r="W12" i="23"/>
  <c r="W12" i="46"/>
  <c r="T12" i="23"/>
  <c r="T12" i="46"/>
  <c r="H12" i="23"/>
  <c r="H12" i="46"/>
  <c r="B4"/>
  <c r="F12" i="23"/>
  <c r="F12" i="46"/>
  <c r="V12" i="23"/>
  <c r="V12" i="46"/>
  <c r="G4" i="31"/>
  <c r="U4"/>
  <c r="U4" i="23" s="1"/>
  <c r="A7" i="34"/>
  <c r="L4" i="31"/>
  <c r="L12" i="23"/>
  <c r="J4" i="31"/>
  <c r="J12" i="23"/>
  <c r="Q4" i="31"/>
  <c r="Q12" i="23"/>
  <c r="P4" i="31"/>
  <c r="P12" i="23"/>
  <c r="F4" i="31"/>
  <c r="H4"/>
  <c r="I4"/>
  <c r="R4"/>
  <c r="A16" i="34"/>
  <c r="A18" i="33"/>
  <c r="A62" i="29" s="1"/>
  <c r="A53" s="1"/>
  <c r="A71"/>
  <c r="A16" i="33"/>
  <c r="A60" i="29" s="1"/>
  <c r="A51" s="1"/>
  <c r="A70"/>
  <c r="A9" i="34"/>
  <c r="A80" i="29"/>
  <c r="B13" i="40"/>
  <c r="B14"/>
  <c r="B16"/>
  <c r="B15"/>
  <c r="B17"/>
  <c r="A5" i="32"/>
  <c r="A5" i="31" s="1"/>
  <c r="A8" i="32"/>
  <c r="A8" i="31" s="1"/>
  <c r="B4" i="32"/>
  <c r="A17" i="34"/>
  <c r="V4" i="23"/>
  <c r="A6" i="32"/>
  <c r="A6" i="31" s="1"/>
  <c r="B6" i="40"/>
  <c r="A78" i="29"/>
  <c r="A41"/>
  <c r="N4" i="31"/>
  <c r="A6" i="34"/>
  <c r="A10"/>
  <c r="A72" i="29"/>
  <c r="A19" i="34"/>
  <c r="A19" i="33"/>
  <c r="A63" i="29" s="1"/>
  <c r="A54" s="1"/>
  <c r="D4" i="31"/>
  <c r="M4"/>
  <c r="W4"/>
  <c r="A77" i="29"/>
  <c r="A40"/>
  <c r="A81"/>
  <c r="A44"/>
  <c r="O4" i="31"/>
  <c r="A9" i="32"/>
  <c r="A9" i="31" s="1"/>
  <c r="B9" i="40"/>
  <c r="A15" i="33"/>
  <c r="A59" i="29" s="1"/>
  <c r="A50" s="1"/>
  <c r="A68"/>
  <c r="A67" s="1"/>
  <c r="A15" i="34"/>
  <c r="T4" i="31"/>
  <c r="E4"/>
  <c r="A7" i="32"/>
  <c r="A7" i="31" s="1"/>
  <c r="B7" i="40"/>
  <c r="A79" i="29"/>
  <c r="A42"/>
  <c r="K4" i="31"/>
  <c r="A8" i="34"/>
  <c r="A8" i="33"/>
  <c r="A24" i="29" s="1"/>
  <c r="A15" s="1"/>
  <c r="Q6" i="15"/>
  <c r="Q6" i="14" s="1"/>
  <c r="Q13" s="1"/>
  <c r="I6" i="15"/>
  <c r="I6" i="14" s="1"/>
  <c r="I13" s="1"/>
  <c r="P6" i="15"/>
  <c r="P6" i="14" s="1"/>
  <c r="P13" s="1"/>
  <c r="H6" i="15"/>
  <c r="H6" i="14" s="1"/>
  <c r="W6" i="15"/>
  <c r="W6" i="14" s="1"/>
  <c r="W13" s="1"/>
  <c r="O6" i="15"/>
  <c r="O6" i="14" s="1"/>
  <c r="O13" s="1"/>
  <c r="G6" i="15"/>
  <c r="G6" i="14" s="1"/>
  <c r="T6" i="15"/>
  <c r="T6" i="14" s="1"/>
  <c r="T13" s="1"/>
  <c r="L6" i="15"/>
  <c r="L6" i="14" s="1"/>
  <c r="L13" s="1"/>
  <c r="D6" i="15"/>
  <c r="D6" i="14" s="1"/>
  <c r="S6" i="15"/>
  <c r="S6" i="14" s="1"/>
  <c r="S13" s="1"/>
  <c r="C6" i="15"/>
  <c r="C6" i="14" s="1"/>
  <c r="R6" i="15"/>
  <c r="R6" i="14" s="1"/>
  <c r="R13" s="1"/>
  <c r="B6" i="15"/>
  <c r="M6"/>
  <c r="M6" i="14" s="1"/>
  <c r="M13" s="1"/>
  <c r="K6" i="15"/>
  <c r="K6" i="14" s="1"/>
  <c r="K13" s="1"/>
  <c r="J6" i="15"/>
  <c r="J6" i="14" s="1"/>
  <c r="J13" s="1"/>
  <c r="V6" i="15"/>
  <c r="V6" i="14" s="1"/>
  <c r="V13" s="1"/>
  <c r="N6" i="15"/>
  <c r="N6" i="14" s="1"/>
  <c r="N13" s="1"/>
  <c r="U6" i="15"/>
  <c r="U6" i="14" s="1"/>
  <c r="U13" s="1"/>
  <c r="F6" i="15"/>
  <c r="F6" i="14" s="1"/>
  <c r="E6" i="15"/>
  <c r="E6" i="14" s="1"/>
  <c r="S4" i="31"/>
  <c r="R7" i="15"/>
  <c r="R7" i="14" s="1"/>
  <c r="R7" i="31" s="1"/>
  <c r="J7" i="15"/>
  <c r="J7" i="14" s="1"/>
  <c r="J7" i="31" s="1"/>
  <c r="B7" i="15"/>
  <c r="Q7"/>
  <c r="Q7" i="14" s="1"/>
  <c r="Q7" i="31" s="1"/>
  <c r="I7" i="15"/>
  <c r="I7" i="14" s="1"/>
  <c r="I7" i="31" s="1"/>
  <c r="P7" i="15"/>
  <c r="P7" i="14" s="1"/>
  <c r="P7" i="31" s="1"/>
  <c r="H7" i="15"/>
  <c r="H7" i="14" s="1"/>
  <c r="H7" i="31" s="1"/>
  <c r="U7" i="15"/>
  <c r="U7" i="14" s="1"/>
  <c r="U7" i="31" s="1"/>
  <c r="M7" i="15"/>
  <c r="M7" i="14" s="1"/>
  <c r="E7" i="15"/>
  <c r="E7" i="14" s="1"/>
  <c r="E7" i="31" s="1"/>
  <c r="T7" i="15"/>
  <c r="T7" i="14" s="1"/>
  <c r="T7" i="31" s="1"/>
  <c r="D7" i="15"/>
  <c r="D7" i="14" s="1"/>
  <c r="D7" i="31" s="1"/>
  <c r="S7" i="15"/>
  <c r="S7" i="14" s="1"/>
  <c r="S7" i="31" s="1"/>
  <c r="C7" i="15"/>
  <c r="C7" i="14" s="1"/>
  <c r="C7" i="31" s="1"/>
  <c r="F7" i="15"/>
  <c r="F7" i="14" s="1"/>
  <c r="F7" i="31" s="1"/>
  <c r="W7" i="15"/>
  <c r="W7" i="14" s="1"/>
  <c r="W7" i="31" s="1"/>
  <c r="V7" i="15"/>
  <c r="V7" i="14" s="1"/>
  <c r="V7" i="31" s="1"/>
  <c r="L7" i="15"/>
  <c r="L7" i="14" s="1"/>
  <c r="N7" i="15"/>
  <c r="N7" i="14" s="1"/>
  <c r="N7" i="31" s="1"/>
  <c r="O7" i="15"/>
  <c r="O7" i="14" s="1"/>
  <c r="O7" i="31" s="1"/>
  <c r="K7" i="15"/>
  <c r="K7" i="14" s="1"/>
  <c r="K7" i="31" s="1"/>
  <c r="G7" i="15"/>
  <c r="G7" i="14" s="1"/>
  <c r="G7" i="31" s="1"/>
  <c r="C4"/>
  <c r="L7" l="1"/>
  <c r="M7"/>
  <c r="G13" i="14"/>
  <c r="G6" i="31"/>
  <c r="I6"/>
  <c r="B8"/>
  <c r="E13" i="14"/>
  <c r="E6" i="31"/>
  <c r="C13" i="14"/>
  <c r="C6" i="31"/>
  <c r="H13" i="14"/>
  <c r="H6" i="31"/>
  <c r="D13" i="14"/>
  <c r="D6" i="31"/>
  <c r="B9"/>
  <c r="F13" i="14"/>
  <c r="F6" i="31"/>
  <c r="J24" i="45"/>
  <c r="J9" i="31"/>
  <c r="J23" i="45"/>
  <c r="J8" i="31"/>
  <c r="S10" i="45"/>
  <c r="R5" i="31"/>
  <c r="R20" i="45"/>
  <c r="J21"/>
  <c r="J6" i="31"/>
  <c r="B7" i="14"/>
  <c r="B7" i="31" s="1"/>
  <c r="B6" i="14"/>
  <c r="K11" i="45"/>
  <c r="K12"/>
  <c r="K22" s="1"/>
  <c r="K14"/>
  <c r="K9" i="31" s="1"/>
  <c r="K13" i="45"/>
  <c r="K8" i="31" s="1"/>
  <c r="W4" i="46"/>
  <c r="I4"/>
  <c r="Q4" i="23"/>
  <c r="Q4" i="32" s="1"/>
  <c r="Q4" i="46"/>
  <c r="J4"/>
  <c r="U4"/>
  <c r="E4"/>
  <c r="G4"/>
  <c r="K4"/>
  <c r="G4" i="23"/>
  <c r="G4" i="32" s="1"/>
  <c r="F4" i="46"/>
  <c r="L4"/>
  <c r="C4"/>
  <c r="S4"/>
  <c r="T4"/>
  <c r="H4"/>
  <c r="O4"/>
  <c r="M4"/>
  <c r="N4"/>
  <c r="P4"/>
  <c r="R4"/>
  <c r="D4"/>
  <c r="P4" i="23"/>
  <c r="L4"/>
  <c r="L4" i="32" s="1"/>
  <c r="I4" i="23"/>
  <c r="I4" i="32" s="1"/>
  <c r="R4" i="23"/>
  <c r="R4" i="32" s="1"/>
  <c r="J4" i="23"/>
  <c r="H4"/>
  <c r="H4" i="32" s="1"/>
  <c r="F4" i="23"/>
  <c r="F4" i="32" s="1"/>
  <c r="V4"/>
  <c r="U4"/>
  <c r="S4" i="23"/>
  <c r="W4"/>
  <c r="D4"/>
  <c r="E4"/>
  <c r="O4"/>
  <c r="C4"/>
  <c r="T4"/>
  <c r="M4"/>
  <c r="K4"/>
  <c r="N4"/>
  <c r="B6" i="31" l="1"/>
  <c r="B5" i="32" s="1"/>
  <c r="B5" i="23" s="1"/>
  <c r="B13" i="14"/>
  <c r="T10" i="45"/>
  <c r="S5" i="31"/>
  <c r="S20" i="45"/>
  <c r="K21"/>
  <c r="K6" i="31"/>
  <c r="K24" i="45"/>
  <c r="K23"/>
  <c r="P4" i="32"/>
  <c r="L13" i="45"/>
  <c r="L8" i="31" s="1"/>
  <c r="L14" i="45"/>
  <c r="L9" i="31" s="1"/>
  <c r="L12" i="45"/>
  <c r="L11"/>
  <c r="L6" i="31" s="1"/>
  <c r="J4" i="32"/>
  <c r="I16" i="23"/>
  <c r="O17"/>
  <c r="R15"/>
  <c r="N16"/>
  <c r="H17"/>
  <c r="V15"/>
  <c r="W16"/>
  <c r="P13"/>
  <c r="C15"/>
  <c r="C17" i="33" s="1"/>
  <c r="C61" i="29" s="1"/>
  <c r="M15" i="23"/>
  <c r="D7" i="32"/>
  <c r="D7" i="23" s="1"/>
  <c r="U14"/>
  <c r="S15"/>
  <c r="L15"/>
  <c r="F14"/>
  <c r="K15"/>
  <c r="J14"/>
  <c r="E15"/>
  <c r="F6" i="32"/>
  <c r="F6" i="23" s="1"/>
  <c r="G15"/>
  <c r="E4" i="32"/>
  <c r="T4"/>
  <c r="N4"/>
  <c r="C4"/>
  <c r="D4"/>
  <c r="S4"/>
  <c r="K4"/>
  <c r="O4"/>
  <c r="W4"/>
  <c r="M4"/>
  <c r="B6" l="1"/>
  <c r="B6" i="23" s="1"/>
  <c r="C6" i="40" s="1"/>
  <c r="B9" i="32"/>
  <c r="B9" i="23" s="1"/>
  <c r="B7" i="32"/>
  <c r="B7" i="23" s="1"/>
  <c r="B8" i="32"/>
  <c r="B8" i="23" s="1"/>
  <c r="U10" i="45"/>
  <c r="T5" i="31"/>
  <c r="T20" i="45"/>
  <c r="L23"/>
  <c r="L21"/>
  <c r="L22"/>
  <c r="L24"/>
  <c r="M14"/>
  <c r="M9" i="31" s="1"/>
  <c r="M11" i="45"/>
  <c r="M6" i="31" s="1"/>
  <c r="M13" i="45"/>
  <c r="M8" i="31" s="1"/>
  <c r="M12" i="45"/>
  <c r="C7" i="32"/>
  <c r="C7" i="23" s="1"/>
  <c r="C8" i="33" s="1"/>
  <c r="C24" i="29" s="1"/>
  <c r="C9" i="40"/>
  <c r="C5"/>
  <c r="C7"/>
  <c r="C8"/>
  <c r="C17" i="23"/>
  <c r="C19" i="33" s="1"/>
  <c r="C63" i="29" s="1"/>
  <c r="C16" i="23"/>
  <c r="C18" i="33" s="1"/>
  <c r="C62" i="29" s="1"/>
  <c r="C13" i="23"/>
  <c r="C15" i="33" s="1"/>
  <c r="C59" i="29" s="1"/>
  <c r="C14" i="23"/>
  <c r="C16" i="33" s="1"/>
  <c r="C60" i="29" s="1"/>
  <c r="O14" i="23"/>
  <c r="O15"/>
  <c r="R17"/>
  <c r="P14"/>
  <c r="O13"/>
  <c r="C8" i="32"/>
  <c r="C8" i="23" s="1"/>
  <c r="C5" i="32"/>
  <c r="C5" i="23" s="1"/>
  <c r="I13"/>
  <c r="I17"/>
  <c r="I15"/>
  <c r="I14"/>
  <c r="P17"/>
  <c r="N17"/>
  <c r="R14"/>
  <c r="O16"/>
  <c r="R13"/>
  <c r="C6" i="32"/>
  <c r="C6" i="23" s="1"/>
  <c r="C7" i="33" s="1"/>
  <c r="C23" i="29" s="1"/>
  <c r="R16" i="23"/>
  <c r="C9" i="32"/>
  <c r="C9" i="23" s="1"/>
  <c r="C10" i="33" s="1"/>
  <c r="C26" i="29" s="1"/>
  <c r="N13" i="23"/>
  <c r="E8" i="32"/>
  <c r="E8" i="23" s="1"/>
  <c r="D8" i="32"/>
  <c r="D8" i="23" s="1"/>
  <c r="F15"/>
  <c r="V17"/>
  <c r="H13"/>
  <c r="D9" i="32"/>
  <c r="D9" i="23" s="1"/>
  <c r="U15"/>
  <c r="N15"/>
  <c r="H16"/>
  <c r="V13"/>
  <c r="H14"/>
  <c r="N14"/>
  <c r="H15"/>
  <c r="V16"/>
  <c r="V14"/>
  <c r="P15"/>
  <c r="P16"/>
  <c r="W15"/>
  <c r="F7" i="32"/>
  <c r="F7" i="23" s="1"/>
  <c r="D5" i="32"/>
  <c r="D5" i="23" s="1"/>
  <c r="W13"/>
  <c r="F9" i="32"/>
  <c r="F9" i="23" s="1"/>
  <c r="D6" i="32"/>
  <c r="D6" i="23" s="1"/>
  <c r="W14"/>
  <c r="W17"/>
  <c r="E5" i="32"/>
  <c r="E5" i="23" s="1"/>
  <c r="K14"/>
  <c r="E7" i="32"/>
  <c r="E7" i="23" s="1"/>
  <c r="E6" i="32"/>
  <c r="E6" i="23" s="1"/>
  <c r="E9" i="32"/>
  <c r="E9" i="23" s="1"/>
  <c r="D16"/>
  <c r="D13"/>
  <c r="D17"/>
  <c r="Q17"/>
  <c r="Q13"/>
  <c r="Q16"/>
  <c r="G17"/>
  <c r="G16"/>
  <c r="G13"/>
  <c r="K17"/>
  <c r="K16"/>
  <c r="K13"/>
  <c r="G14"/>
  <c r="T13"/>
  <c r="T17"/>
  <c r="T16"/>
  <c r="L13"/>
  <c r="L17"/>
  <c r="L16"/>
  <c r="E13"/>
  <c r="E17"/>
  <c r="E16"/>
  <c r="Q15"/>
  <c r="F13"/>
  <c r="F16"/>
  <c r="F17"/>
  <c r="S13"/>
  <c r="S17"/>
  <c r="S16"/>
  <c r="D15"/>
  <c r="T15"/>
  <c r="D14"/>
  <c r="M14"/>
  <c r="F5" i="32"/>
  <c r="F5" i="23" s="1"/>
  <c r="E14"/>
  <c r="M13"/>
  <c r="M16"/>
  <c r="M17"/>
  <c r="J16"/>
  <c r="J17"/>
  <c r="J13"/>
  <c r="L14"/>
  <c r="Q14"/>
  <c r="F8" i="32"/>
  <c r="F8" i="23" s="1"/>
  <c r="S14"/>
  <c r="U13"/>
  <c r="U17"/>
  <c r="U16"/>
  <c r="J15"/>
  <c r="T14"/>
  <c r="G8" i="32"/>
  <c r="G8" i="23" s="1"/>
  <c r="G6" i="32"/>
  <c r="G6" i="23" s="1"/>
  <c r="G5" i="32"/>
  <c r="G5" i="23" s="1"/>
  <c r="G9" i="32"/>
  <c r="G9" i="23" s="1"/>
  <c r="G7" i="32"/>
  <c r="G7" i="23" s="1"/>
  <c r="V10" i="45" l="1"/>
  <c r="U5" i="31"/>
  <c r="U20" i="45"/>
  <c r="M22"/>
  <c r="M23"/>
  <c r="M21"/>
  <c r="M24"/>
  <c r="C58" i="29"/>
  <c r="N12" i="45"/>
  <c r="N13"/>
  <c r="N8" i="31" s="1"/>
  <c r="N11" i="45"/>
  <c r="N6" i="31" s="1"/>
  <c r="N14" i="45"/>
  <c r="N9" i="31" s="1"/>
  <c r="C14" i="33"/>
  <c r="C6"/>
  <c r="C22" i="29" s="1"/>
  <c r="C9" i="33"/>
  <c r="C25" i="29" s="1"/>
  <c r="H9" i="32"/>
  <c r="H9" i="23" s="1"/>
  <c r="H8" i="32"/>
  <c r="H8" i="23" s="1"/>
  <c r="H6" i="32"/>
  <c r="H6" i="23" s="1"/>
  <c r="H7" i="32"/>
  <c r="H7" i="23" s="1"/>
  <c r="H5" i="32"/>
  <c r="H5" i="23" s="1"/>
  <c r="W10" i="45" l="1"/>
  <c r="V5" i="31"/>
  <c r="V20" i="45"/>
  <c r="N24"/>
  <c r="N21"/>
  <c r="N23"/>
  <c r="N22"/>
  <c r="C21" i="29"/>
  <c r="O14" i="45"/>
  <c r="O9" i="31" s="1"/>
  <c r="O11" i="45"/>
  <c r="O6" i="31" s="1"/>
  <c r="O13" i="45"/>
  <c r="O8" i="31" s="1"/>
  <c r="O12" i="45"/>
  <c r="C5" i="33"/>
  <c r="B14" i="34"/>
  <c r="B5"/>
  <c r="I9" i="32"/>
  <c r="I9" i="23" s="1"/>
  <c r="I6" i="32"/>
  <c r="I6" i="23" s="1"/>
  <c r="I8" i="32"/>
  <c r="I8" i="23" s="1"/>
  <c r="I7" i="32"/>
  <c r="I7" i="23" s="1"/>
  <c r="I5" i="32"/>
  <c r="I5" i="23" s="1"/>
  <c r="W5" i="31" l="1"/>
  <c r="W20" i="45"/>
  <c r="O22"/>
  <c r="O23"/>
  <c r="O21"/>
  <c r="O24"/>
  <c r="P12"/>
  <c r="P13"/>
  <c r="P8" i="31" s="1"/>
  <c r="P11" i="45"/>
  <c r="P6" i="31" s="1"/>
  <c r="P14" i="45"/>
  <c r="P9" i="31" s="1"/>
  <c r="B58" i="29"/>
  <c r="B14" i="33"/>
  <c r="B5"/>
  <c r="J8" i="32"/>
  <c r="J8" i="23" s="1"/>
  <c r="J9" i="32"/>
  <c r="J9" i="23" s="1"/>
  <c r="J5" i="32"/>
  <c r="J5" i="23" s="1"/>
  <c r="J7" i="32"/>
  <c r="J7" i="23" s="1"/>
  <c r="J6" i="32"/>
  <c r="J6" i="23" s="1"/>
  <c r="P22" i="45" l="1"/>
  <c r="Q14"/>
  <c r="Q9" i="31" s="1"/>
  <c r="P24" i="45"/>
  <c r="Q11"/>
  <c r="Q6" i="31" s="1"/>
  <c r="P21" i="45"/>
  <c r="Q13"/>
  <c r="Q8" i="31" s="1"/>
  <c r="P23" i="45"/>
  <c r="Q12"/>
  <c r="B67" i="25"/>
  <c r="B50"/>
  <c r="B27"/>
  <c r="B77" i="29" s="1"/>
  <c r="B64" i="25"/>
  <c r="B46"/>
  <c r="B29"/>
  <c r="B48"/>
  <c r="B66"/>
  <c r="B30"/>
  <c r="B80" i="29" s="1"/>
  <c r="B28" i="25"/>
  <c r="B78" i="29" s="1"/>
  <c r="B65" i="25"/>
  <c r="B47"/>
  <c r="B49"/>
  <c r="B31"/>
  <c r="B81" i="29" s="1"/>
  <c r="B68" i="25"/>
  <c r="B14" i="21"/>
  <c r="B41" i="25"/>
  <c r="B22"/>
  <c r="B44" i="29" s="1"/>
  <c r="B17" s="1"/>
  <c r="B59" i="25"/>
  <c r="B56"/>
  <c r="B38"/>
  <c r="B19"/>
  <c r="B41" i="29" s="1"/>
  <c r="B14" s="1"/>
  <c r="B55" i="25"/>
  <c r="B37"/>
  <c r="B18"/>
  <c r="B40" i="29" s="1"/>
  <c r="B13" s="1"/>
  <c r="B5" i="21"/>
  <c r="B40" i="25"/>
  <c r="B58"/>
  <c r="B21"/>
  <c r="B43" i="29" s="1"/>
  <c r="B16" s="1"/>
  <c r="B20" i="25"/>
  <c r="B42" i="29" s="1"/>
  <c r="B15" s="1"/>
  <c r="B57" i="25"/>
  <c r="B39"/>
  <c r="K6" i="32"/>
  <c r="K6" i="23" s="1"/>
  <c r="K8" i="32"/>
  <c r="K8" i="23" s="1"/>
  <c r="K7" i="32"/>
  <c r="K7" i="23" s="1"/>
  <c r="K9" i="32"/>
  <c r="K9" i="23" s="1"/>
  <c r="K5" i="32"/>
  <c r="K5" i="23" s="1"/>
  <c r="R12" i="45" l="1"/>
  <c r="Q22"/>
  <c r="B79" i="29"/>
  <c r="B52" s="1"/>
  <c r="B14" i="46"/>
  <c r="B15"/>
  <c r="B16"/>
  <c r="B17"/>
  <c r="B13"/>
  <c r="B8"/>
  <c r="C16" i="40" s="1"/>
  <c r="B9" i="46"/>
  <c r="C17" i="40" s="1"/>
  <c r="B6" i="46"/>
  <c r="C14" i="40" s="1"/>
  <c r="B7" i="46"/>
  <c r="C15" i="40" s="1"/>
  <c r="B5" i="46"/>
  <c r="C13" i="40" s="1"/>
  <c r="R13" i="45"/>
  <c r="R8" i="31" s="1"/>
  <c r="Q23" i="45"/>
  <c r="Q21"/>
  <c r="R11"/>
  <c r="Q24"/>
  <c r="R14"/>
  <c r="R9" i="31" s="1"/>
  <c r="C15" i="21"/>
  <c r="C16"/>
  <c r="B54" i="29"/>
  <c r="B53"/>
  <c r="B67"/>
  <c r="C14" i="34"/>
  <c r="C19" i="21"/>
  <c r="B7" i="25"/>
  <c r="B36"/>
  <c r="B63"/>
  <c r="B45"/>
  <c r="B30" i="29"/>
  <c r="B26" i="25"/>
  <c r="B51" i="29"/>
  <c r="B50"/>
  <c r="B17" i="25"/>
  <c r="B6"/>
  <c r="B54"/>
  <c r="C5" i="34"/>
  <c r="L7" i="32"/>
  <c r="L7" i="23" s="1"/>
  <c r="L6" i="32"/>
  <c r="L6" i="23" s="1"/>
  <c r="L9" i="32"/>
  <c r="L9" i="23" s="1"/>
  <c r="L8" i="32"/>
  <c r="L8" i="23" s="1"/>
  <c r="L5" i="32"/>
  <c r="L5" i="23" s="1"/>
  <c r="R21" i="45" l="1"/>
  <c r="R6" i="31"/>
  <c r="C69" i="29"/>
  <c r="D16" i="34"/>
  <c r="C68" i="29"/>
  <c r="D15" i="34"/>
  <c r="C72" i="29"/>
  <c r="D19" i="34"/>
  <c r="S13" i="45"/>
  <c r="R23"/>
  <c r="S14"/>
  <c r="S9" i="31" s="1"/>
  <c r="S11" i="45"/>
  <c r="S6" i="31" s="1"/>
  <c r="S12" i="45"/>
  <c r="R22"/>
  <c r="B11" i="25"/>
  <c r="B76" i="29"/>
  <c r="R24" i="45"/>
  <c r="B12" i="25"/>
  <c r="B12" i="29"/>
  <c r="C17" i="21"/>
  <c r="C18"/>
  <c r="B49" i="29"/>
  <c r="C64" i="25"/>
  <c r="C46"/>
  <c r="C27"/>
  <c r="C77" i="29" s="1"/>
  <c r="C65" i="25"/>
  <c r="C28"/>
  <c r="C78" i="29" s="1"/>
  <c r="C47" i="25"/>
  <c r="C50"/>
  <c r="C68"/>
  <c r="C31"/>
  <c r="C81" i="29" s="1"/>
  <c r="B39"/>
  <c r="C6" i="21"/>
  <c r="C10"/>
  <c r="C9"/>
  <c r="C7"/>
  <c r="B8" i="25"/>
  <c r="C8" i="21"/>
  <c r="M6" i="32"/>
  <c r="M6" i="23" s="1"/>
  <c r="M7" i="32"/>
  <c r="M7" i="23" s="1"/>
  <c r="M9" i="32"/>
  <c r="M9" i="23" s="1"/>
  <c r="M5" i="32"/>
  <c r="M5" i="23" s="1"/>
  <c r="M8" i="32"/>
  <c r="M8" i="23" s="1"/>
  <c r="S23" i="45" l="1"/>
  <c r="S8" i="31"/>
  <c r="B13" i="51"/>
  <c r="B11" i="48"/>
  <c r="B13" s="1"/>
  <c r="C34" i="29"/>
  <c r="D9" i="34"/>
  <c r="C35" i="29"/>
  <c r="D10" i="34"/>
  <c r="C31" i="29"/>
  <c r="D6" i="34"/>
  <c r="C33" i="29"/>
  <c r="D8" i="34"/>
  <c r="C71" i="29"/>
  <c r="D18" i="34"/>
  <c r="C32" i="29"/>
  <c r="D7" i="34"/>
  <c r="C70" i="29"/>
  <c r="D17" i="34"/>
  <c r="T12" i="45"/>
  <c r="S22"/>
  <c r="T11"/>
  <c r="T6" i="31" s="1"/>
  <c r="S21" i="45"/>
  <c r="T14"/>
  <c r="T9" i="31" s="1"/>
  <c r="S24" i="45"/>
  <c r="T13"/>
  <c r="T8" i="31" s="1"/>
  <c r="B13" i="25"/>
  <c r="B5" i="48" s="1"/>
  <c r="C29" i="25"/>
  <c r="C79" i="29" s="1"/>
  <c r="C66" i="25"/>
  <c r="C49"/>
  <c r="C48"/>
  <c r="C30"/>
  <c r="C80" i="29" s="1"/>
  <c r="C67" i="25"/>
  <c r="C14" i="21"/>
  <c r="C51" i="29"/>
  <c r="C5" i="21"/>
  <c r="C7" i="46" s="1"/>
  <c r="C57" i="25"/>
  <c r="C39"/>
  <c r="C20"/>
  <c r="C42" i="29" s="1"/>
  <c r="C59" i="25"/>
  <c r="C22"/>
  <c r="C44" i="29" s="1"/>
  <c r="C41" i="25"/>
  <c r="C54" i="29"/>
  <c r="C56" i="25"/>
  <c r="C19"/>
  <c r="C41" i="29" s="1"/>
  <c r="C38" i="25"/>
  <c r="C21"/>
  <c r="C43" i="29" s="1"/>
  <c r="C40" i="25"/>
  <c r="C58"/>
  <c r="C55"/>
  <c r="C18"/>
  <c r="C40" i="29" s="1"/>
  <c r="C37" i="25"/>
  <c r="N5" i="32"/>
  <c r="N5" i="23" s="1"/>
  <c r="N7" i="32"/>
  <c r="N7" i="23" s="1"/>
  <c r="N9" i="32"/>
  <c r="N9" i="23" s="1"/>
  <c r="N6" i="32"/>
  <c r="N6" i="23" s="1"/>
  <c r="N8" i="32"/>
  <c r="N8" i="23" s="1"/>
  <c r="T21" i="45" l="1"/>
  <c r="B8" i="49"/>
  <c r="B10" s="1"/>
  <c r="B12" i="51" s="1"/>
  <c r="B14" s="1"/>
  <c r="B6" i="48"/>
  <c r="B7" s="1"/>
  <c r="C67" i="29"/>
  <c r="C16"/>
  <c r="C17"/>
  <c r="C14"/>
  <c r="C30"/>
  <c r="C15"/>
  <c r="U13" i="45"/>
  <c r="U8" i="31" s="1"/>
  <c r="U12" i="45"/>
  <c r="T22"/>
  <c r="U14"/>
  <c r="U9" i="31" s="1"/>
  <c r="T23" i="45"/>
  <c r="T24"/>
  <c r="U11"/>
  <c r="C76" i="29"/>
  <c r="C39"/>
  <c r="C13"/>
  <c r="C23" i="40"/>
  <c r="U23" i="45"/>
  <c r="C8" i="46"/>
  <c r="C9"/>
  <c r="C5"/>
  <c r="C6"/>
  <c r="C63" i="25"/>
  <c r="C14" i="46"/>
  <c r="C30" i="40" s="1"/>
  <c r="C13" i="46"/>
  <c r="C29" i="40" s="1"/>
  <c r="C17" i="46"/>
  <c r="C33" i="40" s="1"/>
  <c r="C16" i="46"/>
  <c r="C32" i="40" s="1"/>
  <c r="C15" i="46"/>
  <c r="C31" i="40" s="1"/>
  <c r="D15" i="33"/>
  <c r="D59" i="29" s="1"/>
  <c r="D18" i="33"/>
  <c r="D62" i="29" s="1"/>
  <c r="C52"/>
  <c r="D16" i="33"/>
  <c r="D60" i="29" s="1"/>
  <c r="D14" i="34"/>
  <c r="D17" i="33"/>
  <c r="D61" i="29" s="1"/>
  <c r="D19" i="33"/>
  <c r="D63" i="29" s="1"/>
  <c r="C26" i="25"/>
  <c r="C45"/>
  <c r="C53" i="29"/>
  <c r="C7" i="25"/>
  <c r="C36"/>
  <c r="C54"/>
  <c r="C17"/>
  <c r="C6"/>
  <c r="D6" i="33"/>
  <c r="D22" i="29" s="1"/>
  <c r="D10" i="33"/>
  <c r="D26" i="29" s="1"/>
  <c r="D9" i="33"/>
  <c r="D25" i="29" s="1"/>
  <c r="D8" i="33"/>
  <c r="D24" i="29" s="1"/>
  <c r="D7" i="33"/>
  <c r="D23" i="29" s="1"/>
  <c r="C50"/>
  <c r="D5" i="34"/>
  <c r="O5" i="32"/>
  <c r="O5" i="23" s="1"/>
  <c r="O9" i="32"/>
  <c r="O9" i="23" s="1"/>
  <c r="O7" i="32"/>
  <c r="O7" i="23" s="1"/>
  <c r="O8" i="32"/>
  <c r="O8" i="23" s="1"/>
  <c r="O6" i="32"/>
  <c r="O6" i="23" s="1"/>
  <c r="U21" i="45" l="1"/>
  <c r="U6" i="31"/>
  <c r="V14" i="45"/>
  <c r="V9" i="31" s="1"/>
  <c r="U24" i="45"/>
  <c r="V12"/>
  <c r="U22"/>
  <c r="V11"/>
  <c r="V6" i="31" s="1"/>
  <c r="V13" i="45"/>
  <c r="V8" i="31" s="1"/>
  <c r="C11" i="25"/>
  <c r="D58" i="29"/>
  <c r="D21"/>
  <c r="C24" i="40"/>
  <c r="C25"/>
  <c r="C22"/>
  <c r="C21"/>
  <c r="C12" i="25"/>
  <c r="D15" i="21"/>
  <c r="E15" i="34" s="1"/>
  <c r="D18" i="21"/>
  <c r="E18" i="34" s="1"/>
  <c r="D16" i="21"/>
  <c r="D19"/>
  <c r="D14" i="33"/>
  <c r="D17" i="21"/>
  <c r="C12" i="29"/>
  <c r="C49"/>
  <c r="D8" i="21"/>
  <c r="D9"/>
  <c r="C8" i="25"/>
  <c r="C11" i="48" s="1"/>
  <c r="C13" s="1"/>
  <c r="D10" i="21"/>
  <c r="D7"/>
  <c r="D6"/>
  <c r="D5" i="33"/>
  <c r="P5" i="32"/>
  <c r="P5" i="23" s="1"/>
  <c r="P9" i="32"/>
  <c r="P9" i="23" s="1"/>
  <c r="P8" i="32"/>
  <c r="P8" i="23" s="1"/>
  <c r="P6" i="32"/>
  <c r="P6" i="23" s="1"/>
  <c r="P7" i="32"/>
  <c r="P7" i="23" s="1"/>
  <c r="V23" i="45" l="1"/>
  <c r="V24"/>
  <c r="C6" i="48"/>
  <c r="C8" i="49"/>
  <c r="C10" s="1"/>
  <c r="C13" i="51"/>
  <c r="D34" i="29"/>
  <c r="E9" i="34"/>
  <c r="D33" i="29"/>
  <c r="E8" i="34"/>
  <c r="D31" i="29"/>
  <c r="E6" i="34"/>
  <c r="D32" i="29"/>
  <c r="E7" i="34"/>
  <c r="D35" i="29"/>
  <c r="E10" i="34"/>
  <c r="D70" i="29"/>
  <c r="E17" i="34"/>
  <c r="D72" i="29"/>
  <c r="E19" i="34"/>
  <c r="D69" i="29"/>
  <c r="E16" i="34"/>
  <c r="W11" i="45"/>
  <c r="W6" i="31" s="1"/>
  <c r="V21" i="45"/>
  <c r="W12"/>
  <c r="V22"/>
  <c r="W13"/>
  <c r="W8" i="31" s="1"/>
  <c r="W14" i="45"/>
  <c r="W9" i="31" s="1"/>
  <c r="C13" i="25"/>
  <c r="C5" i="48" s="1"/>
  <c r="C37" i="40" s="1"/>
  <c r="D49" i="25"/>
  <c r="D71" i="29"/>
  <c r="D64" i="25"/>
  <c r="D68" i="29"/>
  <c r="D27" i="25"/>
  <c r="D77" i="29" s="1"/>
  <c r="D46" i="25"/>
  <c r="D30"/>
  <c r="D80" i="29" s="1"/>
  <c r="D67" i="25"/>
  <c r="D47"/>
  <c r="D28"/>
  <c r="D78" i="29" s="1"/>
  <c r="D65" i="25"/>
  <c r="D29"/>
  <c r="D79" i="29" s="1"/>
  <c r="D31" i="25"/>
  <c r="D81" i="29" s="1"/>
  <c r="D50" i="25"/>
  <c r="D68"/>
  <c r="D66"/>
  <c r="D14" i="21"/>
  <c r="D13" i="46" s="1"/>
  <c r="D48" i="25"/>
  <c r="D56"/>
  <c r="D19"/>
  <c r="D41" i="29" s="1"/>
  <c r="D14" s="1"/>
  <c r="D38" i="25"/>
  <c r="D22"/>
  <c r="D44" i="29" s="1"/>
  <c r="D59" i="25"/>
  <c r="D41"/>
  <c r="D20"/>
  <c r="D42" i="29" s="1"/>
  <c r="D57" i="25"/>
  <c r="D39"/>
  <c r="D55"/>
  <c r="D37"/>
  <c r="D18"/>
  <c r="D40" i="29" s="1"/>
  <c r="D5" i="21"/>
  <c r="D9" i="46" s="1"/>
  <c r="D21" i="25"/>
  <c r="D43" i="29" s="1"/>
  <c r="D40" i="25"/>
  <c r="D58"/>
  <c r="Q5" i="32"/>
  <c r="Q5" i="23" s="1"/>
  <c r="Q9" i="32"/>
  <c r="Q9" i="23" s="1"/>
  <c r="Q6" i="32"/>
  <c r="Q6" i="23" s="1"/>
  <c r="Q7" i="32"/>
  <c r="Q7" i="23" s="1"/>
  <c r="Q8" i="32"/>
  <c r="Q8" i="23" s="1"/>
  <c r="W21" i="45" l="1"/>
  <c r="W24"/>
  <c r="D17" i="29"/>
  <c r="D16"/>
  <c r="D15"/>
  <c r="D30"/>
  <c r="D13"/>
  <c r="W22" i="45"/>
  <c r="W23"/>
  <c r="D67" i="29"/>
  <c r="D76"/>
  <c r="D39"/>
  <c r="D52"/>
  <c r="D5" i="46"/>
  <c r="D54" i="29"/>
  <c r="D16" i="46"/>
  <c r="D7"/>
  <c r="D53" i="29"/>
  <c r="D15" i="46"/>
  <c r="D6"/>
  <c r="D8"/>
  <c r="D51" i="29"/>
  <c r="D17" i="46"/>
  <c r="D14"/>
  <c r="E16" i="33"/>
  <c r="E60" i="29" s="1"/>
  <c r="D45" i="25"/>
  <c r="D26"/>
  <c r="D63"/>
  <c r="E17" i="33"/>
  <c r="E61" i="29" s="1"/>
  <c r="E15" i="33"/>
  <c r="E59" i="29" s="1"/>
  <c r="D7" i="25"/>
  <c r="E19" i="33"/>
  <c r="E63" i="29" s="1"/>
  <c r="E14" i="34"/>
  <c r="E18" i="33"/>
  <c r="E62" i="29" s="1"/>
  <c r="D36" i="25"/>
  <c r="D54"/>
  <c r="D17"/>
  <c r="D6"/>
  <c r="E10" i="33"/>
  <c r="E26" i="29" s="1"/>
  <c r="E9" i="33"/>
  <c r="E25" i="29" s="1"/>
  <c r="E8" i="33"/>
  <c r="E24" i="29" s="1"/>
  <c r="E7" i="33"/>
  <c r="E23" i="29" s="1"/>
  <c r="E5" i="34"/>
  <c r="E6" i="33"/>
  <c r="E22" i="29" s="1"/>
  <c r="D50"/>
  <c r="R5" i="32"/>
  <c r="R5" i="23" s="1"/>
  <c r="R8" i="32"/>
  <c r="R8" i="23" s="1"/>
  <c r="R7" i="32"/>
  <c r="R7" i="23" s="1"/>
  <c r="R9" i="32"/>
  <c r="R9" i="23" s="1"/>
  <c r="R6" i="32"/>
  <c r="R6" i="23" s="1"/>
  <c r="C7" i="48" l="1"/>
  <c r="C39" i="40" s="1"/>
  <c r="C38"/>
  <c r="C12" i="51"/>
  <c r="C14" s="1"/>
  <c r="D11" i="25"/>
  <c r="E58" i="29"/>
  <c r="E21"/>
  <c r="D12" i="25"/>
  <c r="D12" i="29"/>
  <c r="D49"/>
  <c r="E16" i="21"/>
  <c r="E17"/>
  <c r="E15"/>
  <c r="E19"/>
  <c r="E18"/>
  <c r="E14" i="33"/>
  <c r="E6" i="21"/>
  <c r="D8" i="25"/>
  <c r="D11" i="48" s="1"/>
  <c r="D13" s="1"/>
  <c r="E9" i="21"/>
  <c r="E5" i="33"/>
  <c r="E7" i="21"/>
  <c r="E10"/>
  <c r="E8"/>
  <c r="S9" i="32"/>
  <c r="S9" i="23" s="1"/>
  <c r="S7" i="32"/>
  <c r="S7" i="23" s="1"/>
  <c r="S5" i="32"/>
  <c r="S5" i="23" s="1"/>
  <c r="S8" i="32"/>
  <c r="S8" i="23" s="1"/>
  <c r="S6" i="32"/>
  <c r="S6" i="23" s="1"/>
  <c r="D8" i="49" l="1"/>
  <c r="D10" s="1"/>
  <c r="D6" i="48"/>
  <c r="D13" i="51"/>
  <c r="E71" i="29"/>
  <c r="F18" i="34"/>
  <c r="E72" i="29"/>
  <c r="F19" i="34"/>
  <c r="E68" i="29"/>
  <c r="F15" i="34"/>
  <c r="E70" i="29"/>
  <c r="F17" i="34"/>
  <c r="E69" i="29"/>
  <c r="F16" i="34"/>
  <c r="E31" i="29"/>
  <c r="F6" i="34"/>
  <c r="E33" i="29"/>
  <c r="F8" i="34"/>
  <c r="E35" i="29"/>
  <c r="F10" i="34"/>
  <c r="E32" i="29"/>
  <c r="F7" i="34"/>
  <c r="E34" i="29"/>
  <c r="F9" i="34"/>
  <c r="D13" i="25"/>
  <c r="D5" i="48" s="1"/>
  <c r="E47" i="25"/>
  <c r="E65"/>
  <c r="E28"/>
  <c r="E78" i="29" s="1"/>
  <c r="E29" i="25"/>
  <c r="E79" i="29" s="1"/>
  <c r="E30" i="25"/>
  <c r="E80" i="29" s="1"/>
  <c r="E48" i="25"/>
  <c r="E66"/>
  <c r="E49"/>
  <c r="E67"/>
  <c r="E64"/>
  <c r="E46"/>
  <c r="E27"/>
  <c r="E77" i="29" s="1"/>
  <c r="E31" i="25"/>
  <c r="E81" i="29" s="1"/>
  <c r="E50" i="25"/>
  <c r="E68"/>
  <c r="E14" i="21"/>
  <c r="E16" i="46" s="1"/>
  <c r="E37" i="25"/>
  <c r="E18"/>
  <c r="E40" i="29" s="1"/>
  <c r="E55" i="25"/>
  <c r="E58"/>
  <c r="E5" i="21"/>
  <c r="E5" i="46" s="1"/>
  <c r="E21" i="25"/>
  <c r="E43" i="29" s="1"/>
  <c r="E40" i="25"/>
  <c r="E22"/>
  <c r="E44" i="29" s="1"/>
  <c r="E41" i="25"/>
  <c r="E59"/>
  <c r="E38"/>
  <c r="E56"/>
  <c r="E19"/>
  <c r="E41" i="29" s="1"/>
  <c r="E20" i="25"/>
  <c r="E42" i="29" s="1"/>
  <c r="E39" i="25"/>
  <c r="E57"/>
  <c r="T8" i="32"/>
  <c r="T8" i="23" s="1"/>
  <c r="T5" i="32"/>
  <c r="T5" i="23" s="1"/>
  <c r="T6" i="32"/>
  <c r="T6" i="23" s="1"/>
  <c r="T9" i="32"/>
  <c r="T9" i="23" s="1"/>
  <c r="T7" i="32"/>
  <c r="T7" i="23" s="1"/>
  <c r="D7" i="48" l="1"/>
  <c r="E13" i="29"/>
  <c r="E16"/>
  <c r="E67"/>
  <c r="E17"/>
  <c r="E30"/>
  <c r="E14"/>
  <c r="E15"/>
  <c r="E76"/>
  <c r="E39"/>
  <c r="E54"/>
  <c r="E6" i="46"/>
  <c r="E53" i="29"/>
  <c r="E9" i="46"/>
  <c r="E7"/>
  <c r="E52" i="29"/>
  <c r="E8" i="46"/>
  <c r="E14"/>
  <c r="E51" i="29"/>
  <c r="E15" i="46"/>
  <c r="E13"/>
  <c r="E17"/>
  <c r="E45" i="25"/>
  <c r="F18" i="33"/>
  <c r="F62" i="29" s="1"/>
  <c r="F19" i="33"/>
  <c r="F63" i="29" s="1"/>
  <c r="F17" i="33"/>
  <c r="F61" i="29" s="1"/>
  <c r="E63" i="25"/>
  <c r="F16" i="33"/>
  <c r="F60" i="29" s="1"/>
  <c r="F14" i="34"/>
  <c r="F15" i="33"/>
  <c r="F59" i="29" s="1"/>
  <c r="E7" i="25"/>
  <c r="E26"/>
  <c r="F10" i="33"/>
  <c r="F26" i="29" s="1"/>
  <c r="E36" i="25"/>
  <c r="E54"/>
  <c r="F6" i="33"/>
  <c r="F22" i="29" s="1"/>
  <c r="F5" i="34"/>
  <c r="E17" i="25"/>
  <c r="F9" i="33"/>
  <c r="F25" i="29" s="1"/>
  <c r="F7" i="33"/>
  <c r="F23" i="29" s="1"/>
  <c r="F8" i="33"/>
  <c r="F24" i="29" s="1"/>
  <c r="E6" i="25"/>
  <c r="E50" i="29"/>
  <c r="U9" i="32"/>
  <c r="U9" i="23" s="1"/>
  <c r="U6" i="32"/>
  <c r="U6" i="23" s="1"/>
  <c r="U8" i="32"/>
  <c r="U8" i="23" s="1"/>
  <c r="U5" i="32"/>
  <c r="U5" i="23" s="1"/>
  <c r="U7" i="32"/>
  <c r="U7" i="23" s="1"/>
  <c r="D12" i="51" l="1"/>
  <c r="D14" s="1"/>
  <c r="E11" i="25"/>
  <c r="F58" i="29"/>
  <c r="F21"/>
  <c r="E12" i="25"/>
  <c r="E49" i="29"/>
  <c r="E12"/>
  <c r="F18" i="21"/>
  <c r="G18" i="34" s="1"/>
  <c r="F16" i="21"/>
  <c r="F15"/>
  <c r="F19"/>
  <c r="F17"/>
  <c r="F14" i="33"/>
  <c r="F10" i="21"/>
  <c r="F9"/>
  <c r="F5" i="33"/>
  <c r="F8" i="21"/>
  <c r="E8" i="25"/>
  <c r="E11" i="48" s="1"/>
  <c r="E13" s="1"/>
  <c r="F7" i="21"/>
  <c r="F6"/>
  <c r="V6" i="32"/>
  <c r="V6" i="23" s="1"/>
  <c r="V8" i="32"/>
  <c r="V8" i="23" s="1"/>
  <c r="V7" i="32"/>
  <c r="V7" i="23" s="1"/>
  <c r="V5" i="32"/>
  <c r="V5" i="23" s="1"/>
  <c r="V9" i="32"/>
  <c r="V9" i="23" s="1"/>
  <c r="E6" i="48" l="1"/>
  <c r="E8" i="49"/>
  <c r="E10" s="1"/>
  <c r="E13" i="51"/>
  <c r="F70" i="29"/>
  <c r="G17" i="34"/>
  <c r="F72" i="29"/>
  <c r="G19" i="34"/>
  <c r="F68" i="29"/>
  <c r="G15" i="34"/>
  <c r="F69" i="29"/>
  <c r="G16" i="34"/>
  <c r="F35" i="29"/>
  <c r="G10" i="34"/>
  <c r="F31" i="29"/>
  <c r="G6" i="34"/>
  <c r="F32" i="29"/>
  <c r="G7" i="34"/>
  <c r="F33" i="29"/>
  <c r="G8" i="34"/>
  <c r="F34" i="29"/>
  <c r="G9" i="34"/>
  <c r="E13" i="25"/>
  <c r="E5" i="48" s="1"/>
  <c r="F49" i="25"/>
  <c r="F71" i="29"/>
  <c r="F67" i="25"/>
  <c r="F28"/>
  <c r="F78" i="29" s="1"/>
  <c r="F47" i="25"/>
  <c r="F30"/>
  <c r="F80" i="29" s="1"/>
  <c r="F65" i="25"/>
  <c r="F27"/>
  <c r="F77" i="29" s="1"/>
  <c r="F64" i="25"/>
  <c r="F46"/>
  <c r="F50"/>
  <c r="F14" i="21"/>
  <c r="F15" i="46" s="1"/>
  <c r="F31" i="25"/>
  <c r="F81" i="29" s="1"/>
  <c r="F68" i="25"/>
  <c r="F29"/>
  <c r="F79" i="29" s="1"/>
  <c r="F48" i="25"/>
  <c r="F66"/>
  <c r="F41"/>
  <c r="F22"/>
  <c r="F44" i="29" s="1"/>
  <c r="F59" i="25"/>
  <c r="F38"/>
  <c r="F58"/>
  <c r="F21"/>
  <c r="F43" i="29" s="1"/>
  <c r="F40" i="25"/>
  <c r="F56"/>
  <c r="F18"/>
  <c r="F40" i="29" s="1"/>
  <c r="F55" i="25"/>
  <c r="F5" i="21"/>
  <c r="F5" i="46" s="1"/>
  <c r="F37" i="25"/>
  <c r="F19"/>
  <c r="F41" i="29" s="1"/>
  <c r="F20" i="25"/>
  <c r="F42" i="29" s="1"/>
  <c r="F39" i="25"/>
  <c r="F57"/>
  <c r="W9" i="32"/>
  <c r="W9" i="23" s="1"/>
  <c r="W8" i="32"/>
  <c r="W8" i="23" s="1"/>
  <c r="W6" i="32"/>
  <c r="W6" i="23" s="1"/>
  <c r="W7" i="32"/>
  <c r="W7" i="23" s="1"/>
  <c r="W5" i="32"/>
  <c r="W5" i="23" s="1"/>
  <c r="E7" i="48" l="1"/>
  <c r="F16" i="29"/>
  <c r="E12" i="51"/>
  <c r="E14" s="1"/>
  <c r="F17" i="29"/>
  <c r="F15"/>
  <c r="F30"/>
  <c r="F67"/>
  <c r="F14"/>
  <c r="F76"/>
  <c r="F39"/>
  <c r="F13"/>
  <c r="F14" i="46"/>
  <c r="F51" i="29"/>
  <c r="F17" i="46"/>
  <c r="F7"/>
  <c r="F53" i="29"/>
  <c r="F9" i="46"/>
  <c r="F6"/>
  <c r="F52" i="29"/>
  <c r="F13" i="46"/>
  <c r="F8"/>
  <c r="F54" i="29"/>
  <c r="F16" i="46"/>
  <c r="G14" i="34"/>
  <c r="F63" i="25"/>
  <c r="F45"/>
  <c r="G17" i="33"/>
  <c r="G61" i="29" s="1"/>
  <c r="G16" i="33"/>
  <c r="G60" i="29" s="1"/>
  <c r="G18" i="33"/>
  <c r="G62" i="29" s="1"/>
  <c r="G19" i="33"/>
  <c r="G63" i="29" s="1"/>
  <c r="G15" i="33"/>
  <c r="G59" i="29" s="1"/>
  <c r="F26" i="25"/>
  <c r="F7"/>
  <c r="G5" i="34"/>
  <c r="D7" i="40"/>
  <c r="D6"/>
  <c r="E5"/>
  <c r="D8"/>
  <c r="D9"/>
  <c r="D5"/>
  <c r="E8"/>
  <c r="E7"/>
  <c r="E6"/>
  <c r="E9"/>
  <c r="G9" i="33"/>
  <c r="G25" i="29" s="1"/>
  <c r="F36" i="25"/>
  <c r="G8" i="33"/>
  <c r="G24" i="29" s="1"/>
  <c r="G6" i="33"/>
  <c r="G22" i="29" s="1"/>
  <c r="F17" i="25"/>
  <c r="G7" i="33"/>
  <c r="G23" i="29" s="1"/>
  <c r="G10" i="33"/>
  <c r="G26" i="29" s="1"/>
  <c r="F6" i="25"/>
  <c r="F54"/>
  <c r="F50" i="29"/>
  <c r="F11" i="25" l="1"/>
  <c r="G58" i="29"/>
  <c r="G21"/>
  <c r="F12" i="25"/>
  <c r="F49" i="29"/>
  <c r="G16" i="21"/>
  <c r="G17"/>
  <c r="G19"/>
  <c r="G14" i="33"/>
  <c r="G18" i="21"/>
  <c r="G15"/>
  <c r="F8" i="40"/>
  <c r="F9"/>
  <c r="F12" i="29"/>
  <c r="F5" i="40"/>
  <c r="F6"/>
  <c r="F7"/>
  <c r="G6" i="21"/>
  <c r="G8"/>
  <c r="G9"/>
  <c r="G10"/>
  <c r="G7"/>
  <c r="F8" i="25"/>
  <c r="F11" i="48" s="1"/>
  <c r="F13" s="1"/>
  <c r="G5" i="33"/>
  <c r="F6" i="48" l="1"/>
  <c r="F8" i="49"/>
  <c r="F10" s="1"/>
  <c r="F13" i="51"/>
  <c r="G68" i="29"/>
  <c r="H15" i="34"/>
  <c r="G71" i="29"/>
  <c r="H18" i="34"/>
  <c r="G72" i="29"/>
  <c r="H19" i="34"/>
  <c r="G70" i="29"/>
  <c r="H17" i="34"/>
  <c r="G69" i="29"/>
  <c r="H16" i="34"/>
  <c r="G35" i="29"/>
  <c r="H10" i="34"/>
  <c r="G34" i="29"/>
  <c r="H9" i="34"/>
  <c r="G33" i="29"/>
  <c r="H8" i="34"/>
  <c r="G31" i="29"/>
  <c r="H6" i="34"/>
  <c r="G32" i="29"/>
  <c r="H7" i="34"/>
  <c r="F13" i="25"/>
  <c r="F5" i="48" s="1"/>
  <c r="G21" i="25"/>
  <c r="G43" i="29" s="1"/>
  <c r="G28" i="25"/>
  <c r="G78" i="29" s="1"/>
  <c r="G47" i="25"/>
  <c r="G65"/>
  <c r="G67"/>
  <c r="G29"/>
  <c r="G79" i="29" s="1"/>
  <c r="G66" i="25"/>
  <c r="G30"/>
  <c r="G80" i="29" s="1"/>
  <c r="G49" i="25"/>
  <c r="G48"/>
  <c r="G68"/>
  <c r="G64"/>
  <c r="G31"/>
  <c r="G81" i="29" s="1"/>
  <c r="G50" i="25"/>
  <c r="G27"/>
  <c r="G77" i="29" s="1"/>
  <c r="G46" i="25"/>
  <c r="G14" i="21"/>
  <c r="G17" i="46" s="1"/>
  <c r="G40" i="25"/>
  <c r="G58"/>
  <c r="G39"/>
  <c r="G18"/>
  <c r="G40" i="29" s="1"/>
  <c r="G22" i="25"/>
  <c r="G44" i="29" s="1"/>
  <c r="G37" i="25"/>
  <c r="G57"/>
  <c r="G20"/>
  <c r="G42" i="29" s="1"/>
  <c r="G55" i="25"/>
  <c r="G56"/>
  <c r="G41"/>
  <c r="G59"/>
  <c r="G5" i="21"/>
  <c r="G7" i="46" s="1"/>
  <c r="G19" i="25"/>
  <c r="G41" i="29" s="1"/>
  <c r="G38" i="25"/>
  <c r="F7" i="48" l="1"/>
  <c r="G67" i="29"/>
  <c r="G17"/>
  <c r="G16"/>
  <c r="G30"/>
  <c r="G13"/>
  <c r="G15"/>
  <c r="G76"/>
  <c r="G39"/>
  <c r="G14"/>
  <c r="G53"/>
  <c r="G16" i="46"/>
  <c r="G6"/>
  <c r="G15"/>
  <c r="G9"/>
  <c r="G13"/>
  <c r="G5"/>
  <c r="G54" i="29"/>
  <c r="G52"/>
  <c r="G8" i="46"/>
  <c r="G51" i="29"/>
  <c r="G14" i="46"/>
  <c r="G63" i="25"/>
  <c r="G26"/>
  <c r="H14" i="34"/>
  <c r="G45" i="25"/>
  <c r="H16" i="33"/>
  <c r="H60" i="29" s="1"/>
  <c r="H15" i="33"/>
  <c r="H19"/>
  <c r="H63" i="29" s="1"/>
  <c r="H18" i="33"/>
  <c r="H62" i="29" s="1"/>
  <c r="G7" i="25"/>
  <c r="H17" i="33"/>
  <c r="H61" i="29" s="1"/>
  <c r="G54" i="25"/>
  <c r="H9" i="33"/>
  <c r="H25" i="29" s="1"/>
  <c r="H5" i="34"/>
  <c r="G36" i="25"/>
  <c r="G17"/>
  <c r="G6"/>
  <c r="H8" i="33"/>
  <c r="H24" i="29" s="1"/>
  <c r="H7" i="33"/>
  <c r="H23" i="29" s="1"/>
  <c r="H6" i="33"/>
  <c r="H22" i="29" s="1"/>
  <c r="H10" i="33"/>
  <c r="H26" i="29" s="1"/>
  <c r="G50"/>
  <c r="F12" i="51" l="1"/>
  <c r="F14" s="1"/>
  <c r="G11" i="25"/>
  <c r="H15" i="21"/>
  <c r="H59" i="29"/>
  <c r="H58" s="1"/>
  <c r="H21"/>
  <c r="G12" i="25"/>
  <c r="G49" i="29"/>
  <c r="H16" i="21"/>
  <c r="H19"/>
  <c r="H17"/>
  <c r="H14" i="33"/>
  <c r="H18" i="21"/>
  <c r="G12" i="29"/>
  <c r="H9" i="21"/>
  <c r="H5" i="33"/>
  <c r="H6" i="21"/>
  <c r="H10"/>
  <c r="H7"/>
  <c r="H8"/>
  <c r="G8" i="25"/>
  <c r="G11" i="48" s="1"/>
  <c r="G13" s="1"/>
  <c r="G13" i="51" l="1"/>
  <c r="G6" i="48"/>
  <c r="G8" i="49"/>
  <c r="G10" s="1"/>
  <c r="H71" i="29"/>
  <c r="I18" i="34"/>
  <c r="H68" i="29"/>
  <c r="I15" i="34"/>
  <c r="H70" i="29"/>
  <c r="I17" i="34"/>
  <c r="H72" i="29"/>
  <c r="I19" i="34"/>
  <c r="H69" i="29"/>
  <c r="I16" i="34"/>
  <c r="H34" i="29"/>
  <c r="I9" i="34"/>
  <c r="H33" i="29"/>
  <c r="I8" i="34"/>
  <c r="H32" i="29"/>
  <c r="I7" i="34"/>
  <c r="H35" i="29"/>
  <c r="I10" i="34"/>
  <c r="H31" i="29"/>
  <c r="I6" i="34"/>
  <c r="G13" i="25"/>
  <c r="G5" i="48" s="1"/>
  <c r="H64" i="25"/>
  <c r="H27"/>
  <c r="H77" i="29" s="1"/>
  <c r="H46" i="25"/>
  <c r="H21"/>
  <c r="H43" i="29" s="1"/>
  <c r="H47" i="25"/>
  <c r="H65"/>
  <c r="H28"/>
  <c r="H78" i="29" s="1"/>
  <c r="H49" i="25"/>
  <c r="H30"/>
  <c r="H80" i="29" s="1"/>
  <c r="H67" i="25"/>
  <c r="H29"/>
  <c r="H79" i="29" s="1"/>
  <c r="H66" i="25"/>
  <c r="H50"/>
  <c r="H68"/>
  <c r="H31"/>
  <c r="H81" i="29" s="1"/>
  <c r="H14" i="21"/>
  <c r="H13" i="46" s="1"/>
  <c r="D29" i="40" s="1"/>
  <c r="H48" i="25"/>
  <c r="H40"/>
  <c r="H58"/>
  <c r="H39"/>
  <c r="H56"/>
  <c r="H41"/>
  <c r="H18"/>
  <c r="H40" i="29" s="1"/>
  <c r="H55" i="25"/>
  <c r="H38"/>
  <c r="H19"/>
  <c r="H41" i="29" s="1"/>
  <c r="H20" i="25"/>
  <c r="H42" i="29" s="1"/>
  <c r="H5" i="21"/>
  <c r="H7" i="46" s="1"/>
  <c r="H57" i="25"/>
  <c r="H22"/>
  <c r="H44" i="29" s="1"/>
  <c r="H59" i="25"/>
  <c r="H37"/>
  <c r="G7" i="48" l="1"/>
  <c r="H16" i="29"/>
  <c r="H30"/>
  <c r="H50"/>
  <c r="H14"/>
  <c r="H67"/>
  <c r="H15"/>
  <c r="H17"/>
  <c r="H76"/>
  <c r="H39"/>
  <c r="H13"/>
  <c r="H14" i="46"/>
  <c r="D30" i="40" s="1"/>
  <c r="D23"/>
  <c r="H5" i="46"/>
  <c r="H54" i="29"/>
  <c r="H53"/>
  <c r="H16" i="46"/>
  <c r="D32" i="40" s="1"/>
  <c r="H8" i="46"/>
  <c r="H6"/>
  <c r="H17"/>
  <c r="D33" i="40" s="1"/>
  <c r="H9" i="46"/>
  <c r="H52" i="29"/>
  <c r="H15" i="46"/>
  <c r="D31" i="40" s="1"/>
  <c r="H45" i="25"/>
  <c r="I19" i="33"/>
  <c r="I63" i="29" s="1"/>
  <c r="H26" i="25"/>
  <c r="H63"/>
  <c r="H7"/>
  <c r="I17" i="33"/>
  <c r="I61" i="29" s="1"/>
  <c r="I15" i="33"/>
  <c r="I59" i="29" s="1"/>
  <c r="I16" i="33"/>
  <c r="I60" i="29" s="1"/>
  <c r="I14" i="34"/>
  <c r="I18" i="33"/>
  <c r="I62" i="29" s="1"/>
  <c r="H36" i="25"/>
  <c r="H17"/>
  <c r="H54"/>
  <c r="I7" i="33"/>
  <c r="I23" i="29" s="1"/>
  <c r="H6" i="25"/>
  <c r="I5" i="34"/>
  <c r="I10" i="33"/>
  <c r="I26" i="29" s="1"/>
  <c r="I9" i="33"/>
  <c r="I25" i="29" s="1"/>
  <c r="I8" i="33"/>
  <c r="I24" i="29" s="1"/>
  <c r="I6" i="33"/>
  <c r="I22" i="29" s="1"/>
  <c r="H51"/>
  <c r="G12" i="51" l="1"/>
  <c r="G14" s="1"/>
  <c r="H11" i="25"/>
  <c r="I58" i="29"/>
  <c r="I21"/>
  <c r="D25" i="40"/>
  <c r="D22"/>
  <c r="D24"/>
  <c r="D21"/>
  <c r="H12" i="25"/>
  <c r="H49" i="29"/>
  <c r="I16" i="21"/>
  <c r="I19"/>
  <c r="I17"/>
  <c r="I15"/>
  <c r="I18"/>
  <c r="I14" i="33"/>
  <c r="H12" i="29"/>
  <c r="I10" i="21"/>
  <c r="I7"/>
  <c r="H8" i="25"/>
  <c r="H11" i="48" s="1"/>
  <c r="H13" s="1"/>
  <c r="I6" i="21"/>
  <c r="I5" i="33"/>
  <c r="I9" i="21"/>
  <c r="I8"/>
  <c r="H6" i="48" l="1"/>
  <c r="H8" i="49"/>
  <c r="H10" s="1"/>
  <c r="H13" i="51"/>
  <c r="I70" i="29"/>
  <c r="J17" i="34"/>
  <c r="I72" i="29"/>
  <c r="J19" i="34"/>
  <c r="I69" i="29"/>
  <c r="J16" i="34"/>
  <c r="I71" i="29"/>
  <c r="J18" i="34"/>
  <c r="I68" i="29"/>
  <c r="J15" i="34"/>
  <c r="I31" i="29"/>
  <c r="J6" i="34"/>
  <c r="I32" i="29"/>
  <c r="J7" i="34"/>
  <c r="I35" i="29"/>
  <c r="J10" i="34"/>
  <c r="I33" i="29"/>
  <c r="J8" i="34"/>
  <c r="I34" i="29"/>
  <c r="J9" i="34"/>
  <c r="H13" i="25"/>
  <c r="H5" i="48" s="1"/>
  <c r="D37" i="40" s="1"/>
  <c r="I68" i="25"/>
  <c r="I65"/>
  <c r="I47"/>
  <c r="I28"/>
  <c r="I78" i="29" s="1"/>
  <c r="I46" i="25"/>
  <c r="I50"/>
  <c r="I48"/>
  <c r="I31"/>
  <c r="I81" i="29" s="1"/>
  <c r="I29" i="25"/>
  <c r="I79" i="29" s="1"/>
  <c r="I67" i="25"/>
  <c r="I66"/>
  <c r="I30"/>
  <c r="I80" i="29" s="1"/>
  <c r="I49" i="25"/>
  <c r="I27"/>
  <c r="I77" i="29" s="1"/>
  <c r="I64" i="25"/>
  <c r="I14" i="21"/>
  <c r="I17" i="46" s="1"/>
  <c r="I38" i="25"/>
  <c r="I55"/>
  <c r="I22"/>
  <c r="I44" i="29" s="1"/>
  <c r="I59" i="25"/>
  <c r="I41"/>
  <c r="I37"/>
  <c r="I56"/>
  <c r="I19"/>
  <c r="I41" i="29" s="1"/>
  <c r="I18" i="25"/>
  <c r="I40" i="29" s="1"/>
  <c r="I21" i="25"/>
  <c r="I43" i="29" s="1"/>
  <c r="I5" i="21"/>
  <c r="I6" i="46" s="1"/>
  <c r="I40" i="25"/>
  <c r="I58"/>
  <c r="I57"/>
  <c r="I39"/>
  <c r="I20"/>
  <c r="I42" i="29" s="1"/>
  <c r="H12" i="51" l="1"/>
  <c r="H14" s="1"/>
  <c r="I16" i="29"/>
  <c r="I13"/>
  <c r="I30"/>
  <c r="I67"/>
  <c r="I14"/>
  <c r="I15"/>
  <c r="I76"/>
  <c r="I39"/>
  <c r="I17"/>
  <c r="I14" i="46"/>
  <c r="I52" i="29"/>
  <c r="I53"/>
  <c r="I8" i="46"/>
  <c r="I5"/>
  <c r="I7"/>
  <c r="I9"/>
  <c r="I51" i="29"/>
  <c r="I13" i="46"/>
  <c r="I16"/>
  <c r="I15"/>
  <c r="J18" i="33"/>
  <c r="J62" i="29" s="1"/>
  <c r="I45" i="25"/>
  <c r="I54" i="29"/>
  <c r="J16" i="33"/>
  <c r="J60" i="29" s="1"/>
  <c r="J14" i="34"/>
  <c r="J15" i="33"/>
  <c r="J59" i="29" s="1"/>
  <c r="I63" i="25"/>
  <c r="I26"/>
  <c r="I7"/>
  <c r="J17" i="33"/>
  <c r="J61" i="29" s="1"/>
  <c r="J19" i="33"/>
  <c r="J63" i="29" s="1"/>
  <c r="J10" i="33"/>
  <c r="J26" i="29" s="1"/>
  <c r="J6" i="33"/>
  <c r="J22" i="29" s="1"/>
  <c r="J8" i="33"/>
  <c r="J24" i="29" s="1"/>
  <c r="J5" i="34"/>
  <c r="I36" i="25"/>
  <c r="I54"/>
  <c r="I6"/>
  <c r="I17"/>
  <c r="J7" i="33"/>
  <c r="J23" i="29" s="1"/>
  <c r="J9" i="33"/>
  <c r="J25" i="29" s="1"/>
  <c r="I50"/>
  <c r="H7" i="48" l="1"/>
  <c r="D39" i="40" s="1"/>
  <c r="D38"/>
  <c r="I11" i="25"/>
  <c r="J58" i="29"/>
  <c r="J21"/>
  <c r="I12" i="25"/>
  <c r="J19" i="21"/>
  <c r="I49" i="29"/>
  <c r="J18" i="21"/>
  <c r="J16"/>
  <c r="J15"/>
  <c r="J17"/>
  <c r="J14" i="33"/>
  <c r="I12" i="29"/>
  <c r="J10" i="21"/>
  <c r="J6"/>
  <c r="J9"/>
  <c r="J8"/>
  <c r="I8" i="25"/>
  <c r="I11" i="48" s="1"/>
  <c r="I13" s="1"/>
  <c r="J7" i="21"/>
  <c r="J5" i="33"/>
  <c r="I6" i="48" l="1"/>
  <c r="I8" i="49"/>
  <c r="I10" s="1"/>
  <c r="I13" i="51"/>
  <c r="J70" i="29"/>
  <c r="K17" i="34"/>
  <c r="J68" i="29"/>
  <c r="K15" i="34"/>
  <c r="J69" i="29"/>
  <c r="K16" i="34"/>
  <c r="J71" i="29"/>
  <c r="K18" i="34"/>
  <c r="J72" i="29"/>
  <c r="K19" i="34"/>
  <c r="J32" i="29"/>
  <c r="K7" i="34"/>
  <c r="J33" i="29"/>
  <c r="K8" i="34"/>
  <c r="J34" i="29"/>
  <c r="K9" i="34"/>
  <c r="J31" i="29"/>
  <c r="K6" i="34"/>
  <c r="J35" i="29"/>
  <c r="K10" i="34"/>
  <c r="I13" i="25"/>
  <c r="I5" i="48" s="1"/>
  <c r="J31" i="25"/>
  <c r="J81" i="29" s="1"/>
  <c r="J50" i="25"/>
  <c r="J68"/>
  <c r="J28"/>
  <c r="J78" i="29" s="1"/>
  <c r="J47" i="25"/>
  <c r="J65"/>
  <c r="J67"/>
  <c r="J30"/>
  <c r="J80" i="29" s="1"/>
  <c r="J49" i="25"/>
  <c r="J46"/>
  <c r="J64"/>
  <c r="J27"/>
  <c r="J77" i="29" s="1"/>
  <c r="J48" i="25"/>
  <c r="J29"/>
  <c r="J79" i="29" s="1"/>
  <c r="J14" i="21"/>
  <c r="J16" i="46" s="1"/>
  <c r="J66" i="25"/>
  <c r="J41"/>
  <c r="J22"/>
  <c r="J44" i="29" s="1"/>
  <c r="J59" i="25"/>
  <c r="J20"/>
  <c r="J42" i="29" s="1"/>
  <c r="J58" i="25"/>
  <c r="J19"/>
  <c r="J41" i="29" s="1"/>
  <c r="J21" i="25"/>
  <c r="J43" i="29" s="1"/>
  <c r="J55" i="25"/>
  <c r="J40"/>
  <c r="J18"/>
  <c r="J40" i="29" s="1"/>
  <c r="J37" i="25"/>
  <c r="J39"/>
  <c r="J57"/>
  <c r="J56"/>
  <c r="J5" i="21"/>
  <c r="J7" i="46" s="1"/>
  <c r="J38" i="25"/>
  <c r="I7" i="48" l="1"/>
  <c r="I12" i="51"/>
  <c r="I14" s="1"/>
  <c r="J30" i="29"/>
  <c r="J14"/>
  <c r="J17"/>
  <c r="J67"/>
  <c r="J16"/>
  <c r="J15"/>
  <c r="J76"/>
  <c r="J39"/>
  <c r="J13"/>
  <c r="J51"/>
  <c r="J53"/>
  <c r="J6" i="46"/>
  <c r="J52" i="29"/>
  <c r="J54"/>
  <c r="J9" i="46"/>
  <c r="J14"/>
  <c r="J5"/>
  <c r="J8"/>
  <c r="J13"/>
  <c r="J17"/>
  <c r="J15"/>
  <c r="K19" i="33"/>
  <c r="K63" i="29" s="1"/>
  <c r="J63" i="25"/>
  <c r="J45"/>
  <c r="K17" i="33"/>
  <c r="K61" i="29" s="1"/>
  <c r="K14" i="34"/>
  <c r="K18" i="33"/>
  <c r="K62" i="29" s="1"/>
  <c r="K15" i="33"/>
  <c r="K59" i="29" s="1"/>
  <c r="K16" i="33"/>
  <c r="K60" i="29" s="1"/>
  <c r="J26" i="25"/>
  <c r="J7"/>
  <c r="J6"/>
  <c r="K7" i="33"/>
  <c r="K23" i="29" s="1"/>
  <c r="J36" i="25"/>
  <c r="J17"/>
  <c r="J54"/>
  <c r="K10" i="33"/>
  <c r="K26" i="29" s="1"/>
  <c r="K5" i="34"/>
  <c r="K8" i="33"/>
  <c r="K24" i="29" s="1"/>
  <c r="K6" i="33"/>
  <c r="K22" i="29" s="1"/>
  <c r="K9" i="33"/>
  <c r="K25" i="29" s="1"/>
  <c r="J50"/>
  <c r="J11" i="25" l="1"/>
  <c r="K58" i="29"/>
  <c r="K21"/>
  <c r="J12" i="25"/>
  <c r="J49" i="29"/>
  <c r="K19" i="21"/>
  <c r="L19" i="34" s="1"/>
  <c r="K15" i="21"/>
  <c r="K17"/>
  <c r="K14" i="33"/>
  <c r="K16" i="21"/>
  <c r="K18"/>
  <c r="J8" i="25"/>
  <c r="J11" i="48" s="1"/>
  <c r="J13" s="1"/>
  <c r="K6" i="21"/>
  <c r="K8"/>
  <c r="K7"/>
  <c r="J12" i="29"/>
  <c r="K10" i="21"/>
  <c r="K5" i="33"/>
  <c r="K9" i="21"/>
  <c r="J6" i="48" l="1"/>
  <c r="J8" i="49"/>
  <c r="J10" s="1"/>
  <c r="J13" i="51"/>
  <c r="K71" i="29"/>
  <c r="L18" i="34"/>
  <c r="K69" i="29"/>
  <c r="L16" i="34"/>
  <c r="K70" i="29"/>
  <c r="L17" i="34"/>
  <c r="K68" i="29"/>
  <c r="L15" i="34"/>
  <c r="K34" i="29"/>
  <c r="L9" i="34"/>
  <c r="K35" i="29"/>
  <c r="L10" i="34"/>
  <c r="K32" i="29"/>
  <c r="L7" i="34"/>
  <c r="K33" i="29"/>
  <c r="L8" i="34"/>
  <c r="K31" i="29"/>
  <c r="L6" i="34"/>
  <c r="J13" i="25"/>
  <c r="J5" i="48" s="1"/>
  <c r="K31" i="25"/>
  <c r="K81" i="29" s="1"/>
  <c r="K72"/>
  <c r="K59" i="25"/>
  <c r="K68"/>
  <c r="K29"/>
  <c r="K79" i="29" s="1"/>
  <c r="K46" i="25"/>
  <c r="K27"/>
  <c r="K77" i="29" s="1"/>
  <c r="K50" i="25"/>
  <c r="K67"/>
  <c r="K30"/>
  <c r="K66"/>
  <c r="K14" i="21"/>
  <c r="K16" i="46" s="1"/>
  <c r="K28" i="25"/>
  <c r="K78" i="29" s="1"/>
  <c r="K64" i="25"/>
  <c r="K48"/>
  <c r="K65"/>
  <c r="K47"/>
  <c r="K49"/>
  <c r="K57"/>
  <c r="K56"/>
  <c r="K38"/>
  <c r="K19"/>
  <c r="K41" i="29" s="1"/>
  <c r="K39" i="25"/>
  <c r="K18"/>
  <c r="K40" i="29" s="1"/>
  <c r="K55" i="25"/>
  <c r="K37"/>
  <c r="K22"/>
  <c r="K44" i="29" s="1"/>
  <c r="K20" i="25"/>
  <c r="K42" i="29" s="1"/>
  <c r="K41" i="25"/>
  <c r="K5" i="21"/>
  <c r="K5" i="46" s="1"/>
  <c r="K21" i="25"/>
  <c r="K43" i="29" s="1"/>
  <c r="K58" i="25"/>
  <c r="K40"/>
  <c r="K13" i="29" l="1"/>
  <c r="K16"/>
  <c r="J7" i="48"/>
  <c r="J12" i="51"/>
  <c r="J14" s="1"/>
  <c r="K30" i="29"/>
  <c r="K15"/>
  <c r="K17"/>
  <c r="K67"/>
  <c r="K14"/>
  <c r="K54"/>
  <c r="K80"/>
  <c r="K76" s="1"/>
  <c r="K39"/>
  <c r="K51"/>
  <c r="K13" i="46"/>
  <c r="K6"/>
  <c r="K7"/>
  <c r="K9"/>
  <c r="K15"/>
  <c r="K8"/>
  <c r="K14"/>
  <c r="K17"/>
  <c r="K52" i="29"/>
  <c r="K26" i="25"/>
  <c r="K63"/>
  <c r="K7"/>
  <c r="L15" i="33"/>
  <c r="L59" i="29" s="1"/>
  <c r="L14" i="34"/>
  <c r="L19" i="33"/>
  <c r="L63" i="29" s="1"/>
  <c r="L17" i="33"/>
  <c r="L61" i="29" s="1"/>
  <c r="K45" i="25"/>
  <c r="L16" i="33"/>
  <c r="L60" i="29" s="1"/>
  <c r="L18" i="33"/>
  <c r="L62" i="29" s="1"/>
  <c r="K54" i="25"/>
  <c r="L6" i="33"/>
  <c r="L22" i="29" s="1"/>
  <c r="K36" i="25"/>
  <c r="L8" i="33"/>
  <c r="L24" i="29" s="1"/>
  <c r="L5" i="34"/>
  <c r="L10" i="33"/>
  <c r="L26" i="29" s="1"/>
  <c r="L9" i="33"/>
  <c r="L25" i="29" s="1"/>
  <c r="K6" i="25"/>
  <c r="K17"/>
  <c r="L7" i="33"/>
  <c r="L23" i="29" s="1"/>
  <c r="K11" i="25" l="1"/>
  <c r="K53" i="29"/>
  <c r="L58"/>
  <c r="L21"/>
  <c r="K12" i="25"/>
  <c r="L18" i="21"/>
  <c r="L15"/>
  <c r="L16"/>
  <c r="K50" i="29"/>
  <c r="L17" i="21"/>
  <c r="L19"/>
  <c r="L14" i="33"/>
  <c r="K12" i="29"/>
  <c r="L8" i="21"/>
  <c r="L9"/>
  <c r="L6"/>
  <c r="L5" i="33"/>
  <c r="K8" i="25"/>
  <c r="K11" i="48" s="1"/>
  <c r="K13" s="1"/>
  <c r="L10" i="21"/>
  <c r="L7"/>
  <c r="K8" i="49" l="1"/>
  <c r="K10" s="1"/>
  <c r="K6" i="48"/>
  <c r="L69" i="29"/>
  <c r="M16" i="34"/>
  <c r="L68" i="29"/>
  <c r="M15" i="34"/>
  <c r="L71" i="29"/>
  <c r="M18" i="34"/>
  <c r="L72" i="29"/>
  <c r="M19" i="34"/>
  <c r="L70" i="29"/>
  <c r="M17" i="34"/>
  <c r="L34" i="29"/>
  <c r="M9" i="34"/>
  <c r="L32" i="29"/>
  <c r="M7" i="34"/>
  <c r="L35" i="29"/>
  <c r="M10" i="34"/>
  <c r="L31" i="29"/>
  <c r="M6" i="34"/>
  <c r="L33" i="29"/>
  <c r="M8" i="34"/>
  <c r="K13" i="25"/>
  <c r="K5" i="48" s="1"/>
  <c r="K49" i="29"/>
  <c r="K13" i="51" s="1"/>
  <c r="L49" i="25"/>
  <c r="L67"/>
  <c r="L30"/>
  <c r="L80" i="29" s="1"/>
  <c r="L64" i="25"/>
  <c r="L65"/>
  <c r="L28"/>
  <c r="L78" i="29" s="1"/>
  <c r="L27" i="25"/>
  <c r="L77" i="29" s="1"/>
  <c r="L46" i="25"/>
  <c r="L47"/>
  <c r="L50"/>
  <c r="L29"/>
  <c r="L79" i="29" s="1"/>
  <c r="L14" i="21"/>
  <c r="L15" i="46" s="1"/>
  <c r="L48" i="25"/>
  <c r="L68"/>
  <c r="L66"/>
  <c r="L31"/>
  <c r="L81" i="29" s="1"/>
  <c r="L55" i="25"/>
  <c r="L57"/>
  <c r="L37"/>
  <c r="L39"/>
  <c r="L20"/>
  <c r="L42" i="29" s="1"/>
  <c r="L15" s="1"/>
  <c r="L18" i="25"/>
  <c r="L40" i="29" s="1"/>
  <c r="L21" i="25"/>
  <c r="L43" i="29" s="1"/>
  <c r="L58" i="25"/>
  <c r="L40"/>
  <c r="L56"/>
  <c r="L59"/>
  <c r="L41"/>
  <c r="L22"/>
  <c r="L44" i="29" s="1"/>
  <c r="L5" i="21"/>
  <c r="L7" i="46" s="1"/>
  <c r="L38" i="25"/>
  <c r="L19"/>
  <c r="L41" i="29" s="1"/>
  <c r="L17" l="1"/>
  <c r="K7" i="48"/>
  <c r="K12" i="51"/>
  <c r="K14" s="1"/>
  <c r="L16" i="29"/>
  <c r="L67"/>
  <c r="L14"/>
  <c r="L30"/>
  <c r="L76"/>
  <c r="L39"/>
  <c r="L13"/>
  <c r="L52"/>
  <c r="L13" i="46"/>
  <c r="L9"/>
  <c r="L6"/>
  <c r="L17"/>
  <c r="L5"/>
  <c r="L8"/>
  <c r="L53" i="29"/>
  <c r="L54"/>
  <c r="L14" i="46"/>
  <c r="L16"/>
  <c r="L51" i="29"/>
  <c r="L45" i="25"/>
  <c r="L63"/>
  <c r="M17" i="33"/>
  <c r="M61" i="29" s="1"/>
  <c r="M16" i="33"/>
  <c r="M60" i="29" s="1"/>
  <c r="L7" i="25"/>
  <c r="M19" i="33"/>
  <c r="M63" i="29" s="1"/>
  <c r="M14" i="34"/>
  <c r="M18" i="33"/>
  <c r="M62" i="29" s="1"/>
  <c r="M15" i="33"/>
  <c r="M59" i="29" s="1"/>
  <c r="L26" i="25"/>
  <c r="M5" i="34"/>
  <c r="L54" i="25"/>
  <c r="M8" i="33"/>
  <c r="M24" i="29" s="1"/>
  <c r="M10" i="33"/>
  <c r="M26" i="29" s="1"/>
  <c r="M9" i="33"/>
  <c r="M25" i="29" s="1"/>
  <c r="M7" i="33"/>
  <c r="M23" i="29" s="1"/>
  <c r="M6" i="33"/>
  <c r="M22" i="29" s="1"/>
  <c r="L36" i="25"/>
  <c r="L6"/>
  <c r="L17"/>
  <c r="L50" i="29"/>
  <c r="L11" i="25" l="1"/>
  <c r="M58" i="29"/>
  <c r="M21"/>
  <c r="L12" i="25"/>
  <c r="L49" i="29"/>
  <c r="M16" i="21"/>
  <c r="N16" i="34" s="1"/>
  <c r="M19" i="21"/>
  <c r="M17"/>
  <c r="M18"/>
  <c r="M15"/>
  <c r="M14" i="33"/>
  <c r="L12" i="29"/>
  <c r="M9" i="21"/>
  <c r="M10"/>
  <c r="M6"/>
  <c r="M7"/>
  <c r="M8"/>
  <c r="M5" i="33"/>
  <c r="L8" i="25"/>
  <c r="L11" i="48" s="1"/>
  <c r="L13" s="1"/>
  <c r="L8" i="49" l="1"/>
  <c r="L10" s="1"/>
  <c r="L6" i="48"/>
  <c r="L13" i="51"/>
  <c r="M68" i="29"/>
  <c r="N15" i="34"/>
  <c r="M71" i="29"/>
  <c r="N18" i="34"/>
  <c r="M70" i="29"/>
  <c r="N17" i="34"/>
  <c r="M72" i="29"/>
  <c r="N19" i="34"/>
  <c r="M34" i="29"/>
  <c r="N9" i="34"/>
  <c r="M33" i="29"/>
  <c r="N8" i="34"/>
  <c r="M32" i="29"/>
  <c r="N7" i="34"/>
  <c r="M31" i="29"/>
  <c r="N6" i="34"/>
  <c r="M35" i="29"/>
  <c r="N10" i="34"/>
  <c r="L13" i="25"/>
  <c r="L5" i="48" s="1"/>
  <c r="M47" i="25"/>
  <c r="M69" i="29"/>
  <c r="M65" i="25"/>
  <c r="M28"/>
  <c r="M78" i="29" s="1"/>
  <c r="M27" i="25"/>
  <c r="M77" i="29" s="1"/>
  <c r="M68" i="25"/>
  <c r="M31"/>
  <c r="M50"/>
  <c r="M67"/>
  <c r="M30"/>
  <c r="M80" i="29" s="1"/>
  <c r="M66" i="25"/>
  <c r="M29"/>
  <c r="M48"/>
  <c r="M22"/>
  <c r="M44" i="29" s="1"/>
  <c r="M17" s="1"/>
  <c r="M46" i="25"/>
  <c r="M49"/>
  <c r="M14" i="21"/>
  <c r="M15" i="46" s="1"/>
  <c r="E31" i="40" s="1"/>
  <c r="M64" i="25"/>
  <c r="M59"/>
  <c r="M41"/>
  <c r="M40"/>
  <c r="M58"/>
  <c r="M39"/>
  <c r="M5" i="21"/>
  <c r="M6" i="46" s="1"/>
  <c r="M57" i="25"/>
  <c r="M20"/>
  <c r="M42" i="29" s="1"/>
  <c r="M21" i="25"/>
  <c r="M43" i="29" s="1"/>
  <c r="M37" i="25"/>
  <c r="M55"/>
  <c r="M18"/>
  <c r="M40" i="29" s="1"/>
  <c r="M19" i="25"/>
  <c r="M41" i="29" s="1"/>
  <c r="M56" i="25"/>
  <c r="M38"/>
  <c r="L7" i="48" l="1"/>
  <c r="L12" i="51"/>
  <c r="L14" s="1"/>
  <c r="M15" i="29"/>
  <c r="M16"/>
  <c r="M67"/>
  <c r="M30"/>
  <c r="M14"/>
  <c r="M13"/>
  <c r="M81"/>
  <c r="M54" s="1"/>
  <c r="M79"/>
  <c r="M52" s="1"/>
  <c r="M39"/>
  <c r="E22" i="40"/>
  <c r="M51" i="29"/>
  <c r="M5" i="46"/>
  <c r="M8"/>
  <c r="M9"/>
  <c r="M7"/>
  <c r="M16"/>
  <c r="E32" i="40" s="1"/>
  <c r="M13" i="46"/>
  <c r="E29" i="40" s="1"/>
  <c r="M17" i="46"/>
  <c r="E33" i="40" s="1"/>
  <c r="M53" i="29"/>
  <c r="M14" i="46"/>
  <c r="E30" i="40" s="1"/>
  <c r="N17" i="33"/>
  <c r="N61" i="29" s="1"/>
  <c r="M45" i="25"/>
  <c r="N15" i="33"/>
  <c r="N59" i="29" s="1"/>
  <c r="N18" i="33"/>
  <c r="N62" i="29" s="1"/>
  <c r="M63" i="25"/>
  <c r="M26"/>
  <c r="N14" i="34"/>
  <c r="M7" i="25"/>
  <c r="N16" i="33"/>
  <c r="N60" i="29" s="1"/>
  <c r="N19" i="33"/>
  <c r="N63" i="29" s="1"/>
  <c r="N6" i="33"/>
  <c r="M36" i="25"/>
  <c r="N10" i="33"/>
  <c r="N26" i="29" s="1"/>
  <c r="N7" i="33"/>
  <c r="N23" i="29" s="1"/>
  <c r="M54" i="25"/>
  <c r="N8" i="33"/>
  <c r="N24" i="29" s="1"/>
  <c r="N5" i="34"/>
  <c r="N9" i="33"/>
  <c r="N25" i="29" s="1"/>
  <c r="M6" i="25"/>
  <c r="M17"/>
  <c r="M50" i="29"/>
  <c r="M11" i="25" l="1"/>
  <c r="N17" i="21"/>
  <c r="M76" i="29"/>
  <c r="N58"/>
  <c r="N6" i="21"/>
  <c r="N22" i="29"/>
  <c r="M49"/>
  <c r="E23" i="40"/>
  <c r="E25"/>
  <c r="E24"/>
  <c r="E21"/>
  <c r="M12" i="25"/>
  <c r="M12" i="29"/>
  <c r="N19" i="21"/>
  <c r="N15"/>
  <c r="N16"/>
  <c r="M8" i="25"/>
  <c r="M11" i="48" s="1"/>
  <c r="M13" s="1"/>
  <c r="N18" i="21"/>
  <c r="N14" i="33"/>
  <c r="N10" i="21"/>
  <c r="N7"/>
  <c r="N8"/>
  <c r="N9"/>
  <c r="N5" i="33"/>
  <c r="M13" i="51" l="1"/>
  <c r="M6" i="48"/>
  <c r="M8" i="49"/>
  <c r="M10" s="1"/>
  <c r="N72" i="29"/>
  <c r="O19" i="34"/>
  <c r="N71" i="29"/>
  <c r="O18" i="34"/>
  <c r="N70" i="29"/>
  <c r="O17" i="34"/>
  <c r="N69" i="29"/>
  <c r="O16" i="34"/>
  <c r="N68" i="29"/>
  <c r="O15" i="34"/>
  <c r="N33" i="29"/>
  <c r="O8" i="34"/>
  <c r="N32" i="29"/>
  <c r="O7" i="34"/>
  <c r="N31" i="29"/>
  <c r="O6" i="34"/>
  <c r="N35" i="29"/>
  <c r="O10" i="34"/>
  <c r="N34" i="29"/>
  <c r="O9" i="34"/>
  <c r="M13" i="25"/>
  <c r="M5" i="48" s="1"/>
  <c r="E37" i="40" s="1"/>
  <c r="N55" i="25"/>
  <c r="N18"/>
  <c r="N40" i="29" s="1"/>
  <c r="N48" i="25"/>
  <c r="N66"/>
  <c r="N29"/>
  <c r="N79" i="29" s="1"/>
  <c r="N37" i="25"/>
  <c r="N21" i="29"/>
  <c r="N67" i="25"/>
  <c r="N27"/>
  <c r="N77" i="29" s="1"/>
  <c r="N49" i="25"/>
  <c r="N64"/>
  <c r="N46"/>
  <c r="N50"/>
  <c r="N31"/>
  <c r="N81" i="29" s="1"/>
  <c r="N68" i="25"/>
  <c r="N47"/>
  <c r="N65"/>
  <c r="N14" i="21"/>
  <c r="N15" i="46" s="1"/>
  <c r="N28" i="25"/>
  <c r="N78" i="29" s="1"/>
  <c r="N30" i="25"/>
  <c r="N80" i="29" s="1"/>
  <c r="N22" i="25"/>
  <c r="N44" i="29" s="1"/>
  <c r="N59" i="25"/>
  <c r="N41"/>
  <c r="N56"/>
  <c r="N19"/>
  <c r="N41" i="29" s="1"/>
  <c r="N38" i="25"/>
  <c r="N21"/>
  <c r="N43" i="29" s="1"/>
  <c r="N39" i="25"/>
  <c r="N20"/>
  <c r="N42" i="29" s="1"/>
  <c r="N5" i="21"/>
  <c r="N5" i="46" s="1"/>
  <c r="N57" i="25"/>
  <c r="N40"/>
  <c r="N58"/>
  <c r="M12" i="51" l="1"/>
  <c r="M14" s="1"/>
  <c r="N52" i="29"/>
  <c r="N16"/>
  <c r="N15"/>
  <c r="N30"/>
  <c r="N67"/>
  <c r="N14"/>
  <c r="N17"/>
  <c r="N13"/>
  <c r="N76"/>
  <c r="N39"/>
  <c r="N54"/>
  <c r="N6" i="46"/>
  <c r="N7"/>
  <c r="N8"/>
  <c r="N51" i="29"/>
  <c r="N9" i="46"/>
  <c r="N17"/>
  <c r="N16"/>
  <c r="N53" i="29"/>
  <c r="N14" i="46"/>
  <c r="N13"/>
  <c r="O17" i="33"/>
  <c r="O61" i="29" s="1"/>
  <c r="N7" i="25"/>
  <c r="N45"/>
  <c r="N63"/>
  <c r="O15" i="33"/>
  <c r="O59" i="29" s="1"/>
  <c r="N26" i="25"/>
  <c r="O19" i="33"/>
  <c r="O63" i="29" s="1"/>
  <c r="O14" i="34"/>
  <c r="O16" i="33"/>
  <c r="O60" i="29" s="1"/>
  <c r="O18" i="33"/>
  <c r="O62" i="29" s="1"/>
  <c r="O7" i="33"/>
  <c r="O23" i="29" s="1"/>
  <c r="N54" i="25"/>
  <c r="N36"/>
  <c r="O5" i="34"/>
  <c r="N17" i="25"/>
  <c r="O8" i="33"/>
  <c r="O24" i="29" s="1"/>
  <c r="N6" i="25"/>
  <c r="O6" i="33"/>
  <c r="O22" i="29" s="1"/>
  <c r="O10" i="33"/>
  <c r="O26" i="29" s="1"/>
  <c r="O9" i="33"/>
  <c r="O25" i="29" s="1"/>
  <c r="N50"/>
  <c r="M7" i="48" l="1"/>
  <c r="E39" i="40" s="1"/>
  <c r="E38"/>
  <c r="N11" i="25"/>
  <c r="O17" i="21"/>
  <c r="O58" i="29"/>
  <c r="O21"/>
  <c r="N12" i="25"/>
  <c r="N12" i="29"/>
  <c r="N49"/>
  <c r="O18" i="21"/>
  <c r="P18" i="34" s="1"/>
  <c r="O16" i="21"/>
  <c r="O19"/>
  <c r="O15"/>
  <c r="O14" i="33"/>
  <c r="O8" i="21"/>
  <c r="O7"/>
  <c r="O10"/>
  <c r="N8" i="25"/>
  <c r="N11" i="48" s="1"/>
  <c r="N13" s="1"/>
  <c r="O6" i="21"/>
  <c r="O5" i="33"/>
  <c r="O9" i="21"/>
  <c r="N6" i="48" l="1"/>
  <c r="N8" i="49"/>
  <c r="N10" s="1"/>
  <c r="N13" i="51"/>
  <c r="O68" i="29"/>
  <c r="P15" i="34"/>
  <c r="O72" i="29"/>
  <c r="P19" i="34"/>
  <c r="O70" i="29"/>
  <c r="P17" i="34"/>
  <c r="O69" i="29"/>
  <c r="P16" i="34"/>
  <c r="O33" i="29"/>
  <c r="P8" i="34"/>
  <c r="O34" i="29"/>
  <c r="P9" i="34"/>
  <c r="O31" i="29"/>
  <c r="P6" i="34"/>
  <c r="O35" i="29"/>
  <c r="P10" i="34"/>
  <c r="O32" i="29"/>
  <c r="P7" i="34"/>
  <c r="N13" i="25"/>
  <c r="N5" i="48" s="1"/>
  <c r="O29" i="25"/>
  <c r="O79" i="29" s="1"/>
  <c r="O48" i="25"/>
  <c r="O66"/>
  <c r="O30"/>
  <c r="O80" i="29" s="1"/>
  <c r="O71"/>
  <c r="O49" i="25"/>
  <c r="O67"/>
  <c r="O31"/>
  <c r="O81" i="29" s="1"/>
  <c r="O68" i="25"/>
  <c r="O50"/>
  <c r="O46"/>
  <c r="O65"/>
  <c r="O47"/>
  <c r="O28"/>
  <c r="O78" i="29" s="1"/>
  <c r="O14" i="21"/>
  <c r="O15" i="46" s="1"/>
  <c r="O27" i="25"/>
  <c r="O77" i="29" s="1"/>
  <c r="O64" i="25"/>
  <c r="O39"/>
  <c r="O20"/>
  <c r="O42" i="29" s="1"/>
  <c r="O57" i="25"/>
  <c r="O38"/>
  <c r="O56"/>
  <c r="O19"/>
  <c r="O41" i="29" s="1"/>
  <c r="O55" i="25"/>
  <c r="O37"/>
  <c r="O22"/>
  <c r="O44" i="29" s="1"/>
  <c r="O59" i="25"/>
  <c r="O41"/>
  <c r="O18"/>
  <c r="O40" i="29" s="1"/>
  <c r="O58" i="25"/>
  <c r="O40"/>
  <c r="O5" i="21"/>
  <c r="O5" i="46" s="1"/>
  <c r="O21" i="25"/>
  <c r="O43" i="29" s="1"/>
  <c r="O16" l="1"/>
  <c r="N7" i="48"/>
  <c r="N12" i="51"/>
  <c r="N14" s="1"/>
  <c r="O52" i="29"/>
  <c r="O15"/>
  <c r="O30"/>
  <c r="O13"/>
  <c r="O67"/>
  <c r="O17"/>
  <c r="O53"/>
  <c r="O76"/>
  <c r="O39"/>
  <c r="O14"/>
  <c r="O54"/>
  <c r="O51"/>
  <c r="O13" i="46"/>
  <c r="O6"/>
  <c r="O9"/>
  <c r="O7"/>
  <c r="O8"/>
  <c r="O16"/>
  <c r="O17"/>
  <c r="O14"/>
  <c r="P17" i="33"/>
  <c r="P61" i="29" s="1"/>
  <c r="O45" i="25"/>
  <c r="O63"/>
  <c r="O26"/>
  <c r="O7"/>
  <c r="P18" i="33"/>
  <c r="P62" i="29" s="1"/>
  <c r="P14" i="34"/>
  <c r="P15" i="33"/>
  <c r="P59" i="29" s="1"/>
  <c r="P16" i="33"/>
  <c r="P60" i="29" s="1"/>
  <c r="P19" i="33"/>
  <c r="P63" i="29" s="1"/>
  <c r="P7" i="33"/>
  <c r="P23" i="29" s="1"/>
  <c r="P9" i="33"/>
  <c r="P25" i="29" s="1"/>
  <c r="P6" i="33"/>
  <c r="P22" i="29" s="1"/>
  <c r="O36" i="25"/>
  <c r="O54"/>
  <c r="P5" i="34"/>
  <c r="O17" i="25"/>
  <c r="P10" i="33"/>
  <c r="P26" i="29" s="1"/>
  <c r="O6" i="25"/>
  <c r="P8" i="33"/>
  <c r="P24" i="29" s="1"/>
  <c r="O50"/>
  <c r="O11" i="25" l="1"/>
  <c r="P58" i="29"/>
  <c r="P21"/>
  <c r="O12" i="25"/>
  <c r="O49" i="29"/>
  <c r="O12"/>
  <c r="P17" i="21"/>
  <c r="Q17" i="34" s="1"/>
  <c r="P18" i="21"/>
  <c r="P14" i="33"/>
  <c r="P16" i="21"/>
  <c r="P19"/>
  <c r="P15"/>
  <c r="P7"/>
  <c r="P9"/>
  <c r="P6"/>
  <c r="P10"/>
  <c r="P8"/>
  <c r="O8" i="25"/>
  <c r="O11" i="48" s="1"/>
  <c r="O13" s="1"/>
  <c r="P5" i="33"/>
  <c r="O6" i="48" l="1"/>
  <c r="O8" i="49"/>
  <c r="O10" s="1"/>
  <c r="O13" i="51"/>
  <c r="P68" i="29"/>
  <c r="Q15" i="34"/>
  <c r="P69" i="29"/>
  <c r="Q16" i="34"/>
  <c r="P71" i="29"/>
  <c r="Q18" i="34"/>
  <c r="P72" i="29"/>
  <c r="Q19" i="34"/>
  <c r="P34" i="29"/>
  <c r="Q9" i="34"/>
  <c r="P32" i="29"/>
  <c r="Q7" i="34"/>
  <c r="P33" i="29"/>
  <c r="Q8" i="34"/>
  <c r="P35" i="29"/>
  <c r="Q10" i="34"/>
  <c r="P31" i="29"/>
  <c r="Q6" i="34"/>
  <c r="O13" i="25"/>
  <c r="O5" i="48" s="1"/>
  <c r="P29" i="25"/>
  <c r="P79" i="29" s="1"/>
  <c r="P70"/>
  <c r="P48" i="25"/>
  <c r="P66"/>
  <c r="P67"/>
  <c r="P49"/>
  <c r="P30"/>
  <c r="P80" i="29" s="1"/>
  <c r="P31" i="25"/>
  <c r="P81" i="29" s="1"/>
  <c r="P64" i="25"/>
  <c r="P46"/>
  <c r="P68"/>
  <c r="P47"/>
  <c r="P14" i="21"/>
  <c r="P14" i="46" s="1"/>
  <c r="P65" i="25"/>
  <c r="P28"/>
  <c r="P78" i="29" s="1"/>
  <c r="P27" i="25"/>
  <c r="P77" i="29" s="1"/>
  <c r="P50" i="25"/>
  <c r="P19"/>
  <c r="P41" i="29" s="1"/>
  <c r="P56" i="25"/>
  <c r="P38"/>
  <c r="P20"/>
  <c r="P42" i="29" s="1"/>
  <c r="P57" i="25"/>
  <c r="P59"/>
  <c r="P41"/>
  <c r="P40"/>
  <c r="P58"/>
  <c r="P21"/>
  <c r="P43" i="29" s="1"/>
  <c r="P22" i="25"/>
  <c r="P44" i="29" s="1"/>
  <c r="P39" i="25"/>
  <c r="P55"/>
  <c r="P5" i="21"/>
  <c r="P6" i="46" s="1"/>
  <c r="P18" i="25"/>
  <c r="P40" i="29" s="1"/>
  <c r="P37" i="25"/>
  <c r="P13" i="29" l="1"/>
  <c r="O7" i="48"/>
  <c r="O12" i="51"/>
  <c r="O14" s="1"/>
  <c r="P16" i="29"/>
  <c r="P30"/>
  <c r="P17"/>
  <c r="P14"/>
  <c r="P67"/>
  <c r="P15"/>
  <c r="P52"/>
  <c r="P76"/>
  <c r="P39"/>
  <c r="P8" i="46"/>
  <c r="P5"/>
  <c r="P9"/>
  <c r="P51" i="29"/>
  <c r="P17" i="46"/>
  <c r="P54" i="29"/>
  <c r="P7" i="46"/>
  <c r="P53" i="29"/>
  <c r="P16" i="46"/>
  <c r="P13"/>
  <c r="P15"/>
  <c r="P7" i="25"/>
  <c r="P63"/>
  <c r="Q18" i="33"/>
  <c r="Q62" i="29" s="1"/>
  <c r="Q15" i="33"/>
  <c r="Q59" i="29" s="1"/>
  <c r="P45" i="25"/>
  <c r="Q14" i="34"/>
  <c r="Q17" i="33"/>
  <c r="Q61" i="29" s="1"/>
  <c r="P26" i="25"/>
  <c r="Q16" i="33"/>
  <c r="Q60" i="29" s="1"/>
  <c r="Q19" i="33"/>
  <c r="Q63" i="29" s="1"/>
  <c r="Q7" i="33"/>
  <c r="Q23" i="29" s="1"/>
  <c r="Q10" i="33"/>
  <c r="Q26" i="29" s="1"/>
  <c r="P36" i="25"/>
  <c r="Q9" i="33"/>
  <c r="Q25" i="29" s="1"/>
  <c r="Q6" i="33"/>
  <c r="Q22" i="29" s="1"/>
  <c r="Q5" i="34"/>
  <c r="Q8" i="33"/>
  <c r="Q24" i="29" s="1"/>
  <c r="P6" i="25"/>
  <c r="P54"/>
  <c r="P17"/>
  <c r="P50" i="29"/>
  <c r="P11" i="25" l="1"/>
  <c r="Q58" i="29"/>
  <c r="Q21"/>
  <c r="P12" i="25"/>
  <c r="P12" i="29"/>
  <c r="P49"/>
  <c r="Q15" i="21"/>
  <c r="R15" i="34" s="1"/>
  <c r="Q18" i="21"/>
  <c r="R18" i="34" s="1"/>
  <c r="Q14" i="33"/>
  <c r="Q16" i="21"/>
  <c r="Q17"/>
  <c r="Q19"/>
  <c r="Q7"/>
  <c r="Q6"/>
  <c r="Q10"/>
  <c r="Q9"/>
  <c r="Q5" i="33"/>
  <c r="P8" i="25"/>
  <c r="P11" i="48" s="1"/>
  <c r="P13" s="1"/>
  <c r="Q8" i="21"/>
  <c r="P13" i="51" l="1"/>
  <c r="P6" i="48"/>
  <c r="P8" i="49"/>
  <c r="P10" s="1"/>
  <c r="Q72" i="29"/>
  <c r="R19" i="34"/>
  <c r="Q70" i="29"/>
  <c r="R17" i="34"/>
  <c r="Q69" i="29"/>
  <c r="R16" i="34"/>
  <c r="Q32" i="29"/>
  <c r="R7" i="34"/>
  <c r="Q35" i="29"/>
  <c r="R10" i="34"/>
  <c r="Q33" i="29"/>
  <c r="R8" i="34"/>
  <c r="Q34" i="29"/>
  <c r="R9" i="34"/>
  <c r="Q31" i="29"/>
  <c r="R6" i="34"/>
  <c r="P13" i="25"/>
  <c r="P5" i="48" s="1"/>
  <c r="Q49" i="25"/>
  <c r="Q71" i="29"/>
  <c r="Q46" i="25"/>
  <c r="Q68" i="29"/>
  <c r="Q64" i="25"/>
  <c r="Q67"/>
  <c r="Q27"/>
  <c r="Q77" i="29" s="1"/>
  <c r="Q30" i="25"/>
  <c r="Q80" i="29" s="1"/>
  <c r="Q65" i="25"/>
  <c r="Q28"/>
  <c r="Q78" i="29" s="1"/>
  <c r="Q47" i="25"/>
  <c r="Q50"/>
  <c r="Q31"/>
  <c r="Q68"/>
  <c r="Q14" i="21"/>
  <c r="Q15" i="46" s="1"/>
  <c r="Q29" i="25"/>
  <c r="Q79" i="29" s="1"/>
  <c r="Q48" i="25"/>
  <c r="Q66"/>
  <c r="Q18"/>
  <c r="Q40" i="29" s="1"/>
  <c r="Q41" i="25"/>
  <c r="Q56"/>
  <c r="Q22"/>
  <c r="Q44" i="29" s="1"/>
  <c r="Q59" i="25"/>
  <c r="Q39"/>
  <c r="Q57"/>
  <c r="Q55"/>
  <c r="Q40"/>
  <c r="Q38"/>
  <c r="Q19"/>
  <c r="Q41" i="29" s="1"/>
  <c r="Q21" i="25"/>
  <c r="Q43" i="29" s="1"/>
  <c r="Q58" i="25"/>
  <c r="Q37"/>
  <c r="Q20"/>
  <c r="Q42" i="29" s="1"/>
  <c r="Q5" i="21"/>
  <c r="Q8" i="46" s="1"/>
  <c r="P7" i="48" l="1"/>
  <c r="P12" i="51"/>
  <c r="P14" s="1"/>
  <c r="Q15" i="29"/>
  <c r="Q14"/>
  <c r="Q13"/>
  <c r="Q30"/>
  <c r="Q16"/>
  <c r="Q67"/>
  <c r="Q81"/>
  <c r="Q76" s="1"/>
  <c r="Q39"/>
  <c r="Q17"/>
  <c r="Q7" i="46"/>
  <c r="Q5"/>
  <c r="Q9"/>
  <c r="Q52" i="29"/>
  <c r="Q51"/>
  <c r="Q17" i="46"/>
  <c r="Q6"/>
  <c r="Q53" i="29"/>
  <c r="Q16" i="46"/>
  <c r="Q14"/>
  <c r="Q13"/>
  <c r="R14" i="34"/>
  <c r="Q63" i="25"/>
  <c r="R18" i="33"/>
  <c r="R62" i="29" s="1"/>
  <c r="R17" i="33"/>
  <c r="R61" i="29" s="1"/>
  <c r="Q45" i="25"/>
  <c r="R19" i="33"/>
  <c r="R63" i="29" s="1"/>
  <c r="R16" i="33"/>
  <c r="R60" i="29" s="1"/>
  <c r="Q7" i="25"/>
  <c r="Q26"/>
  <c r="R15" i="33"/>
  <c r="R59" i="29" s="1"/>
  <c r="R9" i="33"/>
  <c r="R25" i="29" s="1"/>
  <c r="Q17" i="25"/>
  <c r="Q54"/>
  <c r="R8" i="33"/>
  <c r="R24" i="29" s="1"/>
  <c r="R7" i="33"/>
  <c r="R23" i="29" s="1"/>
  <c r="R5" i="34"/>
  <c r="R10" i="33"/>
  <c r="R26" i="29" s="1"/>
  <c r="R6" i="33"/>
  <c r="R22" i="29" s="1"/>
  <c r="Q36" i="25"/>
  <c r="Q6"/>
  <c r="Q50" i="29"/>
  <c r="Q12" l="1"/>
  <c r="Q11" i="25"/>
  <c r="R58" i="29"/>
  <c r="Q54"/>
  <c r="Q49" s="1"/>
  <c r="R21"/>
  <c r="Q12" i="25"/>
  <c r="R17" i="21"/>
  <c r="S17" i="34" s="1"/>
  <c r="R16" i="21"/>
  <c r="R18"/>
  <c r="Q8" i="25"/>
  <c r="Q11" i="48" s="1"/>
  <c r="Q13" s="1"/>
  <c r="R19" i="21"/>
  <c r="R15"/>
  <c r="R14" i="33"/>
  <c r="R9" i="21"/>
  <c r="R8"/>
  <c r="R7"/>
  <c r="R10"/>
  <c r="R5" i="33"/>
  <c r="R6" i="21"/>
  <c r="Q13" i="51" l="1"/>
  <c r="Q6" i="48"/>
  <c r="Q8" i="49"/>
  <c r="Q10" s="1"/>
  <c r="R68" i="29"/>
  <c r="S15" i="34"/>
  <c r="R72" i="29"/>
  <c r="S19" i="34"/>
  <c r="R71" i="29"/>
  <c r="S18" i="34"/>
  <c r="R69" i="29"/>
  <c r="S16" i="34"/>
  <c r="R34" i="29"/>
  <c r="S9" i="34"/>
  <c r="R31" i="29"/>
  <c r="S6" i="34"/>
  <c r="R35" i="29"/>
  <c r="S10" i="34"/>
  <c r="R32" i="29"/>
  <c r="S7" i="34"/>
  <c r="R33" i="29"/>
  <c r="S8" i="34"/>
  <c r="Q13" i="25"/>
  <c r="Q5" i="48" s="1"/>
  <c r="R66" i="25"/>
  <c r="R70" i="29"/>
  <c r="R29" i="25"/>
  <c r="R79" i="29" s="1"/>
  <c r="R48" i="25"/>
  <c r="R47"/>
  <c r="R28"/>
  <c r="R65"/>
  <c r="R30"/>
  <c r="R80" i="29" s="1"/>
  <c r="R49" i="25"/>
  <c r="R67"/>
  <c r="R68"/>
  <c r="R50"/>
  <c r="R31"/>
  <c r="R81" i="29" s="1"/>
  <c r="R38" i="25"/>
  <c r="R27"/>
  <c r="R77" i="29" s="1"/>
  <c r="R64" i="25"/>
  <c r="R14" i="21"/>
  <c r="R17" i="46" s="1"/>
  <c r="F33" i="40" s="1"/>
  <c r="R46" i="25"/>
  <c r="R56"/>
  <c r="R22"/>
  <c r="R44" i="29" s="1"/>
  <c r="R19" i="25"/>
  <c r="R41" i="29" s="1"/>
  <c r="R58" i="25"/>
  <c r="R40"/>
  <c r="R21"/>
  <c r="R43" i="29" s="1"/>
  <c r="R41" i="25"/>
  <c r="R37"/>
  <c r="R59"/>
  <c r="R57"/>
  <c r="R39"/>
  <c r="R20"/>
  <c r="R42" i="29" s="1"/>
  <c r="R15" s="1"/>
  <c r="R18" i="25"/>
  <c r="R40" i="29" s="1"/>
  <c r="R55" i="25"/>
  <c r="R5" i="21"/>
  <c r="R9" i="46" s="1"/>
  <c r="R16" i="29" l="1"/>
  <c r="Q7" i="48"/>
  <c r="Q12" i="51"/>
  <c r="Q14" s="1"/>
  <c r="R13" i="29"/>
  <c r="R67"/>
  <c r="R30"/>
  <c r="R17"/>
  <c r="R14"/>
  <c r="R78"/>
  <c r="R51" s="1"/>
  <c r="R39"/>
  <c r="R52"/>
  <c r="F25" i="40"/>
  <c r="R54" i="29"/>
  <c r="R7" i="46"/>
  <c r="R6"/>
  <c r="R5"/>
  <c r="R13"/>
  <c r="F29" i="40" s="1"/>
  <c r="R8" i="46"/>
  <c r="R14"/>
  <c r="F30" i="40" s="1"/>
  <c r="R16" i="46"/>
  <c r="F32" i="40" s="1"/>
  <c r="R15" i="46"/>
  <c r="F31" i="40" s="1"/>
  <c r="R53" i="29"/>
  <c r="S17" i="33"/>
  <c r="S61" i="29" s="1"/>
  <c r="R45" i="25"/>
  <c r="R63"/>
  <c r="S18" i="33"/>
  <c r="S62" i="29" s="1"/>
  <c r="S16" i="33"/>
  <c r="S60" i="29" s="1"/>
  <c r="R26" i="25"/>
  <c r="S15" i="33"/>
  <c r="S59" i="29" s="1"/>
  <c r="S19" i="33"/>
  <c r="S63" i="29" s="1"/>
  <c r="S14" i="34"/>
  <c r="R7" i="25"/>
  <c r="S10" i="33"/>
  <c r="S26" i="29" s="1"/>
  <c r="R17" i="25"/>
  <c r="R36"/>
  <c r="R6"/>
  <c r="R54"/>
  <c r="S5" i="34"/>
  <c r="S7" i="33"/>
  <c r="S23" i="29" s="1"/>
  <c r="S9" i="33"/>
  <c r="S25" i="29" s="1"/>
  <c r="S8" i="33"/>
  <c r="S24" i="29" s="1"/>
  <c r="S6" i="33"/>
  <c r="S22" i="29" s="1"/>
  <c r="R11" i="25" l="1"/>
  <c r="S58" i="29"/>
  <c r="R76"/>
  <c r="S21"/>
  <c r="F24" i="40"/>
  <c r="F21"/>
  <c r="F22"/>
  <c r="R12" i="29"/>
  <c r="F23" i="40"/>
  <c r="R12" i="25"/>
  <c r="S19" i="21"/>
  <c r="T19" i="34" s="1"/>
  <c r="S15" i="21"/>
  <c r="T15" i="34" s="1"/>
  <c r="S18" i="21"/>
  <c r="S17"/>
  <c r="S14" i="33"/>
  <c r="S16" i="21"/>
  <c r="R50" i="29"/>
  <c r="R49" s="1"/>
  <c r="R8" i="25"/>
  <c r="R11" i="48" s="1"/>
  <c r="R13" s="1"/>
  <c r="S7" i="21"/>
  <c r="S10"/>
  <c r="S9"/>
  <c r="S6"/>
  <c r="S5" i="33"/>
  <c r="S8" i="21"/>
  <c r="R6" i="48" l="1"/>
  <c r="R8" i="49"/>
  <c r="R10" s="1"/>
  <c r="R13" i="51"/>
  <c r="S71" i="29"/>
  <c r="T18" i="34"/>
  <c r="S69" i="29"/>
  <c r="T16" i="34"/>
  <c r="S70" i="29"/>
  <c r="T17" i="34"/>
  <c r="S34" i="29"/>
  <c r="T9" i="34"/>
  <c r="S35" i="29"/>
  <c r="T10" i="34"/>
  <c r="S32" i="29"/>
  <c r="T7" i="34"/>
  <c r="S33" i="29"/>
  <c r="T8" i="34"/>
  <c r="S31" i="29"/>
  <c r="T6" i="34"/>
  <c r="R13" i="25"/>
  <c r="R5" i="48" s="1"/>
  <c r="F37" i="40" s="1"/>
  <c r="S27" i="25"/>
  <c r="S77" i="29" s="1"/>
  <c r="S68"/>
  <c r="S31" i="25"/>
  <c r="S81" i="29" s="1"/>
  <c r="S72"/>
  <c r="S68" i="25"/>
  <c r="S50"/>
  <c r="S64"/>
  <c r="S28"/>
  <c r="S78" i="29" s="1"/>
  <c r="S46" i="25"/>
  <c r="S49"/>
  <c r="S66"/>
  <c r="S29"/>
  <c r="S79" i="29" s="1"/>
  <c r="S67" i="25"/>
  <c r="S48"/>
  <c r="S30"/>
  <c r="S80" i="29" s="1"/>
  <c r="S14" i="21"/>
  <c r="S15" i="46" s="1"/>
  <c r="S65" i="25"/>
  <c r="S47"/>
  <c r="S38"/>
  <c r="S40"/>
  <c r="S58"/>
  <c r="S21"/>
  <c r="S43" i="29" s="1"/>
  <c r="S19" i="25"/>
  <c r="S41" i="29" s="1"/>
  <c r="S56" i="25"/>
  <c r="S41"/>
  <c r="S59"/>
  <c r="S22"/>
  <c r="S44" i="29" s="1"/>
  <c r="S37" i="25"/>
  <c r="S39"/>
  <c r="S18"/>
  <c r="S40" i="29" s="1"/>
  <c r="S55" i="25"/>
  <c r="S20"/>
  <c r="S42" i="29" s="1"/>
  <c r="S57" i="25"/>
  <c r="S5" i="21"/>
  <c r="S5" i="46" s="1"/>
  <c r="R12" i="51" l="1"/>
  <c r="R14" s="1"/>
  <c r="S17" i="29"/>
  <c r="S14"/>
  <c r="S16"/>
  <c r="S30"/>
  <c r="S13"/>
  <c r="S15"/>
  <c r="S54"/>
  <c r="S50"/>
  <c r="S67"/>
  <c r="S76"/>
  <c r="S39"/>
  <c r="S52"/>
  <c r="S7" i="46"/>
  <c r="T15" i="33"/>
  <c r="T59" i="29" s="1"/>
  <c r="S9" i="46"/>
  <c r="S6"/>
  <c r="S8"/>
  <c r="S14"/>
  <c r="S13"/>
  <c r="S16"/>
  <c r="S17"/>
  <c r="T14" i="34"/>
  <c r="T17" i="33"/>
  <c r="T61" i="29" s="1"/>
  <c r="T18" i="33"/>
  <c r="T62" i="29" s="1"/>
  <c r="T16" i="33"/>
  <c r="T60" i="29" s="1"/>
  <c r="S7" i="25"/>
  <c r="T19" i="33"/>
  <c r="T63" i="29" s="1"/>
  <c r="S51"/>
  <c r="S63" i="25"/>
  <c r="S53" i="29"/>
  <c r="S45" i="25"/>
  <c r="S26"/>
  <c r="T9" i="33"/>
  <c r="T25" i="29" s="1"/>
  <c r="S36" i="25"/>
  <c r="T7" i="33"/>
  <c r="T23" i="29" s="1"/>
  <c r="T8" i="33"/>
  <c r="T24" i="29" s="1"/>
  <c r="S6" i="25"/>
  <c r="T10" i="33"/>
  <c r="T26" i="29" s="1"/>
  <c r="T5" i="34"/>
  <c r="S54" i="25"/>
  <c r="T6" i="33"/>
  <c r="T22" i="29" s="1"/>
  <c r="S17" i="25"/>
  <c r="R7" i="48" l="1"/>
  <c r="F39" i="40" s="1"/>
  <c r="F38"/>
  <c r="S11" i="25"/>
  <c r="T15" i="21"/>
  <c r="T58" i="29"/>
  <c r="T21"/>
  <c r="T18" i="21"/>
  <c r="S12" i="25"/>
  <c r="S12" i="29"/>
  <c r="T17" i="21"/>
  <c r="U17" i="34" s="1"/>
  <c r="T16" i="21"/>
  <c r="U16" i="34" s="1"/>
  <c r="S49" i="29"/>
  <c r="T19" i="21"/>
  <c r="S8" i="25"/>
  <c r="S11" i="48" s="1"/>
  <c r="S13" s="1"/>
  <c r="T14" i="33"/>
  <c r="T9" i="21"/>
  <c r="T10"/>
  <c r="T8"/>
  <c r="T7"/>
  <c r="T5" i="33"/>
  <c r="T6" i="21"/>
  <c r="S8" i="49" l="1"/>
  <c r="S10" s="1"/>
  <c r="S6" i="48"/>
  <c r="S13" i="51"/>
  <c r="T30" i="25"/>
  <c r="T80" i="29" s="1"/>
  <c r="U18" i="34"/>
  <c r="T72" i="29"/>
  <c r="U19" i="34"/>
  <c r="T68" i="29"/>
  <c r="U15" i="34"/>
  <c r="T31" i="29"/>
  <c r="U6" i="34"/>
  <c r="T32" i="29"/>
  <c r="U7" i="34"/>
  <c r="T33" i="29"/>
  <c r="U8" i="34"/>
  <c r="T35" i="29"/>
  <c r="U10" i="34"/>
  <c r="T34" i="29"/>
  <c r="U9" i="34"/>
  <c r="T64" i="25"/>
  <c r="T46"/>
  <c r="T27"/>
  <c r="T77" i="29" s="1"/>
  <c r="T29" i="25"/>
  <c r="T79" i="29" s="1"/>
  <c r="T70"/>
  <c r="T69"/>
  <c r="T49" i="25"/>
  <c r="T71" i="29"/>
  <c r="T67" i="25"/>
  <c r="S13"/>
  <c r="S5" i="48" s="1"/>
  <c r="T66" i="25"/>
  <c r="T47"/>
  <c r="T14" i="21"/>
  <c r="T17" i="46" s="1"/>
  <c r="T48" i="25"/>
  <c r="T68"/>
  <c r="T50"/>
  <c r="T65"/>
  <c r="T31"/>
  <c r="T81" i="29" s="1"/>
  <c r="T28" i="25"/>
  <c r="T78" i="29" s="1"/>
  <c r="T41" i="25"/>
  <c r="T22"/>
  <c r="T44" i="29" s="1"/>
  <c r="T19" i="25"/>
  <c r="T41" i="29" s="1"/>
  <c r="T56" i="25"/>
  <c r="T57"/>
  <c r="T40"/>
  <c r="T59"/>
  <c r="T58"/>
  <c r="T37"/>
  <c r="T21"/>
  <c r="T43" i="29" s="1"/>
  <c r="T20" i="25"/>
  <c r="T42" i="29" s="1"/>
  <c r="T5" i="21"/>
  <c r="T7" i="46" s="1"/>
  <c r="T38" i="25"/>
  <c r="T39"/>
  <c r="T55"/>
  <c r="T18"/>
  <c r="T40" i="29" s="1"/>
  <c r="S7" i="48" l="1"/>
  <c r="S12" i="51"/>
  <c r="S14" s="1"/>
  <c r="T14" i="29"/>
  <c r="T53"/>
  <c r="T16"/>
  <c r="T17"/>
  <c r="T30"/>
  <c r="T15"/>
  <c r="T52"/>
  <c r="U18" i="33"/>
  <c r="U62" i="29" s="1"/>
  <c r="T76"/>
  <c r="T67"/>
  <c r="T39"/>
  <c r="T13"/>
  <c r="T63" i="25"/>
  <c r="T12" s="1"/>
  <c r="T14" i="46"/>
  <c r="T16"/>
  <c r="T5"/>
  <c r="T15"/>
  <c r="T13"/>
  <c r="U17" i="33"/>
  <c r="U61" i="29" s="1"/>
  <c r="T51"/>
  <c r="T54"/>
  <c r="T6" i="46"/>
  <c r="T9"/>
  <c r="T8"/>
  <c r="T45" i="25"/>
  <c r="U16" i="33"/>
  <c r="U60" i="29" s="1"/>
  <c r="U15" i="33"/>
  <c r="U19"/>
  <c r="U63" i="29" s="1"/>
  <c r="T26" i="25"/>
  <c r="U14" i="34"/>
  <c r="T7" i="25"/>
  <c r="U7" i="33"/>
  <c r="U23" i="29" s="1"/>
  <c r="U10" i="33"/>
  <c r="U26" i="29" s="1"/>
  <c r="T36" i="25"/>
  <c r="T54"/>
  <c r="U6" i="33"/>
  <c r="U22" i="29" s="1"/>
  <c r="U8" i="33"/>
  <c r="U24" i="29" s="1"/>
  <c r="U5" i="34"/>
  <c r="U9" i="33"/>
  <c r="U25" i="29" s="1"/>
  <c r="T6" i="25"/>
  <c r="T17"/>
  <c r="T50" i="29"/>
  <c r="T11" i="25" l="1"/>
  <c r="T13" s="1"/>
  <c r="T5" i="48" s="1"/>
  <c r="U18" i="21"/>
  <c r="U15"/>
  <c r="U59" i="29"/>
  <c r="U58" s="1"/>
  <c r="U21"/>
  <c r="U19" i="21"/>
  <c r="T12" i="29"/>
  <c r="U16" i="21"/>
  <c r="U17"/>
  <c r="V17" i="34" s="1"/>
  <c r="T49" i="29"/>
  <c r="U14" i="33"/>
  <c r="U7" i="21"/>
  <c r="U10"/>
  <c r="U8"/>
  <c r="U6"/>
  <c r="U5" i="33"/>
  <c r="U9" i="21"/>
  <c r="T8" i="25"/>
  <c r="T11" i="48" s="1"/>
  <c r="T13" s="1"/>
  <c r="T8" i="49" l="1"/>
  <c r="T10" s="1"/>
  <c r="T6" i="48"/>
  <c r="T13" i="51"/>
  <c r="U68" i="29"/>
  <c r="V15" i="34"/>
  <c r="U71" i="29"/>
  <c r="V18" i="34"/>
  <c r="U69" i="29"/>
  <c r="V16" i="34"/>
  <c r="U68" i="25"/>
  <c r="V19" i="34"/>
  <c r="U35" i="29"/>
  <c r="V10" i="34"/>
  <c r="U32" i="29"/>
  <c r="V7" i="34"/>
  <c r="U34" i="29"/>
  <c r="V9" i="34"/>
  <c r="U31" i="29"/>
  <c r="V6" i="34"/>
  <c r="U33" i="29"/>
  <c r="V8" i="34"/>
  <c r="U30" i="25"/>
  <c r="U80" i="29" s="1"/>
  <c r="U53" s="1"/>
  <c r="U67" i="25"/>
  <c r="U49"/>
  <c r="U48"/>
  <c r="U70" i="29"/>
  <c r="U46" i="25"/>
  <c r="U64"/>
  <c r="U27"/>
  <c r="U77" i="29" s="1"/>
  <c r="U50" i="25"/>
  <c r="U72" i="29"/>
  <c r="U29" i="25"/>
  <c r="U79" i="29" s="1"/>
  <c r="U31" i="25"/>
  <c r="U28"/>
  <c r="U14" i="21"/>
  <c r="U13" i="46" s="1"/>
  <c r="U66" i="25"/>
  <c r="U47"/>
  <c r="U65"/>
  <c r="U59"/>
  <c r="U41"/>
  <c r="U22"/>
  <c r="U44" i="29" s="1"/>
  <c r="U39" i="25"/>
  <c r="U56"/>
  <c r="U58"/>
  <c r="U18"/>
  <c r="U40" i="29" s="1"/>
  <c r="U40" i="25"/>
  <c r="U38"/>
  <c r="U19"/>
  <c r="U41" i="29" s="1"/>
  <c r="U57" i="25"/>
  <c r="U20"/>
  <c r="U42" i="29" s="1"/>
  <c r="U5" i="21"/>
  <c r="U8" i="46" s="1"/>
  <c r="U55" i="25"/>
  <c r="U21"/>
  <c r="U43" i="29" s="1"/>
  <c r="U37" i="25"/>
  <c r="U50" i="29" l="1"/>
  <c r="T7" i="48"/>
  <c r="T12" i="51"/>
  <c r="T14" s="1"/>
  <c r="U16" i="29"/>
  <c r="U30"/>
  <c r="U14"/>
  <c r="U15"/>
  <c r="U17"/>
  <c r="U67"/>
  <c r="U45" i="25"/>
  <c r="U81" i="29"/>
  <c r="U54" s="1"/>
  <c r="U78"/>
  <c r="U39"/>
  <c r="U13"/>
  <c r="U63" i="25"/>
  <c r="U12" s="1"/>
  <c r="V14" i="34"/>
  <c r="U52" i="29"/>
  <c r="U15" i="46"/>
  <c r="U14"/>
  <c r="U16"/>
  <c r="U17"/>
  <c r="V17" i="33"/>
  <c r="V61" i="29" s="1"/>
  <c r="U26" i="25"/>
  <c r="U7"/>
  <c r="V16" i="33"/>
  <c r="V60" i="29" s="1"/>
  <c r="V19" i="33"/>
  <c r="V63" i="29" s="1"/>
  <c r="V18" i="33"/>
  <c r="V62" i="29" s="1"/>
  <c r="V15" i="33"/>
  <c r="V59" i="29" s="1"/>
  <c r="U6" i="46"/>
  <c r="U5"/>
  <c r="U7"/>
  <c r="U9"/>
  <c r="U36" i="25"/>
  <c r="U54"/>
  <c r="U17"/>
  <c r="V9" i="33"/>
  <c r="V25" i="29" s="1"/>
  <c r="V10" i="33"/>
  <c r="V26" i="29" s="1"/>
  <c r="V5" i="34"/>
  <c r="V6" i="33"/>
  <c r="V22" i="29" s="1"/>
  <c r="V7" i="33"/>
  <c r="V23" i="29" s="1"/>
  <c r="U6" i="25"/>
  <c r="V8" i="33"/>
  <c r="V24" i="29" s="1"/>
  <c r="U11" i="25" l="1"/>
  <c r="U13" s="1"/>
  <c r="U5" i="48" s="1"/>
  <c r="U76" i="29"/>
  <c r="V58"/>
  <c r="U51"/>
  <c r="U49" s="1"/>
  <c r="V21"/>
  <c r="V17" i="21"/>
  <c r="V18"/>
  <c r="V19"/>
  <c r="W19" i="34" s="1"/>
  <c r="V15" i="21"/>
  <c r="W15" i="34" s="1"/>
  <c r="U12" i="29"/>
  <c r="U8" i="25"/>
  <c r="U11" i="48" s="1"/>
  <c r="U13" s="1"/>
  <c r="V14" i="33"/>
  <c r="V16" i="21"/>
  <c r="W16" i="34" s="1"/>
  <c r="V6" i="21"/>
  <c r="V9"/>
  <c r="V10"/>
  <c r="V8"/>
  <c r="V5" i="33"/>
  <c r="V7" i="21"/>
  <c r="U6" i="48" l="1"/>
  <c r="U8" i="49"/>
  <c r="U10" s="1"/>
  <c r="U13" i="51"/>
  <c r="V71" i="29"/>
  <c r="W18" i="34"/>
  <c r="V70" i="29"/>
  <c r="W17" i="34"/>
  <c r="V33" i="29"/>
  <c r="W8" i="34"/>
  <c r="V34" i="29"/>
  <c r="W9" i="34"/>
  <c r="V32" i="29"/>
  <c r="W7" i="34"/>
  <c r="V35" i="29"/>
  <c r="W10" i="34"/>
  <c r="V31" i="29"/>
  <c r="W6" i="34"/>
  <c r="V29" i="25"/>
  <c r="V79" i="29" s="1"/>
  <c r="V48" i="25"/>
  <c r="V66"/>
  <c r="V68"/>
  <c r="V64"/>
  <c r="V68" i="29"/>
  <c r="V31" i="25"/>
  <c r="V81" i="29" s="1"/>
  <c r="V72"/>
  <c r="V67" i="25"/>
  <c r="V47"/>
  <c r="V69" i="29"/>
  <c r="V49" i="25"/>
  <c r="V50"/>
  <c r="V30"/>
  <c r="V80" i="29" s="1"/>
  <c r="V27" i="25"/>
  <c r="V77" i="29" s="1"/>
  <c r="V46" i="25"/>
  <c r="V14" i="21"/>
  <c r="V13" i="46" s="1"/>
  <c r="V28" i="25"/>
  <c r="V78" i="29" s="1"/>
  <c r="V65" i="25"/>
  <c r="V57"/>
  <c r="V40"/>
  <c r="V21"/>
  <c r="V43" i="29" s="1"/>
  <c r="V37" i="25"/>
  <c r="V56"/>
  <c r="V55"/>
  <c r="V18"/>
  <c r="V40" i="29" s="1"/>
  <c r="V58" i="25"/>
  <c r="V41"/>
  <c r="V19"/>
  <c r="V41" i="29" s="1"/>
  <c r="V59" i="25"/>
  <c r="V38"/>
  <c r="V5" i="21"/>
  <c r="V8" i="46" s="1"/>
  <c r="V20" i="25"/>
  <c r="V42" i="29" s="1"/>
  <c r="V22" i="25"/>
  <c r="V44" i="29" s="1"/>
  <c r="V39" i="25"/>
  <c r="V16" i="29" l="1"/>
  <c r="U7" i="48"/>
  <c r="U12" i="51"/>
  <c r="U14" s="1"/>
  <c r="V53" i="29"/>
  <c r="V14"/>
  <c r="V15"/>
  <c r="V30"/>
  <c r="V52"/>
  <c r="V17"/>
  <c r="W16" i="33"/>
  <c r="W60" i="29" s="1"/>
  <c r="V54"/>
  <c r="W14" i="34"/>
  <c r="V45" i="25"/>
  <c r="V67" i="29"/>
  <c r="V76"/>
  <c r="V63" i="25"/>
  <c r="V12" s="1"/>
  <c r="W19" i="33"/>
  <c r="W63" i="29" s="1"/>
  <c r="W15" i="33"/>
  <c r="W59" i="29" s="1"/>
  <c r="W17" i="33"/>
  <c r="W61" i="29" s="1"/>
  <c r="W18" i="33"/>
  <c r="W62" i="29" s="1"/>
  <c r="V26" i="25"/>
  <c r="V51" i="29"/>
  <c r="V39"/>
  <c r="V13"/>
  <c r="V17" i="46"/>
  <c r="V15"/>
  <c r="V7" i="25"/>
  <c r="V16" i="46"/>
  <c r="V14"/>
  <c r="V7"/>
  <c r="V6"/>
  <c r="V5"/>
  <c r="V9"/>
  <c r="V54" i="25"/>
  <c r="V36"/>
  <c r="W5" i="34"/>
  <c r="W9" i="33"/>
  <c r="W25" i="29" s="1"/>
  <c r="W7" i="33"/>
  <c r="W23" i="29" s="1"/>
  <c r="V6" i="25"/>
  <c r="V17"/>
  <c r="W10" i="33"/>
  <c r="W26" i="29" s="1"/>
  <c r="W6" i="33"/>
  <c r="W22" i="29" s="1"/>
  <c r="W8" i="33"/>
  <c r="W24" i="29" s="1"/>
  <c r="V50"/>
  <c r="W18" i="21" l="1"/>
  <c r="W71" i="29" s="1"/>
  <c r="V11" i="25"/>
  <c r="V13" s="1"/>
  <c r="V5" i="48" s="1"/>
  <c r="W16" i="21"/>
  <c r="W69" i="29" s="1"/>
  <c r="V49"/>
  <c r="W58"/>
  <c r="W19" i="21"/>
  <c r="W72" i="29" s="1"/>
  <c r="W15" i="21"/>
  <c r="W68" i="29" s="1"/>
  <c r="W14" i="33"/>
  <c r="W17" i="21"/>
  <c r="W70" i="29" s="1"/>
  <c r="W21"/>
  <c r="W7" i="21"/>
  <c r="W32" i="29" s="1"/>
  <c r="V12"/>
  <c r="V8" i="25"/>
  <c r="V11" i="48" s="1"/>
  <c r="V13" s="1"/>
  <c r="W9" i="21"/>
  <c r="W34" i="29" s="1"/>
  <c r="W10" i="21"/>
  <c r="W35" i="29" s="1"/>
  <c r="W5" i="33"/>
  <c r="W8" i="21"/>
  <c r="W33" i="29" s="1"/>
  <c r="W6" i="21"/>
  <c r="W31" i="29" s="1"/>
  <c r="V6" i="48" l="1"/>
  <c r="V8" i="49"/>
  <c r="V10" s="1"/>
  <c r="V13" i="51"/>
  <c r="W30" i="25"/>
  <c r="W80" i="29" s="1"/>
  <c r="W53" s="1"/>
  <c r="W49" i="25"/>
  <c r="W67"/>
  <c r="W28"/>
  <c r="W78" i="29" s="1"/>
  <c r="W51" s="1"/>
  <c r="W67"/>
  <c r="W47" i="25"/>
  <c r="W65"/>
  <c r="W46"/>
  <c r="W50"/>
  <c r="W48"/>
  <c r="W29"/>
  <c r="W79" i="29" s="1"/>
  <c r="W52" s="1"/>
  <c r="W68" i="25"/>
  <c r="W31"/>
  <c r="W81" i="29" s="1"/>
  <c r="W54" s="1"/>
  <c r="W14" i="21"/>
  <c r="W14" i="46" s="1"/>
  <c r="G30" i="40" s="1"/>
  <c r="W66" i="25"/>
  <c r="W27"/>
  <c r="W77" i="29" s="1"/>
  <c r="W64" i="25"/>
  <c r="W30" i="29"/>
  <c r="W59" i="25"/>
  <c r="W19"/>
  <c r="W41" i="29" s="1"/>
  <c r="W38" i="25"/>
  <c r="W56"/>
  <c r="W40"/>
  <c r="W21"/>
  <c r="W43" i="29" s="1"/>
  <c r="W16" s="1"/>
  <c r="W57" i="25"/>
  <c r="W39"/>
  <c r="W20"/>
  <c r="W42" i="29" s="1"/>
  <c r="W15" s="1"/>
  <c r="W41" i="25"/>
  <c r="W58"/>
  <c r="W18"/>
  <c r="W40" i="29" s="1"/>
  <c r="W13" s="1"/>
  <c r="W55" i="25"/>
  <c r="W5" i="21"/>
  <c r="W6" i="46" s="1"/>
  <c r="W22" i="25"/>
  <c r="W44" i="29" s="1"/>
  <c r="W17" s="1"/>
  <c r="W37" i="25"/>
  <c r="V7" i="48" l="1"/>
  <c r="V12" i="51"/>
  <c r="V14" s="1"/>
  <c r="W63" i="25"/>
  <c r="W12" s="1"/>
  <c r="W45"/>
  <c r="W76" i="29"/>
  <c r="W16" i="46"/>
  <c r="G32" i="40" s="1"/>
  <c r="W15" i="46"/>
  <c r="G31" i="40" s="1"/>
  <c r="E14"/>
  <c r="W26" i="25"/>
  <c r="W7"/>
  <c r="W17" i="46"/>
  <c r="G33" i="40" s="1"/>
  <c r="W50" i="29"/>
  <c r="W49" s="1"/>
  <c r="W13" i="46"/>
  <c r="G29" i="40" s="1"/>
  <c r="W39" i="29"/>
  <c r="W14"/>
  <c r="D14" i="40"/>
  <c r="G22"/>
  <c r="W9" i="46"/>
  <c r="W8"/>
  <c r="W5"/>
  <c r="W7"/>
  <c r="W17" i="25"/>
  <c r="W54"/>
  <c r="W6"/>
  <c r="W36"/>
  <c r="B6" i="29" l="1"/>
  <c r="E16" i="40"/>
  <c r="E15"/>
  <c r="W11" i="25"/>
  <c r="W13" s="1"/>
  <c r="W5" i="48" s="1"/>
  <c r="G37" i="40" s="1"/>
  <c r="F14"/>
  <c r="E17"/>
  <c r="E13"/>
  <c r="G25"/>
  <c r="D17"/>
  <c r="D16"/>
  <c r="G24"/>
  <c r="G21"/>
  <c r="D13"/>
  <c r="D15"/>
  <c r="G23"/>
  <c r="W12" i="29"/>
  <c r="B5" s="1"/>
  <c r="W8" i="25"/>
  <c r="W11" i="48" s="1"/>
  <c r="W13" s="1"/>
  <c r="W6" l="1"/>
  <c r="W8" i="49"/>
  <c r="W10" s="1"/>
  <c r="W13" i="51"/>
  <c r="F16" i="40"/>
  <c r="F15"/>
  <c r="B7" i="29"/>
  <c r="F13" i="40"/>
  <c r="F17"/>
  <c r="B5" i="51" l="1"/>
  <c r="C43" i="40"/>
  <c r="C7" i="29"/>
  <c r="W7" i="48" l="1"/>
  <c r="G39" i="40" s="1"/>
  <c r="G38"/>
  <c r="W12" i="51"/>
  <c r="W14" s="1"/>
  <c r="B7" s="1"/>
  <c r="C45" i="40" s="1"/>
  <c r="B4" i="49"/>
  <c r="B6" i="51" l="1"/>
  <c r="C44" i="40"/>
</calcChain>
</file>

<file path=xl/sharedStrings.xml><?xml version="1.0" encoding="utf-8"?>
<sst xmlns="http://schemas.openxmlformats.org/spreadsheetml/2006/main" count="247" uniqueCount="172">
  <si>
    <t>Water Heat Ending</t>
  </si>
  <si>
    <t>Existing Market Segment Code</t>
  </si>
  <si>
    <t>2015 Baseline Existing SH</t>
  </si>
  <si>
    <t>2015 Baseline Existing WH</t>
  </si>
  <si>
    <t>Retro WH</t>
  </si>
  <si>
    <t>Water heater size (gals)</t>
  </si>
  <si>
    <t>Dwelling Type</t>
  </si>
  <si>
    <t>Gas FAF</t>
  </si>
  <si>
    <t>Electric Resistance</t>
  </si>
  <si>
    <t>X&lt;=55</t>
  </si>
  <si>
    <t>SF</t>
  </si>
  <si>
    <t>HPWH</t>
  </si>
  <si>
    <t>Gas Tank</t>
  </si>
  <si>
    <t>Instant Gas</t>
  </si>
  <si>
    <t>Condensing Gas</t>
  </si>
  <si>
    <t>State</t>
  </si>
  <si>
    <t>Energy (mmBtu/ device/Yr)</t>
  </si>
  <si>
    <t>Electric Technology</t>
  </si>
  <si>
    <t>Electric</t>
  </si>
  <si>
    <t>Natural Gas</t>
  </si>
  <si>
    <t>WH Capital Cost (2012$/ device)</t>
  </si>
  <si>
    <t>WH O&amp;M Cost (2012$/ device/Yr)</t>
  </si>
  <si>
    <t>Basement</t>
  </si>
  <si>
    <t>Gas Availability</t>
  </si>
  <si>
    <t>Yes</t>
  </si>
  <si>
    <t>Existing</t>
  </si>
  <si>
    <t>Segments of Interest in ENERGY 2020 Study of Direct Use of Natural Gas</t>
  </si>
  <si>
    <t>and return of principal and on investment (including risk premiums and inflation: 1+ROIN+DRISK+INSM).</t>
  </si>
  <si>
    <t>Note:  Capital charge rate is defined as the annualization of device capital expenses over the life of the device, accounting for taxes, tax credits,</t>
  </si>
  <si>
    <t>Source:  "NPCC_SF_Tables_2013-08-30 with data on market share and electricity and natural gas retail prices.xlsx" from M. Jourabchi.</t>
  </si>
  <si>
    <t>Levelized Costs (2012$/Device/Yr)</t>
  </si>
  <si>
    <t>Negative values indicate resistance to a specified technology independent of price.</t>
  </si>
  <si>
    <t>Positive values indicate a propensity toward purchasing the given device independent of price considerations.</t>
  </si>
  <si>
    <t>Assumptions:</t>
  </si>
  <si>
    <t>Note:  Non-price factors are parameters in the market share equation representing the impact of non-price factors on market share of a given technology.</t>
  </si>
  <si>
    <t>Annual Fuel Costs (2012$/Device/Yr)</t>
  </si>
  <si>
    <t>Input</t>
  </si>
  <si>
    <t>Description</t>
  </si>
  <si>
    <t>Variance factor - BAU forecast</t>
  </si>
  <si>
    <t>BAU Case</t>
  </si>
  <si>
    <r>
      <t>Marginal Allocation Weights ($/$) -</t>
    </r>
    <r>
      <rPr>
        <b/>
        <sz val="12"/>
        <color rgb="FF7030A0"/>
        <rFont val="Calibri"/>
        <family val="2"/>
        <scheme val="minor"/>
      </rPr>
      <t xml:space="preserve"> </t>
    </r>
    <r>
      <rPr>
        <b/>
        <sz val="12"/>
        <color rgb="FFC00000"/>
        <rFont val="Calibri"/>
        <family val="2"/>
        <scheme val="minor"/>
      </rPr>
      <t>BAU Case</t>
    </r>
  </si>
  <si>
    <r>
      <t xml:space="preserve">Total Allocation Weight ($/$) - </t>
    </r>
    <r>
      <rPr>
        <b/>
        <sz val="12"/>
        <color rgb="FFC00000"/>
        <rFont val="Calibri"/>
        <family val="2"/>
        <scheme val="minor"/>
      </rPr>
      <t>BAU Case</t>
    </r>
  </si>
  <si>
    <t>Device lifetime</t>
  </si>
  <si>
    <r>
      <t xml:space="preserve">Water Heating Energy Usage by Type (mmBtu/Yr)  - </t>
    </r>
    <r>
      <rPr>
        <b/>
        <sz val="12"/>
        <color rgb="FFC00000"/>
        <rFont val="Calibri"/>
        <family val="2"/>
        <scheme val="minor"/>
      </rPr>
      <t>BAU Case</t>
    </r>
  </si>
  <si>
    <t>Total</t>
  </si>
  <si>
    <r>
      <t xml:space="preserve">Water Heating Electricity Usage by Type (MWh/Yr)  - </t>
    </r>
    <r>
      <rPr>
        <b/>
        <sz val="12"/>
        <color rgb="FFC00000"/>
        <rFont val="Calibri"/>
        <family val="2"/>
        <scheme val="minor"/>
      </rPr>
      <t>BAU Case</t>
    </r>
  </si>
  <si>
    <r>
      <t xml:space="preserve">Water Heating Gas Usage by Type (mmBtu/Yr)  - </t>
    </r>
    <r>
      <rPr>
        <b/>
        <sz val="12"/>
        <color rgb="FFC00000"/>
        <rFont val="Calibri"/>
        <family val="2"/>
        <scheme val="minor"/>
      </rPr>
      <t>BAU Case</t>
    </r>
  </si>
  <si>
    <t>Water Heating Energy Usage by Fuel and Scenario</t>
  </si>
  <si>
    <t>Discount rate (4% after-tax per M. Jourabchi)</t>
  </si>
  <si>
    <t>Source</t>
  </si>
  <si>
    <t>Source:  Technology usage and cost assumptions from:  "RevisedDUG_HVACDWH_CostUseData_090611.xlsx"</t>
  </si>
  <si>
    <t>2013$</t>
  </si>
  <si>
    <t>2011$</t>
  </si>
  <si>
    <t>2008$</t>
  </si>
  <si>
    <t>Source:  Per M. Jourabchi email (9-19-14) - FROM RTF Workbook: Res_HPWH_v1_3.xlsm, Tab: CostData, 50gal, 0.92EF, added estimated $200 for installation - (2008$)</t>
  </si>
  <si>
    <t>Source: Per M. Jourabchi email (9-19-14) - FROM RTF Workbook: Res_HPWH_v1_3.xlsm, Tab: CostData, Tier 1 50gal, added $200 for baseline installation - (2011$)</t>
  </si>
  <si>
    <t>Source:  Per M. Jourabchi email (9-19-14) - From ETO CPA (2013$)</t>
  </si>
  <si>
    <t>2006$</t>
  </si>
  <si>
    <t>Source:  "RevisedDUG_HVACDWH_CostUseData_090611.xlsx"</t>
  </si>
  <si>
    <t>Capital charge rate</t>
  </si>
  <si>
    <t>Source:  Calculated in ENERGY 2020</t>
  </si>
  <si>
    <t>Inflation</t>
  </si>
  <si>
    <t>Source:  M. Jourabchi input to ENERGY 2020 model</t>
  </si>
  <si>
    <t>Units of Dollars</t>
  </si>
  <si>
    <t>O&amp;M Cost Inflation Adjustment</t>
  </si>
  <si>
    <t>User Input - Assumptions</t>
  </si>
  <si>
    <t>Source:  M. Jourabchi email of September 15, 2014</t>
  </si>
  <si>
    <t>Non-Price Factor Assumptions ($/$)</t>
  </si>
  <si>
    <t>Source:  "Retail Rates_Northwest.xlsx"</t>
  </si>
  <si>
    <t>Starting water heating system</t>
  </si>
  <si>
    <t>Starting water heating tank size</t>
  </si>
  <si>
    <t>Notes:  Variance factor is parameter in market share calculation indicating impact of price on probability of choosing a given technology.  Negative values increase sensitivity to price.</t>
  </si>
  <si>
    <t>Scenario</t>
  </si>
  <si>
    <t>Electricity Usage (tBtu/Yr)</t>
  </si>
  <si>
    <t>Natural Gas Usage (tBtu/Yr)</t>
  </si>
  <si>
    <t>Difference</t>
  </si>
  <si>
    <t>Change  in Market Share</t>
  </si>
  <si>
    <t>Change (%)</t>
  </si>
  <si>
    <t>Water Heating Replacement</t>
  </si>
  <si>
    <t>BAU Case 2035</t>
  </si>
  <si>
    <t>Electric - BAU</t>
  </si>
  <si>
    <t>Gas - BAU</t>
  </si>
  <si>
    <t>Water Heating Capital Cost (2012$/device)</t>
  </si>
  <si>
    <t>Energy Use Per Device (mmBtu/Device/Yr)</t>
  </si>
  <si>
    <t>Water Heating O&amp;M Costs (2012$/Device/Yr)</t>
  </si>
  <si>
    <t>Green:  Linked exogenous input</t>
  </si>
  <si>
    <t>Blue:  User-specified exogenous input</t>
  </si>
  <si>
    <t>Note:  Levelized Costs = Capital Cost*Capital Charge Rate + Fuel Cost + O&amp;M Cost</t>
  </si>
  <si>
    <r>
      <t xml:space="preserve">Marginal Market Share Forecast (Fraction) - </t>
    </r>
    <r>
      <rPr>
        <b/>
        <sz val="12"/>
        <color rgb="FFC00000"/>
        <rFont val="Calibri"/>
        <family val="2"/>
        <scheme val="minor"/>
      </rPr>
      <t>BAU Case</t>
    </r>
  </si>
  <si>
    <t>Starting space heating system</t>
  </si>
  <si>
    <t>Source:  "Regional Economic Analysis of Residential Fuel Use:  Electricity &amp; Natural Gas.pdf"</t>
  </si>
  <si>
    <t>Least Cost</t>
  </si>
  <si>
    <t>Non-price factors - BAU forecast</t>
  </si>
  <si>
    <t>See "Non-Price Factors" sheet</t>
  </si>
  <si>
    <t>Electric - Least Cost</t>
  </si>
  <si>
    <t>Least Cost Case</t>
  </si>
  <si>
    <t>Gas - Least Cost</t>
  </si>
  <si>
    <r>
      <t xml:space="preserve">Water Heating Energy Usage by Type (mmBtu/Yr) - </t>
    </r>
    <r>
      <rPr>
        <b/>
        <sz val="12"/>
        <color rgb="FFC00000"/>
        <rFont val="Calibri"/>
        <family val="2"/>
        <scheme val="minor"/>
      </rPr>
      <t>Least Cost Case</t>
    </r>
  </si>
  <si>
    <r>
      <t xml:space="preserve">Water Heating Electricity Usage by Type (MWh/Yr)  - </t>
    </r>
    <r>
      <rPr>
        <b/>
        <sz val="12"/>
        <color rgb="FFC00000"/>
        <rFont val="Calibri"/>
        <family val="2"/>
        <scheme val="minor"/>
      </rPr>
      <t>Least Cost Case</t>
    </r>
  </si>
  <si>
    <r>
      <t xml:space="preserve">Water Heating Gas Usage by Type (mmBtu/Yr)  - </t>
    </r>
    <r>
      <rPr>
        <b/>
        <sz val="12"/>
        <color rgb="FFC00000"/>
        <rFont val="Calibri"/>
        <family val="2"/>
        <scheme val="minor"/>
      </rPr>
      <t>Least Cost Case</t>
    </r>
  </si>
  <si>
    <t>Least Cost Case 2035</t>
  </si>
  <si>
    <r>
      <t>Water Heaters Purchased (Number of Water Heaters) -</t>
    </r>
    <r>
      <rPr>
        <b/>
        <sz val="12"/>
        <color rgb="FFC00000"/>
        <rFont val="Calibri"/>
        <family val="2"/>
        <scheme val="minor"/>
      </rPr>
      <t xml:space="preserve"> BAU Case</t>
    </r>
  </si>
  <si>
    <r>
      <t>Water Heaters Purchased (Number of Water Heaters) -</t>
    </r>
    <r>
      <rPr>
        <b/>
        <sz val="12"/>
        <color rgb="FFC00000"/>
        <rFont val="Calibri"/>
        <family val="2"/>
        <scheme val="minor"/>
      </rPr>
      <t xml:space="preserve"> Least Cost Case</t>
    </r>
  </si>
  <si>
    <r>
      <t xml:space="preserve">Water Heaters Retired (Number of Water Heaters) - </t>
    </r>
    <r>
      <rPr>
        <b/>
        <sz val="12"/>
        <color rgb="FFC00000"/>
        <rFont val="Calibri"/>
        <family val="2"/>
        <scheme val="minor"/>
      </rPr>
      <t>BAU Case</t>
    </r>
  </si>
  <si>
    <r>
      <t xml:space="preserve">Water Heaters Retired (Number of Water Heaters) - </t>
    </r>
    <r>
      <rPr>
        <b/>
        <sz val="12"/>
        <color rgb="FFC00000"/>
        <rFont val="Calibri"/>
        <family val="2"/>
        <scheme val="minor"/>
      </rPr>
      <t>Least Cost Case</t>
    </r>
  </si>
  <si>
    <r>
      <t xml:space="preserve">Water Heaters Stock by Type (Number of Water Heaters) - </t>
    </r>
    <r>
      <rPr>
        <b/>
        <sz val="12"/>
        <color rgb="FFC00000"/>
        <rFont val="Calibri"/>
        <family val="2"/>
        <scheme val="minor"/>
      </rPr>
      <t>BAU Case</t>
    </r>
  </si>
  <si>
    <r>
      <t xml:space="preserve">Water Heaters Stock by Type (Number of Water Heaters) - </t>
    </r>
    <r>
      <rPr>
        <b/>
        <sz val="12"/>
        <color rgb="FFC00000"/>
        <rFont val="Calibri"/>
        <family val="2"/>
        <scheme val="minor"/>
      </rPr>
      <t>Least Cost Case</t>
    </r>
  </si>
  <si>
    <r>
      <t xml:space="preserve">Average Market Share (Fraction) - </t>
    </r>
    <r>
      <rPr>
        <b/>
        <sz val="12"/>
        <color rgb="FFC00000"/>
        <rFont val="Calibri"/>
        <family val="2"/>
        <scheme val="minor"/>
      </rPr>
      <t>BAU Case</t>
    </r>
  </si>
  <si>
    <r>
      <t>Average Market Share (Fraction) -</t>
    </r>
    <r>
      <rPr>
        <b/>
        <sz val="12"/>
        <color rgb="FFC00000"/>
        <rFont val="Calibri"/>
        <family val="2"/>
        <scheme val="minor"/>
      </rPr>
      <t xml:space="preserve"> Least Cost Case</t>
    </r>
  </si>
  <si>
    <t>Existing 2014</t>
  </si>
  <si>
    <r>
      <t xml:space="preserve">Total Consumer Cost (2012 M$) - </t>
    </r>
    <r>
      <rPr>
        <b/>
        <sz val="12"/>
        <color rgb="FFC00000"/>
        <rFont val="Calibri"/>
        <family val="2"/>
        <scheme val="minor"/>
      </rPr>
      <t>BAU Case</t>
    </r>
  </si>
  <si>
    <r>
      <t xml:space="preserve">Capital Cost (2012 M$) - </t>
    </r>
    <r>
      <rPr>
        <b/>
        <sz val="12"/>
        <color rgb="FFC00000"/>
        <rFont val="Calibri"/>
        <family val="2"/>
        <scheme val="minor"/>
      </rPr>
      <t>BAU Case</t>
    </r>
  </si>
  <si>
    <r>
      <t xml:space="preserve">O&amp;M Cost (2012 M$) - </t>
    </r>
    <r>
      <rPr>
        <b/>
        <sz val="12"/>
        <color rgb="FFC00000"/>
        <rFont val="Calibri"/>
        <family val="2"/>
        <scheme val="minor"/>
      </rPr>
      <t>BAU Case</t>
    </r>
  </si>
  <si>
    <r>
      <t xml:space="preserve">Price of Energy Usage (2012 M$) - </t>
    </r>
    <r>
      <rPr>
        <b/>
        <sz val="12"/>
        <color rgb="FFC00000"/>
        <rFont val="Calibri"/>
        <family val="2"/>
        <scheme val="minor"/>
      </rPr>
      <t>BAU Case</t>
    </r>
  </si>
  <si>
    <r>
      <t>Total Consumer Cost (2012 M$) -</t>
    </r>
    <r>
      <rPr>
        <b/>
        <sz val="12"/>
        <color rgb="FFC00000"/>
        <rFont val="Calibri"/>
        <family val="2"/>
        <scheme val="minor"/>
      </rPr>
      <t xml:space="preserve"> Least Cost Case</t>
    </r>
  </si>
  <si>
    <r>
      <t>Capital Cost (2012 M$) -</t>
    </r>
    <r>
      <rPr>
        <b/>
        <sz val="12"/>
        <color rgb="FFC00000"/>
        <rFont val="Calibri"/>
        <family val="2"/>
        <scheme val="minor"/>
      </rPr>
      <t xml:space="preserve"> Least Cost Case</t>
    </r>
  </si>
  <si>
    <r>
      <t xml:space="preserve">O&amp;M Cost (2012 M$) - </t>
    </r>
    <r>
      <rPr>
        <b/>
        <sz val="12"/>
        <color rgb="FFC00000"/>
        <rFont val="Calibri"/>
        <family val="2"/>
        <scheme val="minor"/>
      </rPr>
      <t>Least Cost Case</t>
    </r>
  </si>
  <si>
    <r>
      <t>Price of Energy Usage (2012 M$) -</t>
    </r>
    <r>
      <rPr>
        <b/>
        <sz val="12"/>
        <color rgb="FFC00000"/>
        <rFont val="Calibri"/>
        <family val="2"/>
        <scheme val="minor"/>
      </rPr>
      <t xml:space="preserve"> Least Cost Case</t>
    </r>
  </si>
  <si>
    <t>Source:  "RBSA Metering Final Report (2).docx" pulled out into "Book3.xls" from M. Jourabchi 9-24-14</t>
  </si>
  <si>
    <t>Heat rate of new CCCT unit (Btu/kWh)</t>
  </si>
  <si>
    <t>Source:  Gillian Charles email of September 24, 2014 per M. Jourabchi (6530 w/ duct firing)</t>
  </si>
  <si>
    <t>Wholesale Price of Natural Gas (2012$/mmBtu/Yr)</t>
  </si>
  <si>
    <t>Source:  ENERGY 2020 model data from "Q:\MJ\ex\Fuel\FUELMOD8 Rev 050114- 7P July 2014 .xlsx" per 7/15/2014 update from M. Jourabchi.</t>
  </si>
  <si>
    <t>Gas price (2012$/mmBtu)</t>
  </si>
  <si>
    <t>NPV (2012M$)</t>
  </si>
  <si>
    <t>Consumer Cost of Water Heating Replacements</t>
  </si>
  <si>
    <t>NPV (2012 M$)</t>
  </si>
  <si>
    <t>Change in Total Resource Costs due to Direct Use of Natural Gas (2012 M$)</t>
  </si>
  <si>
    <t>Capital Cost (Various Real $)</t>
  </si>
  <si>
    <t>O&amp;M Cost (2006$/ device/Yr)</t>
  </si>
  <si>
    <t>Gas Required (mmBtu/ device/Yr)</t>
  </si>
  <si>
    <t>Electricity Required (KWh/ device/Yr)</t>
  </si>
  <si>
    <t>User-Specified Assumptions</t>
  </si>
  <si>
    <t>Water Heater Ending</t>
  </si>
  <si>
    <t>Capital Cost Inflation Adjustment ($/$)</t>
  </si>
  <si>
    <r>
      <t xml:space="preserve">Marginal Market Share Forecast (Fraction) - </t>
    </r>
    <r>
      <rPr>
        <b/>
        <sz val="12"/>
        <color rgb="FFC00000"/>
        <rFont val="Calibri"/>
        <family val="2"/>
        <scheme val="minor"/>
      </rPr>
      <t>Least Cost Case</t>
    </r>
  </si>
  <si>
    <t>Cost Savings of Utility - Least Cost vs BAU Case (2012 $/Yr)</t>
  </si>
  <si>
    <t>Wholesale Price of Gas (2012$/mmBtu)</t>
  </si>
  <si>
    <t>Cost Savings of Utility - Least Cost vs BAU Case (2012 M$)</t>
  </si>
  <si>
    <t>NPV of Costs Savings to Utility - Least Cost vs BAU Case</t>
  </si>
  <si>
    <t>NPV 2012 M$</t>
  </si>
  <si>
    <t>Consumer's Increase in Natural Gas Usage (tBtu)</t>
  </si>
  <si>
    <t>Utility Reduction in Natural Gas Usage (tBtu)</t>
  </si>
  <si>
    <t>MWh to mmBtu conversion</t>
  </si>
  <si>
    <t>Net Change in Natural Gas Usage (tBtu)</t>
  </si>
  <si>
    <t>Gas Heat Rate (Btu/kWh)</t>
  </si>
  <si>
    <t>Reduction in Natural Gas Usage by Utility - Least Cost vs BAU Case</t>
  </si>
  <si>
    <t>Net Change in Natural Gas Usage</t>
  </si>
  <si>
    <t>Net Change in Natural Gas Usage (tBtu) - Least Cost vs BAU Case</t>
  </si>
  <si>
    <t>Decreased Consumer Cost of Least Cost Case</t>
  </si>
  <si>
    <t>Decreased Utility Cost of Least Cost Case (2012 M$)</t>
  </si>
  <si>
    <t>Total Cost Reduction of Least Cost Case</t>
  </si>
  <si>
    <t>Total Cost Reduction of Least Cost Case (2012 M$)</t>
  </si>
  <si>
    <t>Inflation Index (1.0=2006)</t>
  </si>
  <si>
    <t>Consumer Cost Reduction</t>
  </si>
  <si>
    <t>Utility Cost Reduction</t>
  </si>
  <si>
    <t>Total Resource Cost Reduction</t>
  </si>
  <si>
    <t>Cost Reduction of Least Cost vs BAU Case</t>
  </si>
  <si>
    <t>Utility Change in Natural Gas Usage</t>
  </si>
  <si>
    <t>Consumer's Change in Natural Gas Usage</t>
  </si>
  <si>
    <t>Reduction in Consumer Electricity Usage (MWh/Yr)</t>
  </si>
  <si>
    <t>Reduction in Utility Natural Gas Usage (tBtu/Yr)</t>
  </si>
  <si>
    <t>Reduction in Natural Gas Usage by Utility (tBtu)</t>
  </si>
  <si>
    <t>Stored in "Retail Rates_Northwest.xlsx"</t>
  </si>
  <si>
    <t>&gt;55 Gallons</t>
  </si>
  <si>
    <t>Note:  Values for electric resistance and gas tank are placeholders whose values are the same as &lt;= 55 gallon category.</t>
  </si>
  <si>
    <t>a. Electric resistance tanks &gt;55 gallons are required to replace with more efficient technologies, therefore:</t>
  </si>
  <si>
    <t xml:space="preserve">     - Turn off option to choose electric resistance or gas tank</t>
  </si>
  <si>
    <t xml:space="preserve">     - HPWH, Instant gas, and Condensing gas - set non-price factors to no market resistance</t>
  </si>
  <si>
    <t>No variance in non-price market shares across years:</t>
  </si>
  <si>
    <t>Number of households with access to gas, &gt;55</t>
  </si>
  <si>
    <t>Oregon</t>
  </si>
</sst>
</file>

<file path=xl/styles.xml><?xml version="1.0" encoding="utf-8"?>
<styleSheet xmlns="http://schemas.openxmlformats.org/spreadsheetml/2006/main">
  <numFmts count="1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0.0%"/>
    <numFmt numFmtId="167" formatCode="0.0"/>
    <numFmt numFmtId="168" formatCode="0.000"/>
    <numFmt numFmtId="169" formatCode="m/d/\ h:mm"/>
    <numFmt numFmtId="170" formatCode="0_);\(0\)"/>
    <numFmt numFmtId="171" formatCode="0.0000"/>
    <numFmt numFmtId="172" formatCode="#,##0.000"/>
    <numFmt numFmtId="173" formatCode="&quot;$&quot;#,##0.000"/>
    <numFmt numFmtId="174" formatCode="&quot;$&quot;#,##0.000_);[Red]\(&quot;$&quot;#,##0.000\)"/>
    <numFmt numFmtId="175" formatCode="#,##0.000000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rgb="FF00B050"/>
      <name val="Calibri"/>
      <family val="2"/>
      <scheme val="minor"/>
    </font>
    <font>
      <sz val="12"/>
      <color rgb="FF0000FF"/>
      <name val="Calibri"/>
      <family val="2"/>
      <scheme val="minor"/>
    </font>
    <font>
      <sz val="12"/>
      <name val="Calibri"/>
      <family val="2"/>
      <scheme val="minor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2"/>
      <name val="Times New Roman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2"/>
      <name val="Times New Roman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Helv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rgb="FF00B050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B050"/>
      <name val="Calibri"/>
      <family val="2"/>
      <scheme val="minor"/>
    </font>
    <font>
      <i/>
      <sz val="12"/>
      <color rgb="FF0000FF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u/>
      <sz val="12"/>
      <color rgb="FF0000FF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7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18" borderId="0" applyNumberFormat="0" applyAlignment="0">
      <alignment horizontal="right"/>
    </xf>
    <xf numFmtId="0" fontId="12" fillId="19" borderId="0" applyNumberFormat="0" applyAlignment="0"/>
    <xf numFmtId="169" fontId="15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0" borderId="0">
      <alignment horizontal="center" wrapText="1"/>
    </xf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3" borderId="1" applyNumberFormat="0" applyAlignment="0" applyProtection="0"/>
    <xf numFmtId="0" fontId="22" fillId="3" borderId="1" applyNumberFormat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>
      <alignment readingOrder="1"/>
    </xf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13" fillId="21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3" fillId="0" borderId="0"/>
    <xf numFmtId="0" fontId="13" fillId="0" borderId="0"/>
    <xf numFmtId="0" fontId="13" fillId="21" borderId="0"/>
    <xf numFmtId="0" fontId="13" fillId="21" borderId="0"/>
    <xf numFmtId="0" fontId="26" fillId="0" borderId="0" applyNumberFormat="0" applyFont="0" applyFill="0" applyBorder="0" applyAlignment="0" applyProtection="0"/>
    <xf numFmtId="0" fontId="25" fillId="0" borderId="0"/>
    <xf numFmtId="0" fontId="12" fillId="0" borderId="0">
      <alignment readingOrder="1"/>
    </xf>
    <xf numFmtId="0" fontId="13" fillId="0" borderId="0"/>
    <xf numFmtId="0" fontId="14" fillId="0" borderId="0"/>
    <xf numFmtId="0" fontId="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3" fillId="4" borderId="7" applyNumberFormat="0" applyFont="0" applyAlignment="0" applyProtection="0"/>
    <xf numFmtId="0" fontId="13" fillId="4" borderId="7" applyNumberFormat="0" applyFont="0" applyAlignment="0" applyProtection="0"/>
    <xf numFmtId="0" fontId="27" fillId="16" borderId="8" applyNumberFormat="0" applyAlignment="0" applyProtection="0"/>
    <xf numFmtId="0" fontId="27" fillId="16" borderId="8" applyNumberFormat="0" applyAlignment="0" applyProtection="0"/>
    <xf numFmtId="9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2" fillId="0" borderId="0"/>
    <xf numFmtId="0" fontId="12" fillId="0" borderId="0"/>
    <xf numFmtId="0" fontId="31" fillId="0" borderId="0"/>
    <xf numFmtId="43" fontId="31" fillId="0" borderId="0" applyFont="0" applyFill="0" applyBorder="0" applyAlignment="0" applyProtection="0"/>
  </cellStyleXfs>
  <cellXfs count="188">
    <xf numFmtId="0" fontId="0" fillId="0" borderId="0" xfId="0"/>
    <xf numFmtId="49" fontId="2" fillId="0" borderId="0" xfId="0" applyNumberFormat="1" applyFont="1" applyFill="1" applyBorder="1"/>
    <xf numFmtId="0" fontId="2" fillId="0" borderId="0" xfId="0" applyFont="1" applyFill="1" applyBorder="1"/>
    <xf numFmtId="1" fontId="4" fillId="0" borderId="0" xfId="0" applyNumberFormat="1" applyFont="1" applyFill="1" applyBorder="1"/>
    <xf numFmtId="168" fontId="4" fillId="0" borderId="0" xfId="0" applyNumberFormat="1" applyFont="1" applyFill="1" applyBorder="1"/>
    <xf numFmtId="0" fontId="6" fillId="0" borderId="0" xfId="0" applyFont="1" applyFill="1" applyBorder="1"/>
    <xf numFmtId="168" fontId="6" fillId="0" borderId="0" xfId="0" applyNumberFormat="1" applyFont="1" applyFill="1" applyBorder="1"/>
    <xf numFmtId="167" fontId="6" fillId="0" borderId="0" xfId="0" applyNumberFormat="1" applyFont="1" applyFill="1" applyBorder="1"/>
    <xf numFmtId="0" fontId="4" fillId="0" borderId="0" xfId="0" applyFont="1" applyFill="1" applyBorder="1"/>
    <xf numFmtId="0" fontId="2" fillId="0" borderId="0" xfId="0" applyFont="1"/>
    <xf numFmtId="2" fontId="2" fillId="0" borderId="0" xfId="0" applyNumberFormat="1" applyFont="1"/>
    <xf numFmtId="43" fontId="2" fillId="0" borderId="0" xfId="0" applyNumberFormat="1" applyFont="1"/>
    <xf numFmtId="0" fontId="32" fillId="0" borderId="0" xfId="0" applyFont="1"/>
    <xf numFmtId="170" fontId="2" fillId="0" borderId="0" xfId="0" applyNumberFormat="1" applyFont="1"/>
    <xf numFmtId="0" fontId="2" fillId="0" borderId="0" xfId="0" applyFont="1" applyAlignment="1">
      <alignment wrapText="1"/>
    </xf>
    <xf numFmtId="49" fontId="2" fillId="0" borderId="0" xfId="0" applyNumberFormat="1" applyFont="1"/>
    <xf numFmtId="0" fontId="2" fillId="0" borderId="0" xfId="165" applyFont="1"/>
    <xf numFmtId="0" fontId="32" fillId="0" borderId="0" xfId="0" applyFont="1" applyFill="1" applyBorder="1" applyAlignment="1">
      <alignment horizontal="center" wrapText="1"/>
    </xf>
    <xf numFmtId="0" fontId="33" fillId="0" borderId="0" xfId="0" applyFont="1" applyFill="1" applyBorder="1" applyAlignment="1">
      <alignment horizontal="center" wrapText="1"/>
    </xf>
    <xf numFmtId="0" fontId="32" fillId="0" borderId="0" xfId="0" applyFont="1" applyFill="1" applyBorder="1" applyAlignment="1">
      <alignment horizontal="center"/>
    </xf>
    <xf numFmtId="49" fontId="32" fillId="0" borderId="0" xfId="0" applyNumberFormat="1" applyFont="1" applyAlignment="1">
      <alignment wrapText="1"/>
    </xf>
    <xf numFmtId="170" fontId="32" fillId="0" borderId="0" xfId="0" applyNumberFormat="1" applyFont="1"/>
    <xf numFmtId="0" fontId="32" fillId="0" borderId="0" xfId="0" applyFont="1" applyAlignment="1">
      <alignment wrapText="1"/>
    </xf>
    <xf numFmtId="2" fontId="2" fillId="0" borderId="0" xfId="0" applyNumberFormat="1" applyFont="1" applyAlignment="1">
      <alignment wrapText="1"/>
    </xf>
    <xf numFmtId="2" fontId="32" fillId="0" borderId="0" xfId="0" applyNumberFormat="1" applyFont="1" applyAlignment="1">
      <alignment wrapText="1"/>
    </xf>
    <xf numFmtId="0" fontId="32" fillId="0" borderId="0" xfId="0" applyFont="1" applyAlignment="1">
      <alignment vertical="center"/>
    </xf>
    <xf numFmtId="0" fontId="32" fillId="0" borderId="0" xfId="0" applyFont="1" applyFill="1" applyBorder="1" applyAlignment="1">
      <alignment vertical="center"/>
    </xf>
    <xf numFmtId="5" fontId="2" fillId="0" borderId="0" xfId="0" applyNumberFormat="1" applyFont="1"/>
    <xf numFmtId="0" fontId="36" fillId="0" borderId="0" xfId="0" applyFont="1"/>
    <xf numFmtId="0" fontId="36" fillId="0" borderId="0" xfId="0" applyFont="1" applyAlignment="1">
      <alignment horizontal="left" indent="5"/>
    </xf>
    <xf numFmtId="0" fontId="36" fillId="0" borderId="0" xfId="0" applyFont="1" applyAlignment="1">
      <alignment horizontal="left" vertical="center"/>
    </xf>
    <xf numFmtId="0" fontId="5" fillId="0" borderId="0" xfId="0" applyFont="1" applyAlignment="1">
      <alignment horizontal="left" indent="2"/>
    </xf>
    <xf numFmtId="166" fontId="2" fillId="0" borderId="0" xfId="2" applyNumberFormat="1" applyFont="1"/>
    <xf numFmtId="3" fontId="2" fillId="0" borderId="0" xfId="0" applyNumberFormat="1" applyFont="1"/>
    <xf numFmtId="0" fontId="6" fillId="0" borderId="0" xfId="0" applyFont="1" applyAlignment="1">
      <alignment horizontal="left" indent="2"/>
    </xf>
    <xf numFmtId="2" fontId="5" fillId="0" borderId="0" xfId="0" applyNumberFormat="1" applyFont="1"/>
    <xf numFmtId="0" fontId="6" fillId="0" borderId="0" xfId="0" applyFont="1"/>
    <xf numFmtId="0" fontId="2" fillId="0" borderId="0" xfId="0" applyFont="1" applyAlignment="1">
      <alignment horizontal="left"/>
    </xf>
    <xf numFmtId="0" fontId="2" fillId="0" borderId="12" xfId="0" applyFont="1" applyBorder="1" applyAlignment="1">
      <alignment wrapText="1"/>
    </xf>
    <xf numFmtId="170" fontId="2" fillId="0" borderId="12" xfId="0" applyNumberFormat="1" applyFont="1" applyBorder="1"/>
    <xf numFmtId="2" fontId="2" fillId="0" borderId="12" xfId="0" applyNumberFormat="1" applyFont="1" applyBorder="1" applyAlignment="1">
      <alignment wrapText="1"/>
    </xf>
    <xf numFmtId="0" fontId="2" fillId="0" borderId="12" xfId="0" applyFont="1" applyBorder="1"/>
    <xf numFmtId="0" fontId="3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 applyBorder="1"/>
    <xf numFmtId="3" fontId="2" fillId="0" borderId="0" xfId="0" applyNumberFormat="1" applyFont="1" applyBorder="1"/>
    <xf numFmtId="3" fontId="36" fillId="0" borderId="0" xfId="0" applyNumberFormat="1" applyFont="1" applyBorder="1"/>
    <xf numFmtId="0" fontId="36" fillId="0" borderId="13" xfId="0" applyFont="1" applyBorder="1" applyAlignment="1">
      <alignment horizontal="left" wrapText="1"/>
    </xf>
    <xf numFmtId="0" fontId="36" fillId="0" borderId="13" xfId="0" applyFont="1" applyBorder="1" applyAlignment="1">
      <alignment wrapText="1"/>
    </xf>
    <xf numFmtId="3" fontId="36" fillId="0" borderId="13" xfId="0" applyNumberFormat="1" applyFont="1" applyBorder="1"/>
    <xf numFmtId="0" fontId="6" fillId="0" borderId="0" xfId="0" applyFont="1" applyBorder="1" applyAlignment="1">
      <alignment horizontal="left" indent="2"/>
    </xf>
    <xf numFmtId="0" fontId="37" fillId="0" borderId="0" xfId="0" applyFont="1" applyAlignment="1">
      <alignment horizontal="left" indent="2"/>
    </xf>
    <xf numFmtId="0" fontId="6" fillId="0" borderId="12" xfId="0" applyFont="1" applyBorder="1" applyAlignment="1">
      <alignment horizontal="left" indent="2"/>
    </xf>
    <xf numFmtId="0" fontId="2" fillId="0" borderId="0" xfId="0" applyFont="1" applyAlignment="1">
      <alignment horizontal="left" indent="1"/>
    </xf>
    <xf numFmtId="0" fontId="40" fillId="0" borderId="0" xfId="0" applyFont="1" applyFill="1" applyAlignment="1">
      <alignment vertical="center"/>
    </xf>
    <xf numFmtId="0" fontId="2" fillId="0" borderId="0" xfId="0" applyFont="1" applyAlignment="1">
      <alignment horizontal="right"/>
    </xf>
    <xf numFmtId="0" fontId="2" fillId="0" borderId="16" xfId="0" applyFont="1" applyBorder="1"/>
    <xf numFmtId="3" fontId="6" fillId="0" borderId="0" xfId="0" applyNumberFormat="1" applyFont="1" applyFill="1" applyBorder="1"/>
    <xf numFmtId="0" fontId="41" fillId="0" borderId="0" xfId="0" applyFont="1" applyFill="1" applyBorder="1"/>
    <xf numFmtId="1" fontId="6" fillId="0" borderId="0" xfId="0" applyNumberFormat="1" applyFont="1" applyFill="1" applyBorder="1"/>
    <xf numFmtId="165" fontId="2" fillId="0" borderId="0" xfId="0" applyNumberFormat="1" applyFont="1"/>
    <xf numFmtId="165" fontId="2" fillId="0" borderId="0" xfId="0" applyNumberFormat="1" applyFont="1" applyFill="1" applyBorder="1" applyAlignment="1">
      <alignment horizontal="right" wrapText="1"/>
    </xf>
    <xf numFmtId="172" fontId="2" fillId="0" borderId="0" xfId="0" applyNumberFormat="1" applyFont="1"/>
    <xf numFmtId="2" fontId="4" fillId="0" borderId="0" xfId="0" applyNumberFormat="1" applyFont="1"/>
    <xf numFmtId="0" fontId="32" fillId="0" borderId="0" xfId="165" applyFont="1"/>
    <xf numFmtId="0" fontId="32" fillId="22" borderId="17" xfId="0" applyFont="1" applyFill="1" applyBorder="1"/>
    <xf numFmtId="0" fontId="2" fillId="0" borderId="20" xfId="0" applyFont="1" applyBorder="1"/>
    <xf numFmtId="0" fontId="2" fillId="0" borderId="15" xfId="0" applyFont="1" applyBorder="1"/>
    <xf numFmtId="0" fontId="2" fillId="0" borderId="20" xfId="0" applyFont="1" applyBorder="1" applyAlignment="1">
      <alignment wrapText="1"/>
    </xf>
    <xf numFmtId="0" fontId="2" fillId="0" borderId="14" xfId="0" applyFont="1" applyBorder="1"/>
    <xf numFmtId="0" fontId="32" fillId="22" borderId="11" xfId="0" applyFont="1" applyFill="1" applyBorder="1"/>
    <xf numFmtId="0" fontId="5" fillId="0" borderId="21" xfId="0" applyFont="1" applyBorder="1" applyAlignment="1">
      <alignment horizontal="right"/>
    </xf>
    <xf numFmtId="0" fontId="5" fillId="0" borderId="21" xfId="0" applyFont="1" applyBorder="1"/>
    <xf numFmtId="0" fontId="37" fillId="0" borderId="0" xfId="165" applyFont="1"/>
    <xf numFmtId="0" fontId="33" fillId="0" borderId="0" xfId="0" applyFont="1" applyBorder="1" applyAlignment="1">
      <alignment horizontal="left"/>
    </xf>
    <xf numFmtId="0" fontId="37" fillId="0" borderId="0" xfId="0" applyFont="1" applyAlignment="1">
      <alignment horizontal="left"/>
    </xf>
    <xf numFmtId="0" fontId="35" fillId="0" borderId="0" xfId="0" applyFont="1" applyAlignment="1">
      <alignment horizontal="left"/>
    </xf>
    <xf numFmtId="0" fontId="2" fillId="0" borderId="0" xfId="0" applyFont="1" applyFill="1"/>
    <xf numFmtId="0" fontId="2" fillId="0" borderId="12" xfId="0" applyFont="1" applyFill="1" applyBorder="1"/>
    <xf numFmtId="164" fontId="2" fillId="0" borderId="0" xfId="0" applyNumberFormat="1" applyFont="1" applyBorder="1"/>
    <xf numFmtId="2" fontId="2" fillId="22" borderId="17" xfId="0" applyNumberFormat="1" applyFont="1" applyFill="1" applyBorder="1"/>
    <xf numFmtId="0" fontId="2" fillId="22" borderId="18" xfId="0" applyFont="1" applyFill="1" applyBorder="1"/>
    <xf numFmtId="2" fontId="2" fillId="0" borderId="20" xfId="0" applyNumberFormat="1" applyFont="1" applyBorder="1"/>
    <xf numFmtId="166" fontId="2" fillId="0" borderId="0" xfId="0" applyNumberFormat="1" applyFont="1" applyBorder="1"/>
    <xf numFmtId="166" fontId="2" fillId="0" borderId="15" xfId="0" applyNumberFormat="1" applyFont="1" applyBorder="1"/>
    <xf numFmtId="2" fontId="2" fillId="0" borderId="16" xfId="0" applyNumberFormat="1" applyFont="1" applyBorder="1"/>
    <xf numFmtId="166" fontId="2" fillId="0" borderId="12" xfId="0" applyNumberFormat="1" applyFont="1" applyBorder="1"/>
    <xf numFmtId="166" fontId="2" fillId="0" borderId="14" xfId="0" applyNumberFormat="1" applyFont="1" applyBorder="1"/>
    <xf numFmtId="0" fontId="2" fillId="22" borderId="18" xfId="0" applyFont="1" applyFill="1" applyBorder="1" applyAlignment="1">
      <alignment horizontal="center" wrapText="1"/>
    </xf>
    <xf numFmtId="172" fontId="2" fillId="0" borderId="0" xfId="0" applyNumberFormat="1" applyFont="1" applyBorder="1"/>
    <xf numFmtId="1" fontId="2" fillId="0" borderId="0" xfId="0" applyNumberFormat="1" applyFont="1" applyBorder="1"/>
    <xf numFmtId="172" fontId="2" fillId="0" borderId="12" xfId="0" applyNumberFormat="1" applyFont="1" applyBorder="1"/>
    <xf numFmtId="0" fontId="2" fillId="22" borderId="19" xfId="0" applyFont="1" applyFill="1" applyBorder="1"/>
    <xf numFmtId="0" fontId="2" fillId="22" borderId="19" xfId="0" applyFont="1" applyFill="1" applyBorder="1" applyAlignment="1">
      <alignment horizontal="center" wrapText="1"/>
    </xf>
    <xf numFmtId="0" fontId="34" fillId="0" borderId="0" xfId="0" applyFont="1" applyAlignment="1">
      <alignment vertical="center"/>
    </xf>
    <xf numFmtId="10" fontId="2" fillId="0" borderId="0" xfId="0" applyNumberFormat="1" applyFont="1" applyBorder="1"/>
    <xf numFmtId="2" fontId="2" fillId="0" borderId="0" xfId="0" applyNumberFormat="1" applyFont="1" applyBorder="1"/>
    <xf numFmtId="3" fontId="5" fillId="0" borderId="21" xfId="0" applyNumberFormat="1" applyFont="1" applyFill="1" applyBorder="1"/>
    <xf numFmtId="166" fontId="5" fillId="0" borderId="21" xfId="0" applyNumberFormat="1" applyFont="1" applyBorder="1"/>
    <xf numFmtId="171" fontId="5" fillId="0" borderId="0" xfId="0" applyNumberFormat="1" applyFont="1"/>
    <xf numFmtId="0" fontId="5" fillId="0" borderId="11" xfId="165" applyFont="1" applyBorder="1"/>
    <xf numFmtId="0" fontId="32" fillId="0" borderId="0" xfId="0" applyFont="1" applyAlignment="1">
      <alignment horizontal="left"/>
    </xf>
    <xf numFmtId="0" fontId="2" fillId="0" borderId="0" xfId="0" applyFont="1" applyFill="1" applyBorder="1" applyAlignment="1">
      <alignment horizontal="right" wrapText="1"/>
    </xf>
    <xf numFmtId="0" fontId="2" fillId="22" borderId="12" xfId="0" applyFont="1" applyFill="1" applyBorder="1" applyAlignment="1">
      <alignment horizontal="center" wrapText="1"/>
    </xf>
    <xf numFmtId="0" fontId="2" fillId="22" borderId="12" xfId="0" applyFont="1" applyFill="1" applyBorder="1"/>
    <xf numFmtId="1" fontId="6" fillId="0" borderId="12" xfId="0" applyNumberFormat="1" applyFont="1" applyFill="1" applyBorder="1"/>
    <xf numFmtId="0" fontId="32" fillId="22" borderId="18" xfId="0" applyFont="1" applyFill="1" applyBorder="1"/>
    <xf numFmtId="164" fontId="5" fillId="0" borderId="0" xfId="1" applyNumberFormat="1" applyFont="1" applyFill="1" applyBorder="1"/>
    <xf numFmtId="0" fontId="5" fillId="0" borderId="0" xfId="0" applyFont="1" applyAlignment="1">
      <alignment horizontal="center"/>
    </xf>
    <xf numFmtId="164" fontId="5" fillId="0" borderId="12" xfId="1" applyNumberFormat="1" applyFont="1" applyFill="1" applyBorder="1"/>
    <xf numFmtId="0" fontId="5" fillId="0" borderId="12" xfId="0" applyFont="1" applyBorder="1" applyAlignment="1">
      <alignment horizontal="center"/>
    </xf>
    <xf numFmtId="3" fontId="5" fillId="0" borderId="0" xfId="0" applyNumberFormat="1" applyFont="1" applyFill="1" applyBorder="1"/>
    <xf numFmtId="168" fontId="5" fillId="0" borderId="0" xfId="0" applyNumberFormat="1" applyFont="1" applyFill="1" applyBorder="1"/>
    <xf numFmtId="165" fontId="5" fillId="0" borderId="0" xfId="1" applyNumberFormat="1" applyFont="1" applyFill="1" applyBorder="1"/>
    <xf numFmtId="0" fontId="5" fillId="0" borderId="0" xfId="0" applyFont="1" applyFill="1" applyBorder="1"/>
    <xf numFmtId="3" fontId="5" fillId="0" borderId="12" xfId="0" applyNumberFormat="1" applyFont="1" applyFill="1" applyBorder="1"/>
    <xf numFmtId="168" fontId="5" fillId="0" borderId="12" xfId="0" applyNumberFormat="1" applyFont="1" applyFill="1" applyBorder="1"/>
    <xf numFmtId="165" fontId="5" fillId="0" borderId="12" xfId="1" applyNumberFormat="1" applyFont="1" applyFill="1" applyBorder="1"/>
    <xf numFmtId="0" fontId="5" fillId="0" borderId="12" xfId="0" applyFont="1" applyFill="1" applyBorder="1"/>
    <xf numFmtId="166" fontId="5" fillId="0" borderId="21" xfId="2" applyNumberFormat="1" applyFont="1" applyBorder="1"/>
    <xf numFmtId="166" fontId="5" fillId="0" borderId="22" xfId="2" applyNumberFormat="1" applyFont="1" applyBorder="1"/>
    <xf numFmtId="0" fontId="43" fillId="0" borderId="0" xfId="0" applyFont="1"/>
    <xf numFmtId="173" fontId="2" fillId="0" borderId="0" xfId="0" applyNumberFormat="1" applyFont="1"/>
    <xf numFmtId="173" fontId="2" fillId="0" borderId="0" xfId="0" applyNumberFormat="1" applyFont="1" applyBorder="1"/>
    <xf numFmtId="173" fontId="2" fillId="0" borderId="12" xfId="0" applyNumberFormat="1" applyFont="1" applyBorder="1"/>
    <xf numFmtId="0" fontId="2" fillId="0" borderId="0" xfId="0" applyFont="1" applyAlignment="1">
      <alignment vertical="center"/>
    </xf>
    <xf numFmtId="0" fontId="33" fillId="0" borderId="0" xfId="0" applyFont="1"/>
    <xf numFmtId="166" fontId="2" fillId="0" borderId="0" xfId="0" applyNumberFormat="1" applyFont="1"/>
    <xf numFmtId="173" fontId="36" fillId="0" borderId="13" xfId="0" applyNumberFormat="1" applyFont="1" applyBorder="1"/>
    <xf numFmtId="0" fontId="5" fillId="0" borderId="11" xfId="165" applyNumberFormat="1" applyFont="1" applyBorder="1" applyAlignment="1">
      <alignment horizontal="left"/>
    </xf>
    <xf numFmtId="168" fontId="2" fillId="0" borderId="0" xfId="0" applyNumberFormat="1" applyFont="1"/>
    <xf numFmtId="168" fontId="2" fillId="0" borderId="12" xfId="0" applyNumberFormat="1" applyFont="1" applyBorder="1"/>
    <xf numFmtId="168" fontId="2" fillId="0" borderId="0" xfId="0" applyNumberFormat="1" applyFont="1" applyBorder="1"/>
    <xf numFmtId="168" fontId="2" fillId="0" borderId="15" xfId="0" applyNumberFormat="1" applyFont="1" applyBorder="1"/>
    <xf numFmtId="168" fontId="2" fillId="0" borderId="14" xfId="0" applyNumberFormat="1" applyFont="1" applyBorder="1"/>
    <xf numFmtId="0" fontId="0" fillId="0" borderId="0" xfId="0" applyAlignment="1">
      <alignment wrapText="1"/>
    </xf>
    <xf numFmtId="0" fontId="32" fillId="22" borderId="19" xfId="0" applyFont="1" applyFill="1" applyBorder="1" applyAlignment="1">
      <alignment horizontal="center" wrapText="1"/>
    </xf>
    <xf numFmtId="0" fontId="2" fillId="0" borderId="0" xfId="0" applyFont="1" applyFill="1" applyBorder="1" applyAlignment="1"/>
    <xf numFmtId="0" fontId="6" fillId="0" borderId="0" xfId="0" applyFont="1" applyFill="1" applyBorder="1" applyAlignment="1"/>
    <xf numFmtId="0" fontId="32" fillId="0" borderId="12" xfId="0" applyFont="1" applyFill="1" applyBorder="1" applyAlignment="1">
      <alignment horizontal="left" wrapText="1"/>
    </xf>
    <xf numFmtId="0" fontId="6" fillId="22" borderId="10" xfId="165" applyFont="1" applyFill="1" applyBorder="1" applyAlignment="1">
      <alignment wrapText="1"/>
    </xf>
    <xf numFmtId="0" fontId="6" fillId="22" borderId="11" xfId="165" applyFont="1" applyFill="1" applyBorder="1" applyAlignment="1">
      <alignment wrapText="1"/>
    </xf>
    <xf numFmtId="0" fontId="5" fillId="0" borderId="0" xfId="0" applyFont="1" applyBorder="1" applyAlignment="1">
      <alignment horizontal="center"/>
    </xf>
    <xf numFmtId="2" fontId="2" fillId="22" borderId="12" xfId="0" applyNumberFormat="1" applyFont="1" applyFill="1" applyBorder="1" applyAlignment="1">
      <alignment wrapText="1"/>
    </xf>
    <xf numFmtId="170" fontId="2" fillId="22" borderId="12" xfId="0" applyNumberFormat="1" applyFont="1" applyFill="1" applyBorder="1"/>
    <xf numFmtId="0" fontId="32" fillId="0" borderId="12" xfId="0" applyFont="1" applyFill="1" applyBorder="1" applyAlignment="1">
      <alignment horizontal="center" wrapText="1"/>
    </xf>
    <xf numFmtId="0" fontId="44" fillId="0" borderId="0" xfId="0" applyFont="1" applyFill="1" applyBorder="1" applyAlignment="1"/>
    <xf numFmtId="0" fontId="45" fillId="0" borderId="0" xfId="0" applyFont="1" applyFill="1" applyBorder="1" applyAlignment="1"/>
    <xf numFmtId="0" fontId="2" fillId="0" borderId="0" xfId="0" applyFont="1" applyAlignment="1"/>
    <xf numFmtId="0" fontId="2" fillId="0" borderId="0" xfId="0" applyFont="1" applyBorder="1" applyAlignment="1"/>
    <xf numFmtId="172" fontId="2" fillId="0" borderId="0" xfId="0" applyNumberFormat="1" applyFont="1" applyAlignment="1"/>
    <xf numFmtId="168" fontId="2" fillId="0" borderId="0" xfId="0" applyNumberFormat="1" applyFont="1" applyAlignment="1"/>
    <xf numFmtId="0" fontId="2" fillId="0" borderId="12" xfId="0" applyFont="1" applyBorder="1" applyAlignment="1"/>
    <xf numFmtId="0" fontId="32" fillId="0" borderId="16" xfId="0" applyFont="1" applyBorder="1" applyAlignment="1"/>
    <xf numFmtId="0" fontId="2" fillId="22" borderId="17" xfId="0" applyFont="1" applyFill="1" applyBorder="1"/>
    <xf numFmtId="174" fontId="2" fillId="0" borderId="14" xfId="0" applyNumberFormat="1" applyFont="1" applyBorder="1"/>
    <xf numFmtId="0" fontId="2" fillId="0" borderId="16" xfId="0" applyFont="1" applyBorder="1" applyAlignment="1">
      <alignment wrapText="1"/>
    </xf>
    <xf numFmtId="175" fontId="2" fillId="0" borderId="12" xfId="0" applyNumberFormat="1" applyFont="1" applyBorder="1"/>
    <xf numFmtId="171" fontId="2" fillId="0" borderId="0" xfId="0" applyNumberFormat="1" applyFont="1"/>
    <xf numFmtId="0" fontId="2" fillId="0" borderId="20" xfId="0" applyFont="1" applyBorder="1" applyAlignment="1">
      <alignment horizontal="left" indent="1"/>
    </xf>
    <xf numFmtId="0" fontId="2" fillId="0" borderId="16" xfId="0" applyFont="1" applyBorder="1" applyAlignment="1">
      <alignment horizontal="left" indent="1"/>
    </xf>
    <xf numFmtId="0" fontId="36" fillId="0" borderId="14" xfId="0" applyFont="1" applyBorder="1"/>
    <xf numFmtId="166" fontId="2" fillId="0" borderId="14" xfId="2" applyNumberFormat="1" applyFont="1" applyBorder="1"/>
    <xf numFmtId="171" fontId="2" fillId="0" borderId="12" xfId="0" applyNumberFormat="1" applyFont="1" applyBorder="1"/>
    <xf numFmtId="1" fontId="2" fillId="22" borderId="12" xfId="0" applyNumberFormat="1" applyFont="1" applyFill="1" applyBorder="1"/>
    <xf numFmtId="167" fontId="2" fillId="0" borderId="0" xfId="0" applyNumberFormat="1" applyFont="1" applyFill="1" applyBorder="1"/>
    <xf numFmtId="168" fontId="2" fillId="0" borderId="20" xfId="0" applyNumberFormat="1" applyFont="1" applyBorder="1"/>
    <xf numFmtId="168" fontId="2" fillId="0" borderId="15" xfId="0" applyNumberFormat="1" applyFont="1" applyBorder="1" applyAlignment="1">
      <alignment wrapText="1"/>
    </xf>
    <xf numFmtId="168" fontId="2" fillId="0" borderId="16" xfId="0" applyNumberFormat="1" applyFont="1" applyBorder="1"/>
    <xf numFmtId="0" fontId="2" fillId="0" borderId="16" xfId="0" applyFont="1" applyFill="1" applyBorder="1"/>
    <xf numFmtId="0" fontId="2" fillId="0" borderId="20" xfId="0" applyFont="1" applyFill="1" applyBorder="1"/>
    <xf numFmtId="9" fontId="2" fillId="0" borderId="0" xfId="2" applyFont="1" applyFill="1" applyBorder="1"/>
    <xf numFmtId="0" fontId="2" fillId="0" borderId="0" xfId="0" quotePrefix="1" applyFont="1"/>
    <xf numFmtId="0" fontId="42" fillId="0" borderId="0" xfId="0" applyFont="1" applyAlignment="1">
      <alignment horizontal="left" indent="1"/>
    </xf>
    <xf numFmtId="0" fontId="35" fillId="0" borderId="0" xfId="0" applyFont="1" applyAlignment="1">
      <alignment horizontal="left" indent="1"/>
    </xf>
    <xf numFmtId="1" fontId="5" fillId="0" borderId="0" xfId="0" applyNumberFormat="1" applyFont="1" applyFill="1" applyBorder="1"/>
    <xf numFmtId="3" fontId="5" fillId="23" borderId="0" xfId="0" applyNumberFormat="1" applyFont="1" applyFill="1" applyBorder="1"/>
    <xf numFmtId="168" fontId="5" fillId="23" borderId="0" xfId="0" applyNumberFormat="1" applyFont="1" applyFill="1" applyBorder="1"/>
    <xf numFmtId="165" fontId="5" fillId="23" borderId="0" xfId="1" applyNumberFormat="1" applyFont="1" applyFill="1" applyBorder="1"/>
    <xf numFmtId="0" fontId="5" fillId="23" borderId="0" xfId="0" applyFont="1" applyFill="1" applyBorder="1"/>
    <xf numFmtId="0" fontId="36" fillId="23" borderId="0" xfId="0" applyFont="1" applyFill="1" applyBorder="1"/>
    <xf numFmtId="1" fontId="5" fillId="0" borderId="0" xfId="0" applyNumberFormat="1" applyFont="1"/>
    <xf numFmtId="0" fontId="34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32" fillId="0" borderId="12" xfId="0" applyFont="1" applyBorder="1" applyAlignment="1">
      <alignment vertical="center" wrapText="1"/>
    </xf>
    <xf numFmtId="0" fontId="0" fillId="0" borderId="12" xfId="0" applyBorder="1" applyAlignment="1">
      <alignment wrapText="1"/>
    </xf>
    <xf numFmtId="0" fontId="32" fillId="0" borderId="0" xfId="0" applyFont="1" applyBorder="1" applyAlignment="1">
      <alignment vertical="center" wrapText="1"/>
    </xf>
    <xf numFmtId="0" fontId="0" fillId="0" borderId="0" xfId="0" applyBorder="1" applyAlignment="1">
      <alignment wrapText="1"/>
    </xf>
  </cellXfs>
  <cellStyles count="167">
    <cellStyle name="20% - Accent1 2" xfId="3"/>
    <cellStyle name="20% - Accent1 3" xfId="4"/>
    <cellStyle name="20% - Accent2 2" xfId="5"/>
    <cellStyle name="20% - Accent2 3" xfId="6"/>
    <cellStyle name="20% - Accent3 2" xfId="7"/>
    <cellStyle name="20% - Accent3 3" xfId="8"/>
    <cellStyle name="20% - Accent4 2" xfId="9"/>
    <cellStyle name="20% - Accent4 3" xfId="10"/>
    <cellStyle name="20% - Accent5 2" xfId="11"/>
    <cellStyle name="20% - Accent5 3" xfId="12"/>
    <cellStyle name="20% - Accent6 2" xfId="13"/>
    <cellStyle name="20% - Accent6 3" xfId="14"/>
    <cellStyle name="40% - Accent1 2" xfId="15"/>
    <cellStyle name="40% - Accent1 3" xfId="16"/>
    <cellStyle name="40% - Accent2 2" xfId="17"/>
    <cellStyle name="40% - Accent2 3" xfId="18"/>
    <cellStyle name="40% - Accent3 2" xfId="19"/>
    <cellStyle name="40% - Accent3 3" xfId="20"/>
    <cellStyle name="40% - Accent4 2" xfId="21"/>
    <cellStyle name="40% - Accent4 3" xfId="22"/>
    <cellStyle name="40% - Accent5 2" xfId="23"/>
    <cellStyle name="40% - Accent5 3" xfId="24"/>
    <cellStyle name="40% - Accent6 2" xfId="25"/>
    <cellStyle name="40% - Accent6 3" xfId="26"/>
    <cellStyle name="60% - Accent1 2" xfId="27"/>
    <cellStyle name="60% - Accent1 3" xfId="28"/>
    <cellStyle name="60% - Accent2 2" xfId="29"/>
    <cellStyle name="60% - Accent2 3" xfId="30"/>
    <cellStyle name="60% - Accent3 2" xfId="31"/>
    <cellStyle name="60% - Accent3 3" xfId="32"/>
    <cellStyle name="60% - Accent4 2" xfId="33"/>
    <cellStyle name="60% - Accent4 3" xfId="34"/>
    <cellStyle name="60% - Accent5 2" xfId="35"/>
    <cellStyle name="60% - Accent5 3" xfId="36"/>
    <cellStyle name="60% - Accent6 2" xfId="37"/>
    <cellStyle name="60% - Accent6 3" xfId="38"/>
    <cellStyle name="Accent1 2" xfId="39"/>
    <cellStyle name="Accent1 3" xfId="40"/>
    <cellStyle name="Accent2 2" xfId="41"/>
    <cellStyle name="Accent2 3" xfId="42"/>
    <cellStyle name="Accent3 2" xfId="43"/>
    <cellStyle name="Accent3 3" xfId="44"/>
    <cellStyle name="Accent4 2" xfId="45"/>
    <cellStyle name="Accent4 3" xfId="46"/>
    <cellStyle name="Accent5 2" xfId="47"/>
    <cellStyle name="Accent5 3" xfId="48"/>
    <cellStyle name="Accent6 2" xfId="49"/>
    <cellStyle name="Accent6 3" xfId="50"/>
    <cellStyle name="Bad 2" xfId="51"/>
    <cellStyle name="Bad 3" xfId="52"/>
    <cellStyle name="Calculation 2" xfId="53"/>
    <cellStyle name="Calculation 3" xfId="54"/>
    <cellStyle name="Check Cell 2" xfId="55"/>
    <cellStyle name="Check Cell 3" xfId="56"/>
    <cellStyle name="Comma 2" xfId="57"/>
    <cellStyle name="Comma 3" xfId="58"/>
    <cellStyle name="Comma 3 2" xfId="59"/>
    <cellStyle name="Comma 4" xfId="60"/>
    <cellStyle name="Comma 5" xfId="61"/>
    <cellStyle name="Comma 6" xfId="62"/>
    <cellStyle name="Comma 7" xfId="166"/>
    <cellStyle name="Currency" xfId="1" builtinId="4"/>
    <cellStyle name="Currency 2" xfId="63"/>
    <cellStyle name="Currency 2 2" xfId="64"/>
    <cellStyle name="Currency 3" xfId="65"/>
    <cellStyle name="Currency 4" xfId="66"/>
    <cellStyle name="Data Field" xfId="67"/>
    <cellStyle name="Data Name" xfId="68"/>
    <cellStyle name="Date/Time" xfId="69"/>
    <cellStyle name="Explanatory Text 2" xfId="70"/>
    <cellStyle name="Explanatory Text 3" xfId="71"/>
    <cellStyle name="Good 2" xfId="72"/>
    <cellStyle name="Good 3" xfId="73"/>
    <cellStyle name="Heading" xfId="74"/>
    <cellStyle name="Heading 1 2" xfId="75"/>
    <cellStyle name="Heading 1 3" xfId="76"/>
    <cellStyle name="Heading 2 2" xfId="77"/>
    <cellStyle name="Heading 2 3" xfId="78"/>
    <cellStyle name="Heading 3 2" xfId="79"/>
    <cellStyle name="Heading 3 3" xfId="80"/>
    <cellStyle name="Heading 4 2" xfId="81"/>
    <cellStyle name="Heading 4 3" xfId="82"/>
    <cellStyle name="Input 2" xfId="83"/>
    <cellStyle name="Input 3" xfId="84"/>
    <cellStyle name="Linked Cell 2" xfId="85"/>
    <cellStyle name="Linked Cell 3" xfId="86"/>
    <cellStyle name="Neutral 2" xfId="87"/>
    <cellStyle name="Neutral 3" xfId="88"/>
    <cellStyle name="Normal" xfId="0" builtinId="0"/>
    <cellStyle name="Normal 10" xfId="89"/>
    <cellStyle name="Normal 11" xfId="90"/>
    <cellStyle name="Normal 12" xfId="91"/>
    <cellStyle name="Normal 13" xfId="92"/>
    <cellStyle name="Normal 14" xfId="93"/>
    <cellStyle name="Normal 15" xfId="94"/>
    <cellStyle name="Normal 16" xfId="95"/>
    <cellStyle name="Normal 17" xfId="96"/>
    <cellStyle name="Normal 18" xfId="97"/>
    <cellStyle name="Normal 19" xfId="98"/>
    <cellStyle name="Normal 2" xfId="99"/>
    <cellStyle name="Normal 2 2" xfId="100"/>
    <cellStyle name="Normal 20" xfId="101"/>
    <cellStyle name="Normal 21" xfId="102"/>
    <cellStyle name="Normal 22" xfId="103"/>
    <cellStyle name="Normal 23" xfId="104"/>
    <cellStyle name="Normal 24" xfId="105"/>
    <cellStyle name="Normal 25" xfId="106"/>
    <cellStyle name="Normal 26" xfId="107"/>
    <cellStyle name="Normal 27" xfId="108"/>
    <cellStyle name="Normal 28" xfId="109"/>
    <cellStyle name="Normal 29" xfId="110"/>
    <cellStyle name="Normal 3" xfId="111"/>
    <cellStyle name="Normal 30" xfId="112"/>
    <cellStyle name="Normal 31" xfId="113"/>
    <cellStyle name="Normal 32" xfId="114"/>
    <cellStyle name="Normal 33" xfId="115"/>
    <cellStyle name="Normal 34" xfId="116"/>
    <cellStyle name="Normal 35" xfId="117"/>
    <cellStyle name="Normal 36" xfId="118"/>
    <cellStyle name="Normal 37" xfId="119"/>
    <cellStyle name="Normal 38" xfId="120"/>
    <cellStyle name="Normal 39" xfId="121"/>
    <cellStyle name="Normal 4" xfId="122"/>
    <cellStyle name="Normal 40" xfId="123"/>
    <cellStyle name="Normal 41" xfId="124"/>
    <cellStyle name="Normal 42" xfId="125"/>
    <cellStyle name="Normal 43" xfId="126"/>
    <cellStyle name="Normal 44" xfId="127"/>
    <cellStyle name="Normal 45" xfId="128"/>
    <cellStyle name="Normal 46" xfId="129"/>
    <cellStyle name="Normal 47" xfId="130"/>
    <cellStyle name="Normal 47 2" xfId="131"/>
    <cellStyle name="Normal 48" xfId="132"/>
    <cellStyle name="Normal 48 2" xfId="133"/>
    <cellStyle name="Normal 49" xfId="134"/>
    <cellStyle name="Normal 5" xfId="135"/>
    <cellStyle name="Normal 50" xfId="136"/>
    <cellStyle name="Normal 51" xfId="137"/>
    <cellStyle name="Normal 52" xfId="138"/>
    <cellStyle name="Normal 53" xfId="139"/>
    <cellStyle name="Normal 54" xfId="165"/>
    <cellStyle name="Normal 6" xfId="140"/>
    <cellStyle name="Normal 7" xfId="141"/>
    <cellStyle name="Normal 8" xfId="142"/>
    <cellStyle name="Normal 9" xfId="143"/>
    <cellStyle name="Note 2" xfId="144"/>
    <cellStyle name="Note 3" xfId="145"/>
    <cellStyle name="Output 2" xfId="146"/>
    <cellStyle name="Output 3" xfId="147"/>
    <cellStyle name="Percent" xfId="2" builtinId="5"/>
    <cellStyle name="Percent 2" xfId="148"/>
    <cellStyle name="Percent 2 2" xfId="149"/>
    <cellStyle name="Percent 3" xfId="150"/>
    <cellStyle name="Percent 3 2" xfId="151"/>
    <cellStyle name="Percent 3 3" xfId="152"/>
    <cellStyle name="Percent 4" xfId="153"/>
    <cellStyle name="Percent 5" xfId="154"/>
    <cellStyle name="Percent 6" xfId="155"/>
    <cellStyle name="Percent 7" xfId="156"/>
    <cellStyle name="Title 2" xfId="157"/>
    <cellStyle name="Title 3" xfId="158"/>
    <cellStyle name="Total 2" xfId="159"/>
    <cellStyle name="Total 3" xfId="160"/>
    <cellStyle name="Warning Text 2" xfId="161"/>
    <cellStyle name="Warning Text 3" xfId="162"/>
    <cellStyle name="표준_ENERGY CONSUMP" xfId="163"/>
    <cellStyle name="常规_海外市场服务网站资料操作BOM" xfId="164"/>
  </cellStyles>
  <dxfs count="24">
    <dxf>
      <fill>
        <patternFill>
          <bgColor theme="2" tint="-9.9948118533890809E-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0000FF"/>
      <color rgb="FF0064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23176145405812895"/>
          <c:y val="3.296678793314415E-2"/>
          <c:w val="0.54370985763674384"/>
          <c:h val="0.9097268288391327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Val val="1"/>
            <c:showCatName val="1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'Summary-Results'!$B$5:$B$9</c:f>
              <c:strCache>
                <c:ptCount val="5"/>
                <c:pt idx="0">
                  <c:v>Electric Resistance</c:v>
                </c:pt>
                <c:pt idx="1">
                  <c:v>HPWH</c:v>
                </c:pt>
                <c:pt idx="2">
                  <c:v>Gas Tank</c:v>
                </c:pt>
                <c:pt idx="3">
                  <c:v>Instant Gas</c:v>
                </c:pt>
                <c:pt idx="4">
                  <c:v>Condensing Gas</c:v>
                </c:pt>
              </c:strCache>
            </c:strRef>
          </c:cat>
          <c:val>
            <c:numRef>
              <c:f>'Summary-Results'!$D$5:$D$9</c:f>
              <c:numCache>
                <c:formatCode>0.0%</c:formatCode>
                <c:ptCount val="5"/>
                <c:pt idx="0">
                  <c:v>1.4208629112870023E-5</c:v>
                </c:pt>
                <c:pt idx="1">
                  <c:v>0.49888819686910107</c:v>
                </c:pt>
                <c:pt idx="2">
                  <c:v>3.1877041979048913E-5</c:v>
                </c:pt>
                <c:pt idx="3">
                  <c:v>0.16269251849359345</c:v>
                </c:pt>
                <c:pt idx="4">
                  <c:v>0.33837319896621348</c:v>
                </c:pt>
              </c:numCache>
            </c:numRef>
          </c:val>
        </c:ser>
        <c:dLbls>
          <c:showVal val="1"/>
        </c:dLbls>
        <c:firstSliceAng val="0"/>
      </c:pieChart>
    </c:plotArea>
    <c:plotVisOnly val="1"/>
    <c:dispBlanksAs val="zero"/>
  </c:chart>
  <c:txPr>
    <a:bodyPr/>
    <a:lstStyle/>
    <a:p>
      <a:pPr>
        <a:defRPr sz="1200"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8.9351880573004513E-2"/>
          <c:y val="0.14265634313752404"/>
          <c:w val="0.66305553558026065"/>
          <c:h val="0.70451904432123713"/>
        </c:manualLayout>
      </c:layout>
      <c:barChart>
        <c:barDir val="col"/>
        <c:grouping val="percentStacked"/>
        <c:ser>
          <c:idx val="0"/>
          <c:order val="0"/>
          <c:tx>
            <c:strRef>
              <c:f>'Summary-Results'!$B$5</c:f>
              <c:strCache>
                <c:ptCount val="1"/>
                <c:pt idx="0">
                  <c:v>Electric Resistance</c:v>
                </c:pt>
              </c:strCache>
            </c:strRef>
          </c:tx>
          <c:cat>
            <c:strRef>
              <c:f>'Summary-Results'!$C$4:$E$4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'Summary-Results'!$C$5:$E$5</c:f>
              <c:numCache>
                <c:formatCode>0.0%</c:formatCode>
                <c:ptCount val="3"/>
                <c:pt idx="0">
                  <c:v>0.99988281249542088</c:v>
                </c:pt>
                <c:pt idx="1">
                  <c:v>1.4208629112870023E-5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'Summary-Results'!$B$6</c:f>
              <c:strCache>
                <c:ptCount val="1"/>
                <c:pt idx="0">
                  <c:v>HPWH</c:v>
                </c:pt>
              </c:strCache>
            </c:strRef>
          </c:tx>
          <c:cat>
            <c:strRef>
              <c:f>'Summary-Results'!$C$4:$E$4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'Summary-Results'!$C$6:$E$6</c:f>
              <c:numCache>
                <c:formatCode>0.0%</c:formatCode>
                <c:ptCount val="3"/>
                <c:pt idx="0">
                  <c:v>5.9819143856032193E-5</c:v>
                </c:pt>
                <c:pt idx="1">
                  <c:v>0.49888819686910107</c:v>
                </c:pt>
                <c:pt idx="2">
                  <c:v>1</c:v>
                </c:pt>
              </c:numCache>
            </c:numRef>
          </c:val>
        </c:ser>
        <c:ser>
          <c:idx val="2"/>
          <c:order val="2"/>
          <c:tx>
            <c:strRef>
              <c:f>'Summary-Results'!$B$7</c:f>
              <c:strCache>
                <c:ptCount val="1"/>
                <c:pt idx="0">
                  <c:v>Gas Tank</c:v>
                </c:pt>
              </c:strCache>
            </c:strRef>
          </c:tx>
          <c:cat>
            <c:strRef>
              <c:f>'Summary-Results'!$C$4:$E$4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'Summary-Results'!$C$7:$E$7</c:f>
              <c:numCache>
                <c:formatCode>0.0%</c:formatCode>
                <c:ptCount val="3"/>
                <c:pt idx="0">
                  <c:v>4.5468847504038054E-9</c:v>
                </c:pt>
                <c:pt idx="1">
                  <c:v>3.1877041979048913E-5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'Summary-Results'!$B$8</c:f>
              <c:strCache>
                <c:ptCount val="1"/>
                <c:pt idx="0">
                  <c:v>Instant Gas</c:v>
                </c:pt>
              </c:strCache>
            </c:strRef>
          </c:tx>
          <c:cat>
            <c:strRef>
              <c:f>'Summary-Results'!$C$4:$E$4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'Summary-Results'!$C$8:$E$8</c:f>
              <c:numCache>
                <c:formatCode>0.0%</c:formatCode>
                <c:ptCount val="3"/>
                <c:pt idx="0">
                  <c:v>1.7343939965847487E-5</c:v>
                </c:pt>
                <c:pt idx="1">
                  <c:v>0.16269251849359345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'Summary-Results'!$B$9</c:f>
              <c:strCache>
                <c:ptCount val="1"/>
                <c:pt idx="0">
                  <c:v>Condensing Gas</c:v>
                </c:pt>
              </c:strCache>
            </c:strRef>
          </c:tx>
          <c:cat>
            <c:strRef>
              <c:f>'Summary-Results'!$C$4:$E$4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'Summary-Results'!$C$9:$E$9</c:f>
              <c:numCache>
                <c:formatCode>0.0%</c:formatCode>
                <c:ptCount val="3"/>
                <c:pt idx="0">
                  <c:v>4.0019873872483122E-5</c:v>
                </c:pt>
                <c:pt idx="1">
                  <c:v>0.33837319896621348</c:v>
                </c:pt>
                <c:pt idx="2">
                  <c:v>0</c:v>
                </c:pt>
              </c:numCache>
            </c:numRef>
          </c:val>
        </c:ser>
        <c:overlap val="100"/>
        <c:axId val="200753152"/>
        <c:axId val="200754688"/>
      </c:barChart>
      <c:catAx>
        <c:axId val="200753152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0754688"/>
        <c:crosses val="autoZero"/>
        <c:auto val="1"/>
        <c:lblAlgn val="ctr"/>
        <c:lblOffset val="100"/>
      </c:catAx>
      <c:valAx>
        <c:axId val="200754688"/>
        <c:scaling>
          <c:orientation val="minMax"/>
        </c:scaling>
        <c:axPos val="l"/>
        <c:majorGridlines/>
        <c:numFmt formatCode="0%" sourceLinked="1"/>
        <c:tickLblPos val="nextTo"/>
        <c:crossAx val="200753152"/>
        <c:crosses val="autoZero"/>
        <c:crossBetween val="between"/>
      </c:valAx>
      <c:spPr>
        <a:scene3d>
          <a:camera prst="orthographicFront"/>
          <a:lightRig rig="threePt" dir="t"/>
        </a:scene3d>
        <a:sp3d>
          <a:bevelT w="19050"/>
          <a:bevelB/>
        </a:sp3d>
      </c:spPr>
    </c:plotArea>
    <c:legend>
      <c:legendPos val="r"/>
      <c:layout>
        <c:manualLayout>
          <c:xMode val="edge"/>
          <c:yMode val="edge"/>
          <c:x val="0.76521318009640027"/>
          <c:y val="0.29779540120492565"/>
          <c:w val="0.22224763701402239"/>
          <c:h val="0.40440888697828092"/>
        </c:manualLayout>
      </c:layout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7.9449639107611575E-2"/>
          <c:y val="0.12927063506374675"/>
          <c:w val="0.65733054461942264"/>
          <c:h val="0.74259782412694597"/>
        </c:manualLayout>
      </c:layout>
      <c:barChart>
        <c:barDir val="col"/>
        <c:grouping val="percentStacked"/>
        <c:ser>
          <c:idx val="0"/>
          <c:order val="0"/>
          <c:tx>
            <c:strRef>
              <c:f>'Summary-Results'!$B$13</c:f>
              <c:strCache>
                <c:ptCount val="1"/>
                <c:pt idx="0">
                  <c:v>Electric Resistance</c:v>
                </c:pt>
              </c:strCache>
            </c:strRef>
          </c:tx>
          <c:cat>
            <c:strRef>
              <c:f>'Summary-Results'!$C$12:$E$12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'Summary-Results'!$C$13:$E$13</c:f>
              <c:numCache>
                <c:formatCode>0.0%</c:formatCode>
                <c:ptCount val="3"/>
                <c:pt idx="0">
                  <c:v>1</c:v>
                </c:pt>
                <c:pt idx="1">
                  <c:v>0.21093396992009458</c:v>
                </c:pt>
                <c:pt idx="2">
                  <c:v>0.21092188755086916</c:v>
                </c:pt>
              </c:numCache>
            </c:numRef>
          </c:val>
        </c:ser>
        <c:ser>
          <c:idx val="1"/>
          <c:order val="1"/>
          <c:tx>
            <c:strRef>
              <c:f>'Summary-Results'!$B$14</c:f>
              <c:strCache>
                <c:ptCount val="1"/>
                <c:pt idx="0">
                  <c:v>HPWH</c:v>
                </c:pt>
              </c:strCache>
            </c:strRef>
          </c:tx>
          <c:cat>
            <c:strRef>
              <c:f>'Summary-Results'!$C$12:$E$12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'Summary-Results'!$C$14:$E$14</c:f>
              <c:numCache>
                <c:formatCode>0.0%</c:formatCode>
                <c:ptCount val="3"/>
                <c:pt idx="0">
                  <c:v>0</c:v>
                </c:pt>
                <c:pt idx="1">
                  <c:v>0.39673112971235236</c:v>
                </c:pt>
                <c:pt idx="2">
                  <c:v>0.78907811244913095</c:v>
                </c:pt>
              </c:numCache>
            </c:numRef>
          </c:val>
        </c:ser>
        <c:ser>
          <c:idx val="2"/>
          <c:order val="2"/>
          <c:tx>
            <c:strRef>
              <c:f>'Summary-Results'!$B$15</c:f>
              <c:strCache>
                <c:ptCount val="1"/>
                <c:pt idx="0">
                  <c:v>Gas Tank</c:v>
                </c:pt>
              </c:strCache>
            </c:strRef>
          </c:tx>
          <c:cat>
            <c:strRef>
              <c:f>'Summary-Results'!$C$12:$E$12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'Summary-Results'!$C$15:$E$15</c:f>
              <c:numCache>
                <c:formatCode>0.0%</c:formatCode>
                <c:ptCount val="3"/>
                <c:pt idx="0">
                  <c:v>0</c:v>
                </c:pt>
                <c:pt idx="1">
                  <c:v>2.6991905195314968E-5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'Summary-Results'!$B$16</c:f>
              <c:strCache>
                <c:ptCount val="1"/>
                <c:pt idx="0">
                  <c:v>Instant Gas</c:v>
                </c:pt>
              </c:strCache>
            </c:strRef>
          </c:tx>
          <c:cat>
            <c:strRef>
              <c:f>'Summary-Results'!$C$12:$E$12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'Summary-Results'!$C$16:$E$16</c:f>
              <c:numCache>
                <c:formatCode>0.0%</c:formatCode>
                <c:ptCount val="3"/>
                <c:pt idx="0">
                  <c:v>0</c:v>
                </c:pt>
                <c:pt idx="1">
                  <c:v>0.12423647611298606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'Summary-Results'!$B$17</c:f>
              <c:strCache>
                <c:ptCount val="1"/>
                <c:pt idx="0">
                  <c:v>Condensing Gas</c:v>
                </c:pt>
              </c:strCache>
            </c:strRef>
          </c:tx>
          <c:cat>
            <c:strRef>
              <c:f>'Summary-Results'!$C$12:$E$12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'Summary-Results'!$C$17:$E$17</c:f>
              <c:numCache>
                <c:formatCode>0.0%</c:formatCode>
                <c:ptCount val="3"/>
                <c:pt idx="0">
                  <c:v>0</c:v>
                </c:pt>
                <c:pt idx="1">
                  <c:v>0.2680714323493717</c:v>
                </c:pt>
                <c:pt idx="2">
                  <c:v>0</c:v>
                </c:pt>
              </c:numCache>
            </c:numRef>
          </c:val>
        </c:ser>
        <c:gapWidth val="100"/>
        <c:overlap val="100"/>
        <c:axId val="213871616"/>
        <c:axId val="220247168"/>
      </c:barChart>
      <c:catAx>
        <c:axId val="213871616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20247168"/>
        <c:crosses val="autoZero"/>
        <c:auto val="1"/>
        <c:lblAlgn val="ctr"/>
        <c:lblOffset val="100"/>
      </c:catAx>
      <c:valAx>
        <c:axId val="220247168"/>
        <c:scaling>
          <c:orientation val="minMax"/>
        </c:scaling>
        <c:axPos val="l"/>
        <c:majorGridlines/>
        <c:numFmt formatCode="0%" sourceLinked="1"/>
        <c:tickLblPos val="nextTo"/>
        <c:crossAx val="213871616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0075226817120301E-2"/>
          <c:y val="0.10445850439979631"/>
          <c:w val="0.69082274164548352"/>
          <c:h val="0.81140495977045668"/>
        </c:manualLayout>
      </c:layout>
      <c:barChart>
        <c:barDir val="col"/>
        <c:grouping val="percentStacked"/>
        <c:ser>
          <c:idx val="0"/>
          <c:order val="0"/>
          <c:tx>
            <c:strRef>
              <c:f>'Summary-Results'!$B$21</c:f>
              <c:strCache>
                <c:ptCount val="1"/>
                <c:pt idx="0">
                  <c:v>Electric Resistance</c:v>
                </c:pt>
              </c:strCache>
            </c:strRef>
          </c:tx>
          <c:cat>
            <c:numRef>
              <c:f>'Summary-Results'!$C$20:$G$20</c:f>
              <c:numCache>
                <c:formatCode>General</c:formatCode>
                <c:ptCount val="5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</c:numCache>
            </c:numRef>
          </c:cat>
          <c:val>
            <c:numRef>
              <c:f>'Summary-Results'!$C$21:$G$21</c:f>
              <c:numCache>
                <c:formatCode>0.0%</c:formatCode>
                <c:ptCount val="5"/>
                <c:pt idx="0">
                  <c:v>0.92857267136304311</c:v>
                </c:pt>
                <c:pt idx="1">
                  <c:v>0.64105606261733017</c:v>
                </c:pt>
                <c:pt idx="2">
                  <c:v>0.44256539296502101</c:v>
                </c:pt>
                <c:pt idx="3">
                  <c:v>0.30553482669176663</c:v>
                </c:pt>
                <c:pt idx="4">
                  <c:v>0.21093396992009458</c:v>
                </c:pt>
              </c:numCache>
            </c:numRef>
          </c:val>
        </c:ser>
        <c:ser>
          <c:idx val="1"/>
          <c:order val="1"/>
          <c:tx>
            <c:strRef>
              <c:f>'Summary-Results'!$B$22</c:f>
              <c:strCache>
                <c:ptCount val="1"/>
                <c:pt idx="0">
                  <c:v>HPWH</c:v>
                </c:pt>
              </c:strCache>
            </c:strRef>
          </c:tx>
          <c:cat>
            <c:numRef>
              <c:f>'Summary-Results'!$C$20:$G$20</c:f>
              <c:numCache>
                <c:formatCode>General</c:formatCode>
                <c:ptCount val="5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</c:numCache>
            </c:numRef>
          </c:cat>
          <c:val>
            <c:numRef>
              <c:f>'Summary-Results'!$C$22:$G$22</c:f>
              <c:numCache>
                <c:formatCode>0.0%</c:formatCode>
                <c:ptCount val="5"/>
                <c:pt idx="0">
                  <c:v>3.6417770756105153E-2</c:v>
                </c:pt>
                <c:pt idx="1">
                  <c:v>0.18243660288088648</c:v>
                </c:pt>
                <c:pt idx="2">
                  <c:v>0.28235825670028408</c:v>
                </c:pt>
                <c:pt idx="3">
                  <c:v>0.35049504157848926</c:v>
                </c:pt>
                <c:pt idx="4">
                  <c:v>0.39673112971235236</c:v>
                </c:pt>
              </c:numCache>
            </c:numRef>
          </c:val>
        </c:ser>
        <c:ser>
          <c:idx val="2"/>
          <c:order val="2"/>
          <c:tx>
            <c:strRef>
              <c:f>'Summary-Results'!$B$23</c:f>
              <c:strCache>
                <c:ptCount val="1"/>
                <c:pt idx="0">
                  <c:v>Gas Tank</c:v>
                </c:pt>
              </c:strCache>
            </c:strRef>
          </c:tx>
          <c:cat>
            <c:numRef>
              <c:f>'Summary-Results'!$C$20:$G$20</c:f>
              <c:numCache>
                <c:formatCode>General</c:formatCode>
                <c:ptCount val="5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</c:numCache>
            </c:numRef>
          </c:cat>
          <c:val>
            <c:numRef>
              <c:f>'Summary-Results'!$C$23:$G$23</c:f>
              <c:numCache>
                <c:formatCode>0.0%</c:formatCode>
                <c:ptCount val="5"/>
                <c:pt idx="0">
                  <c:v>2.745628489090469E-6</c:v>
                </c:pt>
                <c:pt idx="1">
                  <c:v>1.34533296165269E-5</c:v>
                </c:pt>
                <c:pt idx="2">
                  <c:v>2.0316722058338654E-5</c:v>
                </c:pt>
                <c:pt idx="3">
                  <c:v>2.4550173117411981E-5</c:v>
                </c:pt>
                <c:pt idx="4">
                  <c:v>2.6991905195314968E-5</c:v>
                </c:pt>
              </c:numCache>
            </c:numRef>
          </c:val>
        </c:ser>
        <c:ser>
          <c:idx val="3"/>
          <c:order val="3"/>
          <c:tx>
            <c:strRef>
              <c:f>'Summary-Results'!$B$24</c:f>
              <c:strCache>
                <c:ptCount val="1"/>
                <c:pt idx="0">
                  <c:v>Instant Gas</c:v>
                </c:pt>
              </c:strCache>
            </c:strRef>
          </c:tx>
          <c:cat>
            <c:numRef>
              <c:f>'Summary-Results'!$C$20:$G$20</c:f>
              <c:numCache>
                <c:formatCode>General</c:formatCode>
                <c:ptCount val="5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</c:numCache>
            </c:numRef>
          </c:cat>
          <c:val>
            <c:numRef>
              <c:f>'Summary-Results'!$C$24:$G$24</c:f>
              <c:numCache>
                <c:formatCode>0.0%</c:formatCode>
                <c:ptCount val="5"/>
                <c:pt idx="0">
                  <c:v>1.0619478263883266E-2</c:v>
                </c:pt>
                <c:pt idx="1">
                  <c:v>5.4029629439949454E-2</c:v>
                </c:pt>
                <c:pt idx="2">
                  <c:v>8.5068457528955199E-2</c:v>
                </c:pt>
                <c:pt idx="3">
                  <c:v>0.10758582313610922</c:v>
                </c:pt>
                <c:pt idx="4">
                  <c:v>0.12423647611298606</c:v>
                </c:pt>
              </c:numCache>
            </c:numRef>
          </c:val>
        </c:ser>
        <c:ser>
          <c:idx val="4"/>
          <c:order val="4"/>
          <c:tx>
            <c:strRef>
              <c:f>'Summary-Results'!$B$25</c:f>
              <c:strCache>
                <c:ptCount val="1"/>
                <c:pt idx="0">
                  <c:v>Condensing Gas</c:v>
                </c:pt>
              </c:strCache>
            </c:strRef>
          </c:tx>
          <c:cat>
            <c:numRef>
              <c:f>'Summary-Results'!$C$20:$G$20</c:f>
              <c:numCache>
                <c:formatCode>General</c:formatCode>
                <c:ptCount val="5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</c:numCache>
            </c:numRef>
          </c:cat>
          <c:val>
            <c:numRef>
              <c:f>'Summary-Results'!$C$25:$G$25</c:f>
              <c:numCache>
                <c:formatCode>0.0%</c:formatCode>
                <c:ptCount val="5"/>
                <c:pt idx="0">
                  <c:v>2.4387333988479337E-2</c:v>
                </c:pt>
                <c:pt idx="1">
                  <c:v>0.12246425173221755</c:v>
                </c:pt>
                <c:pt idx="2">
                  <c:v>0.18998757608368133</c:v>
                </c:pt>
                <c:pt idx="3">
                  <c:v>0.23635975842051735</c:v>
                </c:pt>
                <c:pt idx="4">
                  <c:v>0.2680714323493717</c:v>
                </c:pt>
              </c:numCache>
            </c:numRef>
          </c:val>
        </c:ser>
        <c:overlap val="100"/>
        <c:axId val="253260928"/>
        <c:axId val="253624320"/>
      </c:barChart>
      <c:catAx>
        <c:axId val="253260928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53624320"/>
        <c:crosses val="autoZero"/>
        <c:auto val="1"/>
        <c:lblAlgn val="ctr"/>
        <c:lblOffset val="100"/>
      </c:catAx>
      <c:valAx>
        <c:axId val="253624320"/>
        <c:scaling>
          <c:orientation val="minMax"/>
        </c:scaling>
        <c:axPos val="l"/>
        <c:majorGridlines/>
        <c:numFmt formatCode="0%" sourceLinked="1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53260928"/>
        <c:crosses val="autoZero"/>
        <c:crossBetween val="between"/>
      </c:valAx>
    </c:plotArea>
    <c:legend>
      <c:legendPos val="r"/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1650491362998248E-2"/>
          <c:y val="0.11366526552601984"/>
          <c:w val="0.63835846100632754"/>
          <c:h val="0.80691360948302548"/>
        </c:manualLayout>
      </c:layout>
      <c:barChart>
        <c:barDir val="col"/>
        <c:grouping val="clustered"/>
        <c:ser>
          <c:idx val="0"/>
          <c:order val="0"/>
          <c:tx>
            <c:strRef>
              <c:f>'Summary-Results'!$B$37</c:f>
              <c:strCache>
                <c:ptCount val="1"/>
                <c:pt idx="0">
                  <c:v>Consumer's Change in Natural Gas Usage</c:v>
                </c:pt>
              </c:strCache>
            </c:strRef>
          </c:tx>
          <c:cat>
            <c:numRef>
              <c:f>'Summary-Results'!$C$36:$G$36</c:f>
              <c:numCache>
                <c:formatCode>General</c:formatCode>
                <c:ptCount val="5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</c:numCache>
            </c:numRef>
          </c:cat>
          <c:val>
            <c:numRef>
              <c:f>'Summary-Results'!$C$37:$G$37</c:f>
              <c:numCache>
                <c:formatCode>0.000</c:formatCode>
                <c:ptCount val="5"/>
                <c:pt idx="0">
                  <c:v>-1.1757051201119917E-2</c:v>
                </c:pt>
                <c:pt idx="1">
                  <c:v>-5.9268672926496527E-2</c:v>
                </c:pt>
                <c:pt idx="2">
                  <c:v>-9.2354841079595199E-2</c:v>
                </c:pt>
                <c:pt idx="3">
                  <c:v>-0.11546875290322982</c:v>
                </c:pt>
                <c:pt idx="4">
                  <c:v>-0.13168357528242999</c:v>
                </c:pt>
              </c:numCache>
            </c:numRef>
          </c:val>
        </c:ser>
        <c:ser>
          <c:idx val="1"/>
          <c:order val="1"/>
          <c:tx>
            <c:strRef>
              <c:f>'Summary-Results'!$B$38</c:f>
              <c:strCache>
                <c:ptCount val="1"/>
                <c:pt idx="0">
                  <c:v>Utility Change in Natural Gas Usage</c:v>
                </c:pt>
              </c:strCache>
            </c:strRef>
          </c:tx>
          <c:cat>
            <c:numRef>
              <c:f>'Summary-Results'!$C$36:$G$36</c:f>
              <c:numCache>
                <c:formatCode>General</c:formatCode>
                <c:ptCount val="5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</c:numCache>
            </c:numRef>
          </c:cat>
          <c:val>
            <c:numRef>
              <c:f>'Summary-Results'!$C$38:$G$38</c:f>
              <c:numCache>
                <c:formatCode>0.000</c:formatCode>
                <c:ptCount val="5"/>
                <c:pt idx="0">
                  <c:v>8.9407380344262814E-3</c:v>
                </c:pt>
                <c:pt idx="1">
                  <c:v>4.5076470432034811E-2</c:v>
                </c:pt>
                <c:pt idx="2">
                  <c:v>7.0249109243800317E-2</c:v>
                </c:pt>
                <c:pt idx="3">
                  <c:v>8.7843319011413457E-2</c:v>
                </c:pt>
                <c:pt idx="4">
                  <c:v>0.10019484757546815</c:v>
                </c:pt>
              </c:numCache>
            </c:numRef>
          </c:val>
        </c:ser>
        <c:ser>
          <c:idx val="2"/>
          <c:order val="2"/>
          <c:tx>
            <c:strRef>
              <c:f>'Summary-Results'!$B$39</c:f>
              <c:strCache>
                <c:ptCount val="1"/>
                <c:pt idx="0">
                  <c:v>Net Change in Natural Gas Usage</c:v>
                </c:pt>
              </c:strCache>
            </c:strRef>
          </c:tx>
          <c:cat>
            <c:numRef>
              <c:f>'Summary-Results'!$C$36:$G$36</c:f>
              <c:numCache>
                <c:formatCode>General</c:formatCode>
                <c:ptCount val="5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</c:numCache>
            </c:numRef>
          </c:cat>
          <c:val>
            <c:numRef>
              <c:f>'Summary-Results'!$C$39:$G$39</c:f>
              <c:numCache>
                <c:formatCode>0.000</c:formatCode>
                <c:ptCount val="5"/>
                <c:pt idx="0">
                  <c:v>-2.8163131666936354E-3</c:v>
                </c:pt>
                <c:pt idx="1">
                  <c:v>-1.4192202494461716E-2</c:v>
                </c:pt>
                <c:pt idx="2">
                  <c:v>-2.2105731835794881E-2</c:v>
                </c:pt>
                <c:pt idx="3">
                  <c:v>-2.7625433891816362E-2</c:v>
                </c:pt>
                <c:pt idx="4">
                  <c:v>-3.1488727706961844E-2</c:v>
                </c:pt>
              </c:numCache>
            </c:numRef>
          </c:val>
        </c:ser>
        <c:axId val="53601024"/>
        <c:axId val="53602560"/>
      </c:barChart>
      <c:catAx>
        <c:axId val="53601024"/>
        <c:scaling>
          <c:orientation val="minMax"/>
        </c:scaling>
        <c:axPos val="b"/>
        <c:numFmt formatCode="General" sourceLinked="1"/>
        <c:tickLblPos val="low"/>
        <c:txPr>
          <a:bodyPr rot="0" vert="horz" anchor="ctr" anchorCtr="1"/>
          <a:lstStyle/>
          <a:p>
            <a:pPr>
              <a:defRPr sz="1200"/>
            </a:pPr>
            <a:endParaRPr lang="en-US"/>
          </a:p>
        </c:txPr>
        <c:crossAx val="53602560"/>
        <c:crosses val="autoZero"/>
        <c:auto val="1"/>
        <c:lblAlgn val="ctr"/>
        <c:lblOffset val="100"/>
      </c:catAx>
      <c:valAx>
        <c:axId val="53602560"/>
        <c:scaling>
          <c:orientation val="minMax"/>
        </c:scaling>
        <c:axPos val="l"/>
        <c:majorGridlines/>
        <c:numFmt formatCode="0.0" sourceLinked="0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536010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110439683411665"/>
          <c:y val="0.30648932041389576"/>
          <c:w val="0.27889560316588347"/>
          <c:h val="0.4110986126734158"/>
        </c:manualLayout>
      </c:layout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57</xdr:row>
      <xdr:rowOff>9523</xdr:rowOff>
    </xdr:from>
    <xdr:to>
      <xdr:col>11</xdr:col>
      <xdr:colOff>0</xdr:colOff>
      <xdr:row>73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28574</xdr:colOff>
      <xdr:row>3</xdr:row>
      <xdr:rowOff>9524</xdr:rowOff>
    </xdr:from>
    <xdr:to>
      <xdr:col>11</xdr:col>
      <xdr:colOff>9525</xdr:colOff>
      <xdr:row>18</xdr:row>
      <xdr:rowOff>190500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28575</xdr:colOff>
      <xdr:row>21</xdr:row>
      <xdr:rowOff>0</xdr:rowOff>
    </xdr:from>
    <xdr:to>
      <xdr:col>11</xdr:col>
      <xdr:colOff>28575</xdr:colOff>
      <xdr:row>36</xdr:row>
      <xdr:rowOff>171450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28574</xdr:colOff>
      <xdr:row>39</xdr:row>
      <xdr:rowOff>9525</xdr:rowOff>
    </xdr:from>
    <xdr:to>
      <xdr:col>10</xdr:col>
      <xdr:colOff>590549</xdr:colOff>
      <xdr:row>54</xdr:row>
      <xdr:rowOff>219075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19049</xdr:colOff>
      <xdr:row>75</xdr:row>
      <xdr:rowOff>19049</xdr:rowOff>
    </xdr:from>
    <xdr:to>
      <xdr:col>11</xdr:col>
      <xdr:colOff>66674</xdr:colOff>
      <xdr:row>91</xdr:row>
      <xdr:rowOff>9524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0.22819</cdr:x>
      <cdr:y>0.12722</cdr:y>
    </cdr:from>
    <cdr:to>
      <cdr:x>0.74664</cdr:x>
      <cdr:y>0.23373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295400" y="409575"/>
          <a:ext cx="2943225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P75"/>
  <sheetViews>
    <sheetView workbookViewId="0"/>
  </sheetViews>
  <sheetFormatPr defaultColWidth="9.140625" defaultRowHeight="18.75"/>
  <cols>
    <col min="1" max="1" width="5.5703125" style="121" customWidth="1"/>
    <col min="2" max="16384" width="9.140625" style="121"/>
  </cols>
  <sheetData>
    <row r="1" spans="1:11">
      <c r="A1" s="147" t="str">
        <f>CONCATENATE("Segment:  ",State,", Single Family, ", SpaceHeat, ", ", TankSize,", ", StartWH, " is starting water heater")</f>
        <v>Segment:  Oregon, Single Family, Gas FAF, &gt;55 Gallons, Electric Resistance is starting water heater</v>
      </c>
    </row>
    <row r="3" spans="1:11" ht="39" customHeight="1">
      <c r="B3" s="182" t="str">
        <f>CONCATENATE("Marginal Market Shares (%) - ",State,", Single Family, ", SpaceHeat, ", ", TankSize,", ", StartWH, " is starting water heater")</f>
        <v>Marginal Market Shares (%) - Oregon, Single Family, Gas FAF, &gt;55 Gallons, Electric Resistance is starting water heater</v>
      </c>
      <c r="C3" s="183"/>
      <c r="D3" s="183"/>
      <c r="E3" s="183"/>
      <c r="F3" s="183"/>
      <c r="G3" s="183"/>
      <c r="H3" s="183"/>
      <c r="I3" s="183"/>
      <c r="J3" s="183"/>
      <c r="K3" s="183"/>
    </row>
    <row r="18" spans="2:16">
      <c r="M18" s="94"/>
    </row>
    <row r="21" spans="2:16" ht="36" customHeight="1">
      <c r="B21" s="182" t="str">
        <f>CONCATENATE("Average Market Shares by Scenario (%) - ",State,", Single Family, ", SpaceHeat, ", ", TankSize,", ", StartWH, " is starting water heater")</f>
        <v>Average Market Shares by Scenario (%) - Oregon, Single Family, Gas FAF, &gt;55 Gallons, Electric Resistance is starting water heater</v>
      </c>
      <c r="C21" s="183"/>
      <c r="D21" s="183"/>
      <c r="E21" s="183"/>
      <c r="F21" s="183"/>
      <c r="G21" s="183"/>
      <c r="H21" s="183"/>
      <c r="I21" s="183"/>
      <c r="J21" s="183"/>
      <c r="K21" s="183"/>
    </row>
    <row r="29" spans="2:16">
      <c r="P29" s="94"/>
    </row>
    <row r="39" spans="2:11" ht="36" customHeight="1">
      <c r="B39" s="182" t="str">
        <f>CONCATENATE("BAU Average Market Shares (%) - ",State,", Single Family, ", SpaceHeat, ", ", TankSize,", ", StartWH, " is starting water heater")</f>
        <v>BAU Average Market Shares (%) - Oregon, Single Family, Gas FAF, &gt;55 Gallons, Electric Resistance is starting water heater</v>
      </c>
      <c r="C39" s="183"/>
      <c r="D39" s="183"/>
      <c r="E39" s="183"/>
      <c r="F39" s="183"/>
      <c r="G39" s="183"/>
      <c r="H39" s="183"/>
      <c r="I39" s="183"/>
      <c r="J39" s="183"/>
      <c r="K39" s="183"/>
    </row>
    <row r="57" spans="2:11" ht="38.25" customHeight="1">
      <c r="B57" s="182" t="str">
        <f>CONCATENATE("BAU Average Market Shares, 2035 (%) - ",State,", Single Family, ", SpaceHeat, ", ", TankSize,", ", StartWH, " is starting water heater")</f>
        <v>BAU Average Market Shares, 2035 (%) - Oregon, Single Family, Gas FAF, &gt;55 Gallons, Electric Resistance is starting water heater</v>
      </c>
      <c r="C57" s="183"/>
      <c r="D57" s="183"/>
      <c r="E57" s="183"/>
      <c r="F57" s="183"/>
      <c r="G57" s="183"/>
      <c r="H57" s="183"/>
      <c r="I57" s="183"/>
      <c r="J57" s="183"/>
      <c r="K57" s="183"/>
    </row>
    <row r="75" spans="2:12" ht="40.5" customHeight="1">
      <c r="B75" s="182" t="str">
        <f>CONCATENATE('Input Assumptions'!B$9," Change in Natural Gas Usage Least Cost vs BAU Case (Mcf/Yr) -  ",'Input Assumptions'!B$11," ",'Input Assumptions'!B$12,", ",'Input Assumptions'!B$10," Space Heat")</f>
        <v>Oregon Change in Natural Gas Usage Least Cost vs BAU Case (Mcf/Yr) -  Electric Resistance &gt;55 Gallons, Gas FAF Space Heat</v>
      </c>
      <c r="C75" s="183"/>
      <c r="D75" s="183"/>
      <c r="E75" s="183"/>
      <c r="F75" s="183"/>
      <c r="G75" s="183"/>
      <c r="H75" s="183"/>
      <c r="I75" s="183"/>
      <c r="J75" s="183"/>
      <c r="K75" s="183"/>
      <c r="L75" s="135"/>
    </row>
  </sheetData>
  <mergeCells count="5">
    <mergeCell ref="B75:K75"/>
    <mergeCell ref="B3:K3"/>
    <mergeCell ref="B21:K21"/>
    <mergeCell ref="B39:K39"/>
    <mergeCell ref="B57:K57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W81"/>
  <sheetViews>
    <sheetView workbookViewId="0">
      <selection activeCell="A2" sqref="A2"/>
    </sheetView>
  </sheetViews>
  <sheetFormatPr defaultColWidth="9.140625" defaultRowHeight="15.75"/>
  <cols>
    <col min="1" max="1" width="28.7109375" style="9" customWidth="1"/>
    <col min="2" max="11" width="11.7109375" style="9" customWidth="1"/>
    <col min="12" max="31" width="13.28515625" style="9" bestFit="1" customWidth="1"/>
    <col min="32" max="16384" width="9.140625" style="9"/>
  </cols>
  <sheetData>
    <row r="1" spans="1:23">
      <c r="A1" s="147" t="str">
        <f>CONCATENATE("Segment:  ",State,", Single Family, ", SpaceHeat, ", ", TankSize,", ", StartWH, " is starting water heater")</f>
        <v>Segment:  Oregon, Single Family, Gas FAF, &gt;55 Gallons, Electric Resistance is starting water heater</v>
      </c>
    </row>
    <row r="3" spans="1:23">
      <c r="A3" s="12" t="s">
        <v>125</v>
      </c>
      <c r="H3" s="14"/>
      <c r="I3" s="14"/>
    </row>
    <row r="4" spans="1:23" ht="31.5">
      <c r="A4" s="65"/>
      <c r="B4" s="88" t="s">
        <v>124</v>
      </c>
      <c r="C4" s="93" t="s">
        <v>77</v>
      </c>
      <c r="D4" s="44"/>
      <c r="E4" s="44"/>
      <c r="F4" s="44"/>
      <c r="G4" s="44"/>
      <c r="H4" s="44"/>
    </row>
    <row r="5" spans="1:23">
      <c r="A5" s="159" t="s">
        <v>39</v>
      </c>
      <c r="B5" s="123">
        <f>NPV(DiscountRate,B12:W12)</f>
        <v>143.43512950214853</v>
      </c>
      <c r="C5" s="67"/>
      <c r="D5" s="44"/>
      <c r="E5" s="44"/>
      <c r="F5" s="44"/>
      <c r="G5" s="44"/>
      <c r="H5" s="44"/>
    </row>
    <row r="6" spans="1:23">
      <c r="A6" s="160" t="s">
        <v>95</v>
      </c>
      <c r="B6" s="124">
        <f>NPV(DiscountRate,B49:W49)</f>
        <v>130.71565688578346</v>
      </c>
      <c r="C6" s="161"/>
      <c r="D6" s="44"/>
      <c r="E6" s="44"/>
      <c r="F6" s="44"/>
      <c r="G6" s="44"/>
      <c r="H6" s="44"/>
    </row>
    <row r="7" spans="1:23">
      <c r="A7" s="160" t="s">
        <v>75</v>
      </c>
      <c r="B7" s="124">
        <f>B5-B6</f>
        <v>12.719472616365067</v>
      </c>
      <c r="C7" s="162">
        <f>1-B6/B5</f>
        <v>8.8677527328997474E-2</v>
      </c>
    </row>
    <row r="8" spans="1:23">
      <c r="A8" s="53"/>
      <c r="E8" s="28"/>
    </row>
    <row r="9" spans="1:23">
      <c r="A9" s="12"/>
    </row>
    <row r="10" spans="1:23">
      <c r="A10" s="12" t="s">
        <v>110</v>
      </c>
    </row>
    <row r="11" spans="1:23">
      <c r="A11" s="14" t="str">
        <f t="shared" ref="A11:W11" si="0">A20</f>
        <v>Water Heat Ending</v>
      </c>
      <c r="B11" s="9">
        <f t="shared" si="0"/>
        <v>2014</v>
      </c>
      <c r="C11" s="9">
        <f t="shared" si="0"/>
        <v>2015</v>
      </c>
      <c r="D11" s="9">
        <f t="shared" si="0"/>
        <v>2016</v>
      </c>
      <c r="E11" s="9">
        <f t="shared" si="0"/>
        <v>2017</v>
      </c>
      <c r="F11" s="9">
        <f t="shared" si="0"/>
        <v>2018</v>
      </c>
      <c r="G11" s="9">
        <f t="shared" si="0"/>
        <v>2019</v>
      </c>
      <c r="H11" s="9">
        <f t="shared" si="0"/>
        <v>2020</v>
      </c>
      <c r="I11" s="9">
        <f t="shared" si="0"/>
        <v>2021</v>
      </c>
      <c r="J11" s="9">
        <f t="shared" si="0"/>
        <v>2022</v>
      </c>
      <c r="K11" s="9">
        <f t="shared" si="0"/>
        <v>2023</v>
      </c>
      <c r="L11" s="9">
        <f t="shared" si="0"/>
        <v>2024</v>
      </c>
      <c r="M11" s="9">
        <f t="shared" si="0"/>
        <v>2025</v>
      </c>
      <c r="N11" s="9">
        <f t="shared" si="0"/>
        <v>2026</v>
      </c>
      <c r="O11" s="9">
        <f t="shared" si="0"/>
        <v>2027</v>
      </c>
      <c r="P11" s="9">
        <f t="shared" si="0"/>
        <v>2028</v>
      </c>
      <c r="Q11" s="9">
        <f t="shared" si="0"/>
        <v>2029</v>
      </c>
      <c r="R11" s="9">
        <f t="shared" si="0"/>
        <v>2030</v>
      </c>
      <c r="S11" s="9">
        <f t="shared" si="0"/>
        <v>2031</v>
      </c>
      <c r="T11" s="9">
        <f t="shared" si="0"/>
        <v>2032</v>
      </c>
      <c r="U11" s="9">
        <f t="shared" si="0"/>
        <v>2033</v>
      </c>
      <c r="V11" s="9">
        <f t="shared" si="0"/>
        <v>2034</v>
      </c>
      <c r="W11" s="9">
        <f t="shared" si="0"/>
        <v>2035</v>
      </c>
    </row>
    <row r="12" spans="1:23" ht="16.5" thickBot="1">
      <c r="A12" s="48" t="s">
        <v>44</v>
      </c>
      <c r="B12" s="128">
        <f t="shared" ref="B12:W12" si="1">SUM(B13:B17)</f>
        <v>7.3794949996558721</v>
      </c>
      <c r="C12" s="128">
        <f t="shared" si="1"/>
        <v>10.622851419525542</v>
      </c>
      <c r="D12" s="128">
        <f t="shared" si="1"/>
        <v>10.512015703228931</v>
      </c>
      <c r="E12" s="128">
        <f t="shared" si="1"/>
        <v>10.411859608172948</v>
      </c>
      <c r="F12" s="128">
        <f t="shared" si="1"/>
        <v>10.321816465585176</v>
      </c>
      <c r="G12" s="128">
        <f t="shared" si="1"/>
        <v>10.241353165584421</v>
      </c>
      <c r="H12" s="128">
        <f t="shared" si="1"/>
        <v>10.169968246908219</v>
      </c>
      <c r="I12" s="128">
        <f t="shared" si="1"/>
        <v>10.107190094656795</v>
      </c>
      <c r="J12" s="128">
        <f t="shared" si="1"/>
        <v>10.052575240066904</v>
      </c>
      <c r="K12" s="128">
        <f t="shared" si="1"/>
        <v>10.005706756652501</v>
      </c>
      <c r="L12" s="128">
        <f t="shared" si="1"/>
        <v>9.9661927473559579</v>
      </c>
      <c r="M12" s="128">
        <f t="shared" si="1"/>
        <v>9.9336649176442293</v>
      </c>
      <c r="N12" s="128">
        <f t="shared" si="1"/>
        <v>9.9077772297597804</v>
      </c>
      <c r="O12" s="128">
        <f t="shared" si="1"/>
        <v>9.8882046335972511</v>
      </c>
      <c r="P12" s="128">
        <f t="shared" si="1"/>
        <v>9.8746418699239147</v>
      </c>
      <c r="Q12" s="128">
        <f t="shared" si="1"/>
        <v>9.8668023418962711</v>
      </c>
      <c r="R12" s="128">
        <f t="shared" si="1"/>
        <v>9.8644170510469209</v>
      </c>
      <c r="S12" s="128">
        <f t="shared" si="1"/>
        <v>9.8672335941257803</v>
      </c>
      <c r="T12" s="128">
        <f t="shared" si="1"/>
        <v>9.8750152173785448</v>
      </c>
      <c r="U12" s="128">
        <f t="shared" si="1"/>
        <v>9.8875399250336038</v>
      </c>
      <c r="V12" s="128">
        <f t="shared" si="1"/>
        <v>9.9045996389465394</v>
      </c>
      <c r="W12" s="128">
        <f t="shared" si="1"/>
        <v>9.9259994065201038</v>
      </c>
    </row>
    <row r="13" spans="1:23" ht="16.5" thickTop="1">
      <c r="A13" s="37" t="str">
        <f>A22</f>
        <v>Electric Resistance</v>
      </c>
      <c r="B13" s="122">
        <f t="shared" ref="B13:W13" si="2">(B22+B31+B40)</f>
        <v>7.3794949996558721</v>
      </c>
      <c r="C13" s="122">
        <f t="shared" si="2"/>
        <v>6.9403271090758825</v>
      </c>
      <c r="D13" s="122">
        <f t="shared" si="2"/>
        <v>6.527294445898165</v>
      </c>
      <c r="E13" s="122">
        <f t="shared" si="2"/>
        <v>6.1388557183309391</v>
      </c>
      <c r="F13" s="122">
        <f t="shared" si="2"/>
        <v>5.7735455666984699</v>
      </c>
      <c r="G13" s="122">
        <f t="shared" si="2"/>
        <v>5.42998600622363</v>
      </c>
      <c r="H13" s="122">
        <f t="shared" si="2"/>
        <v>5.10688121246592</v>
      </c>
      <c r="I13" s="122">
        <f t="shared" si="2"/>
        <v>4.8030126182979949</v>
      </c>
      <c r="J13" s="122">
        <f t="shared" si="2"/>
        <v>4.5172343037845497</v>
      </c>
      <c r="K13" s="122">
        <f t="shared" si="2"/>
        <v>4.2484686614439546</v>
      </c>
      <c r="L13" s="122">
        <f t="shared" si="2"/>
        <v>3.9957023204224966</v>
      </c>
      <c r="M13" s="122">
        <f t="shared" si="2"/>
        <v>3.7579823140975397</v>
      </c>
      <c r="N13" s="122">
        <f t="shared" si="2"/>
        <v>3.5344124765532614</v>
      </c>
      <c r="O13" s="122">
        <f t="shared" si="2"/>
        <v>3.3241500542442854</v>
      </c>
      <c r="P13" s="122">
        <f t="shared" si="2"/>
        <v>3.1264025199819034</v>
      </c>
      <c r="Q13" s="122">
        <f t="shared" si="2"/>
        <v>2.9404245771478497</v>
      </c>
      <c r="R13" s="122">
        <f t="shared" si="2"/>
        <v>2.76551534276462</v>
      </c>
      <c r="S13" s="122">
        <f t="shared" si="2"/>
        <v>2.6010156987319863</v>
      </c>
      <c r="T13" s="122">
        <f t="shared" si="2"/>
        <v>2.4463058011791672</v>
      </c>
      <c r="U13" s="122">
        <f t="shared" si="2"/>
        <v>2.3008027384836169</v>
      </c>
      <c r="V13" s="122">
        <f t="shared" si="2"/>
        <v>2.1639583290727797</v>
      </c>
      <c r="W13" s="122">
        <f t="shared" si="2"/>
        <v>2.0352570506567407</v>
      </c>
    </row>
    <row r="14" spans="1:23">
      <c r="A14" s="37" t="str">
        <f>A23</f>
        <v>HPWH</v>
      </c>
      <c r="B14" s="122">
        <f t="shared" ref="B14:W14" si="3">(B23+B32+B41)</f>
        <v>0</v>
      </c>
      <c r="C14" s="122">
        <f t="shared" si="3"/>
        <v>1.4502356977500659</v>
      </c>
      <c r="D14" s="122">
        <f t="shared" si="3"/>
        <v>1.5955291779435641</v>
      </c>
      <c r="E14" s="122">
        <f t="shared" si="3"/>
        <v>1.7337767015585421</v>
      </c>
      <c r="F14" s="122">
        <f t="shared" si="3"/>
        <v>1.8654256717470878</v>
      </c>
      <c r="G14" s="122">
        <f t="shared" si="3"/>
        <v>1.9908968134691194</v>
      </c>
      <c r="H14" s="122">
        <f t="shared" si="3"/>
        <v>2.1105857947376219</v>
      </c>
      <c r="I14" s="122">
        <f t="shared" si="3"/>
        <v>2.2248647494009628</v>
      </c>
      <c r="J14" s="122">
        <f t="shared" si="3"/>
        <v>2.3340837074736327</v>
      </c>
      <c r="K14" s="122">
        <f t="shared" si="3"/>
        <v>2.4385719386581353</v>
      </c>
      <c r="L14" s="122">
        <f t="shared" si="3"/>
        <v>2.5386392143548404</v>
      </c>
      <c r="M14" s="122">
        <f t="shared" si="3"/>
        <v>2.6345769931320548</v>
      </c>
      <c r="N14" s="122">
        <f t="shared" si="3"/>
        <v>2.7266595343239532</v>
      </c>
      <c r="O14" s="122">
        <f t="shared" si="3"/>
        <v>2.8151449441382006</v>
      </c>
      <c r="P14" s="122">
        <f t="shared" si="3"/>
        <v>2.9002761583868368</v>
      </c>
      <c r="Q14" s="122">
        <f t="shared" si="3"/>
        <v>2.9822818657022934</v>
      </c>
      <c r="R14" s="122">
        <f t="shared" si="3"/>
        <v>3.0613773748641147</v>
      </c>
      <c r="S14" s="122">
        <f t="shared" si="3"/>
        <v>3.1377654296402913</v>
      </c>
      <c r="T14" s="122">
        <f t="shared" si="3"/>
        <v>3.2116369743389592</v>
      </c>
      <c r="U14" s="122">
        <f t="shared" si="3"/>
        <v>3.2831718730709594</v>
      </c>
      <c r="V14" s="122">
        <f t="shared" si="3"/>
        <v>3.3525395855403861</v>
      </c>
      <c r="W14" s="122">
        <f t="shared" si="3"/>
        <v>3.4198998020082447</v>
      </c>
    </row>
    <row r="15" spans="1:23">
      <c r="A15" s="37" t="str">
        <f>A24</f>
        <v>Gas Tank</v>
      </c>
      <c r="B15" s="122">
        <f t="shared" ref="B15:W15" si="4">(B24+B33+B42)</f>
        <v>0</v>
      </c>
      <c r="C15" s="122">
        <f t="shared" si="4"/>
        <v>5.8277074610379769E-5</v>
      </c>
      <c r="D15" s="122">
        <f t="shared" si="4"/>
        <v>6.9776429667947777E-5</v>
      </c>
      <c r="E15" s="122">
        <f t="shared" si="4"/>
        <v>8.0641599541105309E-5</v>
      </c>
      <c r="F15" s="122">
        <f t="shared" si="4"/>
        <v>9.0910487100606143E-5</v>
      </c>
      <c r="G15" s="122">
        <f t="shared" si="4"/>
        <v>1.0061876353820939E-4</v>
      </c>
      <c r="H15" s="122">
        <f t="shared" si="4"/>
        <v>1.0980000122838378E-4</v>
      </c>
      <c r="I15" s="122">
        <f t="shared" si="4"/>
        <v>1.1848579863565759E-4</v>
      </c>
      <c r="J15" s="122">
        <f t="shared" si="4"/>
        <v>1.2670589774752659E-4</v>
      </c>
      <c r="K15" s="122">
        <f t="shared" si="4"/>
        <v>1.3448829448362465E-4</v>
      </c>
      <c r="L15" s="122">
        <f t="shared" si="4"/>
        <v>1.4185934250445734E-4</v>
      </c>
      <c r="M15" s="122">
        <f t="shared" si="4"/>
        <v>1.4884385081727239E-4</v>
      </c>
      <c r="N15" s="122">
        <f t="shared" si="4"/>
        <v>1.554651755524913E-4</v>
      </c>
      <c r="O15" s="122">
        <f t="shared" si="4"/>
        <v>1.6174530626146246E-4</v>
      </c>
      <c r="P15" s="122">
        <f t="shared" si="4"/>
        <v>1.6770494706501627E-4</v>
      </c>
      <c r="Q15" s="122">
        <f t="shared" si="4"/>
        <v>1.7336359296232724E-4</v>
      </c>
      <c r="R15" s="122">
        <f t="shared" si="4"/>
        <v>1.7873960159083617E-4</v>
      </c>
      <c r="S15" s="122">
        <f t="shared" si="4"/>
        <v>1.8385026071037882E-4</v>
      </c>
      <c r="T15" s="122">
        <f t="shared" si="4"/>
        <v>1.8871185166813477E-4</v>
      </c>
      <c r="U15" s="122">
        <f t="shared" si="4"/>
        <v>1.9333970908549345E-4</v>
      </c>
      <c r="V15" s="122">
        <f t="shared" si="4"/>
        <v>1.9774827699335499E-4</v>
      </c>
      <c r="W15" s="122">
        <f t="shared" si="4"/>
        <v>2.0195116162870447E-4</v>
      </c>
    </row>
    <row r="16" spans="1:23">
      <c r="A16" s="37" t="str">
        <f>A25</f>
        <v>Instant Gas</v>
      </c>
      <c r="B16" s="122">
        <f t="shared" ref="B16:W16" si="5">(B25+B34+B43)</f>
        <v>0</v>
      </c>
      <c r="C16" s="122">
        <f t="shared" si="5"/>
        <v>0.90303085713443243</v>
      </c>
      <c r="D16" s="122">
        <f t="shared" si="5"/>
        <v>0.96109593215705513</v>
      </c>
      <c r="E16" s="122">
        <f t="shared" si="5"/>
        <v>1.0167114689260697</v>
      </c>
      <c r="F16" s="122">
        <f t="shared" si="5"/>
        <v>1.0700496189042259</v>
      </c>
      <c r="G16" s="122">
        <f t="shared" si="5"/>
        <v>1.1212718162212241</v>
      </c>
      <c r="H16" s="122">
        <f t="shared" si="5"/>
        <v>1.170529473194412</v>
      </c>
      <c r="I16" s="122">
        <f t="shared" si="5"/>
        <v>1.2179646304686922</v>
      </c>
      <c r="J16" s="122">
        <f t="shared" si="5"/>
        <v>1.2637105647725895</v>
      </c>
      <c r="K16" s="122">
        <f t="shared" si="5"/>
        <v>1.3078923570873848</v>
      </c>
      <c r="L16" s="122">
        <f t="shared" si="5"/>
        <v>1.3506274238397316</v>
      </c>
      <c r="M16" s="122">
        <f t="shared" si="5"/>
        <v>1.3920260135541986</v>
      </c>
      <c r="N16" s="122">
        <f t="shared" si="5"/>
        <v>1.4321916712399374</v>
      </c>
      <c r="O16" s="122">
        <f t="shared" si="5"/>
        <v>1.4712216726343075</v>
      </c>
      <c r="P16" s="122">
        <f t="shared" si="5"/>
        <v>1.5092074302851679</v>
      </c>
      <c r="Q16" s="122">
        <f t="shared" si="5"/>
        <v>1.5462348733218041</v>
      </c>
      <c r="R16" s="122">
        <f t="shared" si="5"/>
        <v>1.5823848026416578</v>
      </c>
      <c r="S16" s="122">
        <f t="shared" si="5"/>
        <v>1.6177332231253834</v>
      </c>
      <c r="T16" s="122">
        <f t="shared" si="5"/>
        <v>1.6523516543858505</v>
      </c>
      <c r="U16" s="122">
        <f t="shared" si="5"/>
        <v>1.6863074214569491</v>
      </c>
      <c r="V16" s="122">
        <f t="shared" si="5"/>
        <v>1.7196639267349598</v>
      </c>
      <c r="W16" s="122">
        <f t="shared" si="5"/>
        <v>1.7524809043984</v>
      </c>
    </row>
    <row r="17" spans="1:23">
      <c r="A17" s="37" t="str">
        <f>A26</f>
        <v>Condensing Gas</v>
      </c>
      <c r="B17" s="122">
        <f t="shared" ref="B17:W17" si="6">(B26+B35+B44)</f>
        <v>0</v>
      </c>
      <c r="C17" s="122">
        <f t="shared" si="6"/>
        <v>1.3291994784905536</v>
      </c>
      <c r="D17" s="122">
        <f t="shared" si="6"/>
        <v>1.4280263708004788</v>
      </c>
      <c r="E17" s="122">
        <f t="shared" si="6"/>
        <v>1.522435077757857</v>
      </c>
      <c r="F17" s="122">
        <f t="shared" si="6"/>
        <v>1.6127046977482906</v>
      </c>
      <c r="G17" s="122">
        <f t="shared" si="6"/>
        <v>1.6990979109069082</v>
      </c>
      <c r="H17" s="122">
        <f t="shared" si="6"/>
        <v>1.7818619665090367</v>
      </c>
      <c r="I17" s="122">
        <f t="shared" si="6"/>
        <v>1.86122961069051</v>
      </c>
      <c r="J17" s="122">
        <f t="shared" si="6"/>
        <v>1.9374199581383849</v>
      </c>
      <c r="K17" s="122">
        <f t="shared" si="6"/>
        <v>2.0106393111685419</v>
      </c>
      <c r="L17" s="122">
        <f t="shared" si="6"/>
        <v>2.0810819293963854</v>
      </c>
      <c r="M17" s="122">
        <f t="shared" si="6"/>
        <v>2.1489307530096182</v>
      </c>
      <c r="N17" s="122">
        <f t="shared" si="6"/>
        <v>2.2143580824670748</v>
      </c>
      <c r="O17" s="122">
        <f t="shared" si="6"/>
        <v>2.2775262172741977</v>
      </c>
      <c r="P17" s="122">
        <f t="shared" si="6"/>
        <v>2.3385880563229411</v>
      </c>
      <c r="Q17" s="122">
        <f t="shared" si="6"/>
        <v>2.3976876621313608</v>
      </c>
      <c r="R17" s="122">
        <f t="shared" si="6"/>
        <v>2.4549607911749391</v>
      </c>
      <c r="S17" s="122">
        <f t="shared" si="6"/>
        <v>2.5105353923674092</v>
      </c>
      <c r="T17" s="122">
        <f t="shared" si="6"/>
        <v>2.5645320756228998</v>
      </c>
      <c r="U17" s="122">
        <f t="shared" si="6"/>
        <v>2.6170645523129936</v>
      </c>
      <c r="V17" s="122">
        <f t="shared" si="6"/>
        <v>2.6682400493214198</v>
      </c>
      <c r="W17" s="122">
        <f t="shared" si="6"/>
        <v>2.7181596982950893</v>
      </c>
    </row>
    <row r="18" spans="1:23">
      <c r="A18" s="12"/>
    </row>
    <row r="19" spans="1:23">
      <c r="A19" s="12" t="s">
        <v>111</v>
      </c>
    </row>
    <row r="20" spans="1:23">
      <c r="A20" s="14" t="str">
        <f>'Water Heaters Purchased'!A4</f>
        <v>Water Heat Ending</v>
      </c>
      <c r="B20" s="9">
        <f>'Water Heaters Purchased'!B4</f>
        <v>2014</v>
      </c>
      <c r="C20" s="9">
        <f>'Water Heaters Purchased'!C4</f>
        <v>2015</v>
      </c>
      <c r="D20" s="9">
        <f>'Water Heaters Purchased'!D4</f>
        <v>2016</v>
      </c>
      <c r="E20" s="9">
        <f>'Water Heaters Purchased'!E4</f>
        <v>2017</v>
      </c>
      <c r="F20" s="9">
        <f>'Water Heaters Purchased'!F4</f>
        <v>2018</v>
      </c>
      <c r="G20" s="9">
        <f>'Water Heaters Purchased'!G4</f>
        <v>2019</v>
      </c>
      <c r="H20" s="9">
        <f>'Water Heaters Purchased'!H4</f>
        <v>2020</v>
      </c>
      <c r="I20" s="9">
        <f>'Water Heaters Purchased'!I4</f>
        <v>2021</v>
      </c>
      <c r="J20" s="9">
        <f>'Water Heaters Purchased'!J4</f>
        <v>2022</v>
      </c>
      <c r="K20" s="9">
        <f>'Water Heaters Purchased'!K4</f>
        <v>2023</v>
      </c>
      <c r="L20" s="9">
        <f>'Water Heaters Purchased'!L4</f>
        <v>2024</v>
      </c>
      <c r="M20" s="9">
        <f>'Water Heaters Purchased'!M4</f>
        <v>2025</v>
      </c>
      <c r="N20" s="9">
        <f>'Water Heaters Purchased'!N4</f>
        <v>2026</v>
      </c>
      <c r="O20" s="9">
        <f>'Water Heaters Purchased'!O4</f>
        <v>2027</v>
      </c>
      <c r="P20" s="9">
        <f>'Water Heaters Purchased'!P4</f>
        <v>2028</v>
      </c>
      <c r="Q20" s="9">
        <f>'Water Heaters Purchased'!Q4</f>
        <v>2029</v>
      </c>
      <c r="R20" s="9">
        <f>'Water Heaters Purchased'!R4</f>
        <v>2030</v>
      </c>
      <c r="S20" s="9">
        <f>'Water Heaters Purchased'!S4</f>
        <v>2031</v>
      </c>
      <c r="T20" s="9">
        <f>'Water Heaters Purchased'!T4</f>
        <v>2032</v>
      </c>
      <c r="U20" s="9">
        <f>'Water Heaters Purchased'!U4</f>
        <v>2033</v>
      </c>
      <c r="V20" s="9">
        <f>'Water Heaters Purchased'!V4</f>
        <v>2034</v>
      </c>
      <c r="W20" s="9">
        <f>'Water Heaters Purchased'!W4</f>
        <v>2035</v>
      </c>
    </row>
    <row r="21" spans="1:23" ht="16.5" thickBot="1">
      <c r="A21" s="48" t="s">
        <v>44</v>
      </c>
      <c r="B21" s="128">
        <f>SUM(B22:B26)</f>
        <v>0</v>
      </c>
      <c r="C21" s="128">
        <f t="shared" ref="C21:W21" si="7">SUM(C22:C26)</f>
        <v>3.3675189792057223</v>
      </c>
      <c r="D21" s="128">
        <f t="shared" si="7"/>
        <v>3.3695658677408655</v>
      </c>
      <c r="E21" s="128">
        <f t="shared" si="7"/>
        <v>3.3716144460776221</v>
      </c>
      <c r="F21" s="128">
        <f t="shared" si="7"/>
        <v>3.3736644817762125</v>
      </c>
      <c r="G21" s="128">
        <f t="shared" si="7"/>
        <v>3.3757157391995571</v>
      </c>
      <c r="H21" s="128">
        <f t="shared" si="7"/>
        <v>3.3777679795428548</v>
      </c>
      <c r="I21" s="128">
        <f t="shared" si="7"/>
        <v>3.3798209608654948</v>
      </c>
      <c r="J21" s="128">
        <f t="shared" si="7"/>
        <v>3.3818744381253643</v>
      </c>
      <c r="K21" s="128">
        <f t="shared" si="7"/>
        <v>3.3839281632155629</v>
      </c>
      <c r="L21" s="128">
        <f t="shared" si="7"/>
        <v>3.3859818850035674</v>
      </c>
      <c r="M21" s="128">
        <f t="shared" si="7"/>
        <v>3.3880353493728963</v>
      </c>
      <c r="N21" s="128">
        <f t="shared" si="7"/>
        <v>3.3900882992672843</v>
      </c>
      <c r="O21" s="128">
        <f t="shared" si="7"/>
        <v>3.3921404747374098</v>
      </c>
      <c r="P21" s="128">
        <f t="shared" si="7"/>
        <v>3.3941916129901992</v>
      </c>
      <c r="Q21" s="128">
        <f t="shared" si="7"/>
        <v>3.3962414484407315</v>
      </c>
      <c r="R21" s="128">
        <f t="shared" si="7"/>
        <v>3.3982897127667662</v>
      </c>
      <c r="S21" s="128">
        <f t="shared" si="7"/>
        <v>3.4003361349659089</v>
      </c>
      <c r="T21" s="128">
        <f t="shared" si="7"/>
        <v>3.4023804414154299</v>
      </c>
      <c r="U21" s="128">
        <f t="shared" si="7"/>
        <v>3.4044223559347602</v>
      </c>
      <c r="V21" s="128">
        <f t="shared" si="7"/>
        <v>3.4064615998506484</v>
      </c>
      <c r="W21" s="128">
        <f t="shared" si="7"/>
        <v>3.4084978920650086</v>
      </c>
    </row>
    <row r="22" spans="1:23" ht="16.5" thickTop="1">
      <c r="A22" s="9" t="str">
        <f>'Water Heaters Purchased'!A6</f>
        <v>Electric Resistance</v>
      </c>
      <c r="B22" s="122">
        <f>('Water Heaters Purchased'!B6*'Capital Cost'!$E5)/1000000</f>
        <v>0</v>
      </c>
      <c r="C22" s="122">
        <f>('Water Heaters Purchased'!C6*'Capital Cost'!$E5)/1000000</f>
        <v>1.6808004360428277E-5</v>
      </c>
      <c r="D22" s="122">
        <f>('Water Heaters Purchased'!D6*'Capital Cost'!$E5)/1000000</f>
        <v>1.6630057694210278E-5</v>
      </c>
      <c r="E22" s="122">
        <f>('Water Heaters Purchased'!E6*'Capital Cost'!$E5)/1000000</f>
        <v>1.6454830273708488E-5</v>
      </c>
      <c r="F22" s="122">
        <f>('Water Heaters Purchased'!F6*'Capital Cost'!$E5)/1000000</f>
        <v>1.6282285804542946E-5</v>
      </c>
      <c r="G22" s="122">
        <f>('Water Heaters Purchased'!G6*'Capital Cost'!$E5)/1000000</f>
        <v>1.6112388308557652E-5</v>
      </c>
      <c r="H22" s="122">
        <f>('Water Heaters Purchased'!H6*'Capital Cost'!$E5)/1000000</f>
        <v>1.5945102127874792E-5</v>
      </c>
      <c r="I22" s="122">
        <f>('Water Heaters Purchased'!I6*'Capital Cost'!$E5)/1000000</f>
        <v>1.5780391928657586E-5</v>
      </c>
      <c r="J22" s="122">
        <f>('Water Heaters Purchased'!J6*'Capital Cost'!$E5)/1000000</f>
        <v>1.5618222704588588E-5</v>
      </c>
      <c r="K22" s="122">
        <f>('Water Heaters Purchased'!K6*'Capital Cost'!$E5)/1000000</f>
        <v>1.5458559780070459E-5</v>
      </c>
      <c r="L22" s="122">
        <f>('Water Heaters Purchased'!L6*'Capital Cost'!$E5)/1000000</f>
        <v>1.5301368813156157E-5</v>
      </c>
      <c r="M22" s="122">
        <f>('Water Heaters Purchased'!M6*'Capital Cost'!$E5)/1000000</f>
        <v>1.5146615798215504E-5</v>
      </c>
      <c r="N22" s="122">
        <f>('Water Heaters Purchased'!N6*'Capital Cost'!$E5)/1000000</f>
        <v>1.4994267068345065E-5</v>
      </c>
      <c r="O22" s="122">
        <f>('Water Heaters Purchased'!O6*'Capital Cost'!$E5)/1000000</f>
        <v>1.4844289297528208E-5</v>
      </c>
      <c r="P22" s="122">
        <f>('Water Heaters Purchased'!P6*'Capital Cost'!$E5)/1000000</f>
        <v>1.4696649502552427E-5</v>
      </c>
      <c r="Q22" s="122">
        <f>('Water Heaters Purchased'!Q6*'Capital Cost'!$E5)/1000000</f>
        <v>1.4551315044690463E-5</v>
      </c>
      <c r="R22" s="122">
        <f>('Water Heaters Purchased'!R6*'Capital Cost'!$E5)/1000000</f>
        <v>1.4408253631152422E-5</v>
      </c>
      <c r="S22" s="122">
        <f>('Water Heaters Purchased'!S6*'Capital Cost'!$E5)/1000000</f>
        <v>1.4267433316315296E-5</v>
      </c>
      <c r="T22" s="122">
        <f>('Water Heaters Purchased'!T6*'Capital Cost'!$E5)/1000000</f>
        <v>1.412882250273688E-5</v>
      </c>
      <c r="U22" s="122">
        <f>('Water Heaters Purchased'!U6*'Capital Cost'!$E5)/1000000</f>
        <v>1.3992389941960587E-5</v>
      </c>
      <c r="V22" s="122">
        <f>('Water Heaters Purchased'!V6*'Capital Cost'!$E5)/1000000</f>
        <v>1.3858104735117828E-5</v>
      </c>
      <c r="W22" s="122">
        <f>('Water Heaters Purchased'!W6*'Capital Cost'!$E5)/1000000</f>
        <v>1.3725936333334441E-5</v>
      </c>
    </row>
    <row r="23" spans="1:23">
      <c r="A23" s="9" t="str">
        <f>'Water Heaters Purchased'!A7</f>
        <v>HPWH</v>
      </c>
      <c r="B23" s="122">
        <f>('Water Heaters Purchased'!B7*'Capital Cost'!$E6)/1000000</f>
        <v>0</v>
      </c>
      <c r="C23" s="122">
        <f>('Water Heaters Purchased'!C7*'Capital Cost'!$E6)/1000000</f>
        <v>1.2958981940155059</v>
      </c>
      <c r="D23" s="122">
        <f>('Water Heaters Purchased'!D7*'Capital Cost'!$E6)/1000000</f>
        <v>1.2943867399587867</v>
      </c>
      <c r="E23" s="122">
        <f>('Water Heaters Purchased'!E7*'Capital Cost'!$E6)/1000000</f>
        <v>1.2928863356501181</v>
      </c>
      <c r="F23" s="122">
        <f>('Water Heaters Purchased'!F7*'Capital Cost'!$E6)/1000000</f>
        <v>1.2913972243199681</v>
      </c>
      <c r="G23" s="122">
        <f>('Water Heaters Purchased'!G7*'Capital Cost'!$E6)/1000000</f>
        <v>1.2899196480617197</v>
      </c>
      <c r="H23" s="122">
        <f>('Water Heaters Purchased'!H7*'Capital Cost'!$E6)/1000000</f>
        <v>1.2884538477637406</v>
      </c>
      <c r="I23" s="122">
        <f>('Water Heaters Purchased'!I7*'Capital Cost'!$E6)/1000000</f>
        <v>1.2870000630422656</v>
      </c>
      <c r="J23" s="122">
        <f>('Water Heaters Purchased'!J7*'Capital Cost'!$E6)/1000000</f>
        <v>1.2855585321751253</v>
      </c>
      <c r="K23" s="122">
        <f>('Water Heaters Purchased'!K7*'Capital Cost'!$E6)/1000000</f>
        <v>1.284129492036362</v>
      </c>
      <c r="L23" s="122">
        <f>('Water Heaters Purchased'!L7*'Capital Cost'!$E6)/1000000</f>
        <v>1.28271317803174</v>
      </c>
      <c r="M23" s="122">
        <f>('Water Heaters Purchased'!M7*'Capital Cost'!$E6)/1000000</f>
        <v>1.2813098240352021</v>
      </c>
      <c r="N23" s="122">
        <f>('Water Heaters Purchased'!N7*'Capital Cost'!$E6)/1000000</f>
        <v>1.2799196623262781</v>
      </c>
      <c r="O23" s="122">
        <f>('Water Heaters Purchased'!O7*'Capital Cost'!$E6)/1000000</f>
        <v>1.2785429235284869</v>
      </c>
      <c r="P23" s="122">
        <f>('Water Heaters Purchased'!P7*'Capital Cost'!$E6)/1000000</f>
        <v>1.2771798365487379</v>
      </c>
      <c r="Q23" s="122">
        <f>('Water Heaters Purchased'!Q7*'Capital Cost'!$E6)/1000000</f>
        <v>1.2758306285177679</v>
      </c>
      <c r="R23" s="122">
        <f>('Water Heaters Purchased'!R7*'Capital Cost'!$E6)/1000000</f>
        <v>1.2744955247316168</v>
      </c>
      <c r="S23" s="122">
        <f>('Water Heaters Purchased'!S7*'Capital Cost'!$E6)/1000000</f>
        <v>1.2731747485941753</v>
      </c>
      <c r="T23" s="122">
        <f>('Water Heaters Purchased'!T7*'Capital Cost'!$E6)/1000000</f>
        <v>1.2718685215608054</v>
      </c>
      <c r="U23" s="122">
        <f>('Water Heaters Purchased'!U7*'Capital Cost'!$E6)/1000000</f>
        <v>1.2705770630830584</v>
      </c>
      <c r="V23" s="122">
        <f>('Water Heaters Purchased'!V7*'Capital Cost'!$E6)/1000000</f>
        <v>1.2693005905544932</v>
      </c>
      <c r="W23" s="122">
        <f>('Water Heaters Purchased'!W7*'Capital Cost'!$E6)/1000000</f>
        <v>1.2680393192576149</v>
      </c>
    </row>
    <row r="24" spans="1:23">
      <c r="A24" s="9" t="str">
        <f>'Water Heaters Purchased'!A8</f>
        <v>Gas Tank</v>
      </c>
      <c r="B24" s="122">
        <f>('Water Heaters Purchased'!B8*'Capital Cost'!$E7)/1000000</f>
        <v>0</v>
      </c>
      <c r="C24" s="122">
        <f>('Water Heaters Purchased'!C8*'Capital Cost'!$E7)/1000000</f>
        <v>4.5674776139291539E-5</v>
      </c>
      <c r="D24" s="122">
        <f>('Water Heaters Purchased'!D8*'Capital Cost'!$E7)/1000000</f>
        <v>4.5249960858456426E-5</v>
      </c>
      <c r="E24" s="122">
        <f>('Water Heaters Purchased'!E8*'Capital Cost'!$E7)/1000000</f>
        <v>4.4828819562817471E-5</v>
      </c>
      <c r="F24" s="122">
        <f>('Water Heaters Purchased'!F8*'Capital Cost'!$E7)/1000000</f>
        <v>4.4411357994953803E-5</v>
      </c>
      <c r="G24" s="122">
        <f>('Water Heaters Purchased'!G8*'Capital Cost'!$E7)/1000000</f>
        <v>4.3997580744279535E-5</v>
      </c>
      <c r="H24" s="122">
        <f>('Water Heaters Purchased'!H8*'Capital Cost'!$E7)/1000000</f>
        <v>4.3587491265557275E-5</v>
      </c>
      <c r="I24" s="122">
        <f>('Water Heaters Purchased'!I8*'Capital Cost'!$E7)/1000000</f>
        <v>4.3181091897884314E-5</v>
      </c>
      <c r="J24" s="122">
        <f>('Water Heaters Purchased'!J8*'Capital Cost'!$E7)/1000000</f>
        <v>4.2778383884122335E-5</v>
      </c>
      <c r="K24" s="122">
        <f>('Water Heaters Purchased'!K8*'Capital Cost'!$E7)/1000000</f>
        <v>4.237936739073705E-5</v>
      </c>
      <c r="L24" s="122">
        <f>('Water Heaters Purchased'!L8*'Capital Cost'!$E7)/1000000</f>
        <v>4.1984041528018319E-5</v>
      </c>
      <c r="M24" s="122">
        <f>('Water Heaters Purchased'!M8*'Capital Cost'!$E7)/1000000</f>
        <v>4.1592404370650094E-5</v>
      </c>
      <c r="N24" s="122">
        <f>('Water Heaters Purchased'!N8*'Capital Cost'!$E7)/1000000</f>
        <v>4.1204452978598703E-5</v>
      </c>
      <c r="O24" s="122">
        <f>('Water Heaters Purchased'!O8*'Capital Cost'!$E7)/1000000</f>
        <v>4.0820183418290693E-5</v>
      </c>
      <c r="P24" s="122">
        <f>('Water Heaters Purchased'!P8*'Capital Cost'!$E7)/1000000</f>
        <v>4.0439590784050306E-5</v>
      </c>
      <c r="Q24" s="122">
        <f>('Water Heaters Purchased'!Q8*'Capital Cost'!$E7)/1000000</f>
        <v>4.0062669219766832E-5</v>
      </c>
      <c r="R24" s="122">
        <f>('Water Heaters Purchased'!R8*'Capital Cost'!$E7)/1000000</f>
        <v>3.9689411940764431E-5</v>
      </c>
      <c r="S24" s="122">
        <f>('Water Heaters Purchased'!S8*'Capital Cost'!$E7)/1000000</f>
        <v>3.9319811255845562E-5</v>
      </c>
      <c r="T24" s="122">
        <f>('Water Heaters Purchased'!T8*'Capital Cost'!$E7)/1000000</f>
        <v>3.8953858589480442E-5</v>
      </c>
      <c r="U24" s="122">
        <f>('Water Heaters Purchased'!U8*'Capital Cost'!$E7)/1000000</f>
        <v>3.8591544504116502E-5</v>
      </c>
      <c r="V24" s="122">
        <f>('Water Heaters Purchased'!V8*'Capital Cost'!$E7)/1000000</f>
        <v>3.8232858722580168E-5</v>
      </c>
      <c r="W24" s="122">
        <f>('Water Heaters Purchased'!W8*'Capital Cost'!$E7)/1000000</f>
        <v>3.7877790150547175E-5</v>
      </c>
    </row>
    <row r="25" spans="1:23">
      <c r="A25" s="9" t="str">
        <f>'Water Heaters Purchased'!A9</f>
        <v>Instant Gas</v>
      </c>
      <c r="B25" s="122">
        <f>('Water Heaters Purchased'!B9*'Capital Cost'!$E8)/1000000</f>
        <v>0</v>
      </c>
      <c r="C25" s="122">
        <f>('Water Heaters Purchased'!C9*'Capital Cost'!$E8)/1000000</f>
        <v>0.84616688189149369</v>
      </c>
      <c r="D25" s="122">
        <f>('Water Heaters Purchased'!D9*'Capital Cost'!$E8)/1000000</f>
        <v>0.85001842165134334</v>
      </c>
      <c r="E25" s="122">
        <f>('Water Heaters Purchased'!E9*'Capital Cost'!$E8)/1000000</f>
        <v>0.85388690199728101</v>
      </c>
      <c r="F25" s="122">
        <f>('Water Heaters Purchased'!F9*'Capital Cost'!$E8)/1000000</f>
        <v>0.85777196477220807</v>
      </c>
      <c r="G25" s="122">
        <f>('Water Heaters Purchased'!G9*'Capital Cost'!$E8)/1000000</f>
        <v>0.86167324189109529</v>
      </c>
      <c r="H25" s="122">
        <f>('Water Heaters Purchased'!H9*'Capital Cost'!$E8)/1000000</f>
        <v>0.86559035534542328</v>
      </c>
      <c r="I25" s="122">
        <f>('Water Heaters Purchased'!I9*'Capital Cost'!$E8)/1000000</f>
        <v>0.86952291721485175</v>
      </c>
      <c r="J25" s="122">
        <f>('Water Heaters Purchased'!J9*'Capital Cost'!$E8)/1000000</f>
        <v>0.87347052968628491</v>
      </c>
      <c r="K25" s="122">
        <f>('Water Heaters Purchased'!K9*'Capital Cost'!$E8)/1000000</f>
        <v>0.87743278508045297</v>
      </c>
      <c r="L25" s="122">
        <f>('Water Heaters Purchased'!L9*'Capital Cost'!$E8)/1000000</f>
        <v>0.8814092658861501</v>
      </c>
      <c r="M25" s="122">
        <f>('Water Heaters Purchased'!M9*'Capital Cost'!$E8)/1000000</f>
        <v>0.88539954480225336</v>
      </c>
      <c r="N25" s="122">
        <f>('Water Heaters Purchased'!N9*'Capital Cost'!$E8)/1000000</f>
        <v>0.88940318478763636</v>
      </c>
      <c r="O25" s="122">
        <f>('Water Heaters Purchased'!O9*'Capital Cost'!$E8)/1000000</f>
        <v>0.8934197391190758</v>
      </c>
      <c r="P25" s="122">
        <f>('Water Heaters Purchased'!P9*'Capital Cost'!$E8)/1000000</f>
        <v>0.89744875145726721</v>
      </c>
      <c r="Q25" s="122">
        <f>('Water Heaters Purchased'!Q9*'Capital Cost'!$E8)/1000000</f>
        <v>0.90148975592101699</v>
      </c>
      <c r="R25" s="122">
        <f>('Water Heaters Purchased'!R9*'Capital Cost'!$E8)/1000000</f>
        <v>0.90554227716970848</v>
      </c>
      <c r="S25" s="122">
        <f>('Water Heaters Purchased'!S9*'Capital Cost'!$E8)/1000000</f>
        <v>0.90960583049409471</v>
      </c>
      <c r="T25" s="122">
        <f>('Water Heaters Purchased'!T9*'Capital Cost'!$E8)/1000000</f>
        <v>0.91367992191548431</v>
      </c>
      <c r="U25" s="122">
        <f>('Water Heaters Purchased'!U9*'Capital Cost'!$E8)/1000000</f>
        <v>0.91776404829336478</v>
      </c>
      <c r="V25" s="122">
        <f>('Water Heaters Purchased'!V9*'Capital Cost'!$E8)/1000000</f>
        <v>0.92185769744150314</v>
      </c>
      <c r="W25" s="122">
        <f>('Water Heaters Purchased'!W9*'Capital Cost'!$E8)/1000000</f>
        <v>0.9259603482525357</v>
      </c>
    </row>
    <row r="26" spans="1:23">
      <c r="A26" s="9" t="str">
        <f>'Water Heaters Purchased'!A10</f>
        <v>Condensing Gas</v>
      </c>
      <c r="B26" s="122">
        <f>('Water Heaters Purchased'!B10*'Capital Cost'!$E9)/1000000</f>
        <v>0</v>
      </c>
      <c r="C26" s="122">
        <f>('Water Heaters Purchased'!C10*'Capital Cost'!$E9)/1000000</f>
        <v>1.225391420518223</v>
      </c>
      <c r="D26" s="122">
        <f>('Water Heaters Purchased'!D10*'Capital Cost'!$E9)/1000000</f>
        <v>1.2250988261121827</v>
      </c>
      <c r="E26" s="122">
        <f>('Water Heaters Purchased'!E10*'Capital Cost'!$E9)/1000000</f>
        <v>1.2247799247803861</v>
      </c>
      <c r="F26" s="122">
        <f>('Water Heaters Purchased'!F10*'Capital Cost'!$E9)/1000000</f>
        <v>1.224434599040237</v>
      </c>
      <c r="G26" s="122">
        <f>('Water Heaters Purchased'!G10*'Capital Cost'!$E9)/1000000</f>
        <v>1.2240627392776895</v>
      </c>
      <c r="H26" s="122">
        <f>('Water Heaters Purchased'!H10*'Capital Cost'!$E9)/1000000</f>
        <v>1.2236642438402976</v>
      </c>
      <c r="I26" s="122">
        <f>('Water Heaters Purchased'!I10*'Capital Cost'!$E9)/1000000</f>
        <v>1.2232390191245508</v>
      </c>
      <c r="J26" s="122">
        <f>('Water Heaters Purchased'!J10*'Capital Cost'!$E9)/1000000</f>
        <v>1.2227869796573649</v>
      </c>
      <c r="K26" s="122">
        <f>('Water Heaters Purchased'!K10*'Capital Cost'!$E9)/1000000</f>
        <v>1.2223080481715773</v>
      </c>
      <c r="L26" s="122">
        <f>('Water Heaters Purchased'!L10*'Capital Cost'!$E9)/1000000</f>
        <v>1.221802155675336</v>
      </c>
      <c r="M26" s="122">
        <f>('Water Heaters Purchased'!M10*'Capital Cost'!$E9)/1000000</f>
        <v>1.2212692415152722</v>
      </c>
      <c r="N26" s="122">
        <f>('Water Heaters Purchased'!N10*'Capital Cost'!$E9)/1000000</f>
        <v>1.220709253433323</v>
      </c>
      <c r="O26" s="122">
        <f>('Water Heaters Purchased'!O10*'Capital Cost'!$E9)/1000000</f>
        <v>1.2201221476171311</v>
      </c>
      <c r="P26" s="122">
        <f>('Water Heaters Purchased'!P10*'Capital Cost'!$E9)/1000000</f>
        <v>1.2195078887439077</v>
      </c>
      <c r="Q26" s="122">
        <f>('Water Heaters Purchased'!Q10*'Capital Cost'!$E9)/1000000</f>
        <v>1.2188664500176822</v>
      </c>
      <c r="R26" s="122">
        <f>('Water Heaters Purchased'!R10*'Capital Cost'!$E9)/1000000</f>
        <v>1.2181978131998692</v>
      </c>
      <c r="S26" s="122">
        <f>('Water Heaters Purchased'!S10*'Capital Cost'!$E9)/1000000</f>
        <v>1.2175019686330666</v>
      </c>
      <c r="T26" s="122">
        <f>('Water Heaters Purchased'!T10*'Capital Cost'!$E9)/1000000</f>
        <v>1.2167789152580482</v>
      </c>
      <c r="U26" s="122">
        <f>('Water Heaters Purchased'!U10*'Capital Cost'!$E9)/1000000</f>
        <v>1.216028660623891</v>
      </c>
      <c r="V26" s="122">
        <f>('Water Heaters Purchased'!V10*'Capital Cost'!$E9)/1000000</f>
        <v>1.2152512208911947</v>
      </c>
      <c r="W26" s="122">
        <f>('Water Heaters Purchased'!W10*'Capital Cost'!$E9)/1000000</f>
        <v>1.2144466208283742</v>
      </c>
    </row>
    <row r="27" spans="1:23">
      <c r="A27" s="12"/>
    </row>
    <row r="28" spans="1:23">
      <c r="A28" s="12" t="s">
        <v>112</v>
      </c>
    </row>
    <row r="29" spans="1:23">
      <c r="A29" s="14" t="str">
        <f>'Energy Usage'!A16</f>
        <v>Water Heat Ending</v>
      </c>
      <c r="B29" s="9">
        <f>'Water Heater Stock'!B13</f>
        <v>2014</v>
      </c>
      <c r="C29" s="9">
        <f>'Water Heater Stock'!C13</f>
        <v>2015</v>
      </c>
      <c r="D29" s="9">
        <f>'Water Heater Stock'!D13</f>
        <v>2016</v>
      </c>
      <c r="E29" s="9">
        <f>'Water Heater Stock'!E13</f>
        <v>2017</v>
      </c>
      <c r="F29" s="9">
        <f>'Water Heater Stock'!F13</f>
        <v>2018</v>
      </c>
      <c r="G29" s="9">
        <f>'Water Heater Stock'!G13</f>
        <v>2019</v>
      </c>
      <c r="H29" s="9">
        <f>'Water Heater Stock'!H13</f>
        <v>2020</v>
      </c>
      <c r="I29" s="9">
        <f>'Water Heater Stock'!I13</f>
        <v>2021</v>
      </c>
      <c r="J29" s="9">
        <f>'Water Heater Stock'!J13</f>
        <v>2022</v>
      </c>
      <c r="K29" s="9">
        <f>'Water Heater Stock'!K13</f>
        <v>2023</v>
      </c>
      <c r="L29" s="9">
        <f>'Water Heater Stock'!L13</f>
        <v>2024</v>
      </c>
      <c r="M29" s="9">
        <f>'Water Heater Stock'!M13</f>
        <v>2025</v>
      </c>
      <c r="N29" s="9">
        <f>'Water Heater Stock'!N13</f>
        <v>2026</v>
      </c>
      <c r="O29" s="9">
        <f>'Water Heater Stock'!O13</f>
        <v>2027</v>
      </c>
      <c r="P29" s="9">
        <f>'Water Heater Stock'!P13</f>
        <v>2028</v>
      </c>
      <c r="Q29" s="9">
        <f>'Water Heater Stock'!Q13</f>
        <v>2029</v>
      </c>
      <c r="R29" s="9">
        <f>'Water Heater Stock'!R13</f>
        <v>2030</v>
      </c>
      <c r="S29" s="9">
        <f>'Water Heater Stock'!S13</f>
        <v>2031</v>
      </c>
      <c r="T29" s="9">
        <f>'Water Heater Stock'!T13</f>
        <v>2032</v>
      </c>
      <c r="U29" s="9">
        <f>'Water Heater Stock'!U13</f>
        <v>2033</v>
      </c>
      <c r="V29" s="9">
        <f>'Water Heater Stock'!V13</f>
        <v>2034</v>
      </c>
      <c r="W29" s="9">
        <f>'Water Heater Stock'!W13</f>
        <v>2035</v>
      </c>
    </row>
    <row r="30" spans="1:23" ht="16.5" thickBot="1">
      <c r="A30" s="47" t="s">
        <v>44</v>
      </c>
      <c r="B30" s="128">
        <f t="shared" ref="B30:W30" si="8">SUM(B31:B35)</f>
        <v>9.677798327602162E-2</v>
      </c>
      <c r="C30" s="128">
        <f t="shared" si="8"/>
        <v>0.1234892096576118</v>
      </c>
      <c r="D30" s="128">
        <f t="shared" si="8"/>
        <v>0.14835922918820291</v>
      </c>
      <c r="E30" s="128">
        <f t="shared" si="8"/>
        <v>0.17151977932124268</v>
      </c>
      <c r="F30" s="128">
        <f t="shared" si="8"/>
        <v>0.19309318107658965</v>
      </c>
      <c r="G30" s="128">
        <f t="shared" si="8"/>
        <v>0.21319301149102382</v>
      </c>
      <c r="H30" s="128">
        <f t="shared" si="8"/>
        <v>0.23192472803691921</v>
      </c>
      <c r="I30" s="128">
        <f t="shared" si="8"/>
        <v>0.2493862484400346</v>
      </c>
      <c r="J30" s="128">
        <f t="shared" si="8"/>
        <v>0.26566848908231366</v>
      </c>
      <c r="K30" s="128">
        <f t="shared" si="8"/>
        <v>0.28085586494802173</v>
      </c>
      <c r="L30" s="128">
        <f t="shared" si="8"/>
        <v>0.29502675386024219</v>
      </c>
      <c r="M30" s="128">
        <f t="shared" si="8"/>
        <v>0.30825392755853864</v>
      </c>
      <c r="N30" s="128">
        <f t="shared" si="8"/>
        <v>0.32060495198639222</v>
      </c>
      <c r="O30" s="128">
        <f t="shared" si="8"/>
        <v>0.3321425589878384</v>
      </c>
      <c r="P30" s="128">
        <f t="shared" si="8"/>
        <v>0.34292499145562527</v>
      </c>
      <c r="Q30" s="128">
        <f t="shared" si="8"/>
        <v>0.35300632382734054</v>
      </c>
      <c r="R30" s="128">
        <f t="shared" si="8"/>
        <v>0.36243675969048988</v>
      </c>
      <c r="S30" s="128">
        <f t="shared" si="8"/>
        <v>0.37126290813173113</v>
      </c>
      <c r="T30" s="128">
        <f t="shared" si="8"/>
        <v>0.37952804034866511</v>
      </c>
      <c r="U30" s="128">
        <f t="shared" si="8"/>
        <v>0.3872723279341298</v>
      </c>
      <c r="V30" s="128">
        <f t="shared" si="8"/>
        <v>0.39453306414223366</v>
      </c>
      <c r="W30" s="128">
        <f t="shared" si="8"/>
        <v>0.40134486935184782</v>
      </c>
    </row>
    <row r="31" spans="1:23" ht="16.5" thickTop="1">
      <c r="A31" s="9" t="str">
        <f>'Energy Usage'!A18</f>
        <v>Electric Resistance</v>
      </c>
      <c r="B31" s="122">
        <f>'Water Heater Stock'!B6*'O&amp;M Cost'!$D5/1000000</f>
        <v>9.677798327602162E-2</v>
      </c>
      <c r="C31" s="122">
        <f>'Water Heater Stock'!C6*'O&amp;M Cost'!$D5/1000000</f>
        <v>8.9865390459743302E-2</v>
      </c>
      <c r="D31" s="122">
        <f>'Water Heater Stock'!D6*'O&amp;M Cost'!$D5/1000000</f>
        <v>8.3446552999846824E-2</v>
      </c>
      <c r="E31" s="122">
        <f>'Water Heater Stock'!E6*'O&amp;M Cost'!$D5/1000000</f>
        <v>7.748620267604904E-2</v>
      </c>
      <c r="F31" s="122">
        <f>'Water Heater Stock'!F6*'O&amp;M Cost'!$D5/1000000</f>
        <v>7.1951590426398718E-2</v>
      </c>
      <c r="G31" s="122">
        <f>'Water Heater Stock'!G6*'O&amp;M Cost'!$D5/1000000</f>
        <v>6.6812306407397978E-2</v>
      </c>
      <c r="H31" s="122">
        <f>'Water Heater Stock'!H6*'O&amp;M Cost'!$D5/1000000</f>
        <v>6.2040112906972221E-2</v>
      </c>
      <c r="I31" s="122">
        <f>'Water Heater Stock'!I6*'O&amp;M Cost'!$D5/1000000</f>
        <v>5.7608789192227894E-2</v>
      </c>
      <c r="J31" s="122">
        <f>'Water Heater Stock'!J6*'O&amp;M Cost'!$D5/1000000</f>
        <v>5.3493987439513335E-2</v>
      </c>
      <c r="K31" s="122">
        <f>'Water Heater Stock'!K6*'O&amp;M Cost'!$D5/1000000</f>
        <v>4.96730989551896E-2</v>
      </c>
      <c r="L31" s="122">
        <f>'Water Heater Stock'!L6*'O&amp;M Cost'!$D5/1000000</f>
        <v>4.612512995206048E-2</v>
      </c>
      <c r="M31" s="122">
        <f>'Water Heater Stock'!M6*'O&amp;M Cost'!$D5/1000000</f>
        <v>4.2830586198914736E-2</v>
      </c>
      <c r="N31" s="122">
        <f>'Water Heater Stock'!N6*'O&amp;M Cost'!$D5/1000000</f>
        <v>3.9771365909386722E-2</v>
      </c>
      <c r="O31" s="122">
        <f>'Water Heater Stock'!O6*'O&amp;M Cost'!$D5/1000000</f>
        <v>3.6930660281612744E-2</v>
      </c>
      <c r="P31" s="122">
        <f>'Water Heater Stock'!P6*'O&amp;M Cost'!$D5/1000000</f>
        <v>3.4292861142197602E-2</v>
      </c>
      <c r="Q31" s="122">
        <f>'Water Heater Stock'!Q6*'O&amp;M Cost'!$D5/1000000</f>
        <v>3.1843475187040809E-2</v>
      </c>
      <c r="R31" s="122">
        <f>'Water Heater Stock'!R6*'O&amp;M Cost'!$D5/1000000</f>
        <v>2.9569044347817951E-2</v>
      </c>
      <c r="S31" s="122">
        <f>'Water Heater Stock'!S6*'O&amp;M Cost'!$D5/1000000</f>
        <v>2.7457071846570612E-2</v>
      </c>
      <c r="T31" s="122">
        <f>'Water Heater Stock'!T6*'O&amp;M Cost'!$D5/1000000</f>
        <v>2.5495953532111315E-2</v>
      </c>
      <c r="U31" s="122">
        <f>'Water Heater Stock'!U6*'O&amp;M Cost'!$D5/1000000</f>
        <v>2.3674914120970923E-2</v>
      </c>
      <c r="V31" s="122">
        <f>'Water Heater Stock'!V6*'O&amp;M Cost'!$D5/1000000</f>
        <v>2.1983947992564153E-2</v>
      </c>
      <c r="W31" s="122">
        <f>'Water Heater Stock'!W6*'O&amp;M Cost'!$D5/1000000</f>
        <v>2.0413764213271759E-2</v>
      </c>
    </row>
    <row r="32" spans="1:23">
      <c r="A32" s="9" t="str">
        <f>'Energy Usage'!A19</f>
        <v>HPWH</v>
      </c>
      <c r="B32" s="122">
        <f>'Water Heater Stock'!B7*'O&amp;M Cost'!$D6/1000000</f>
        <v>0</v>
      </c>
      <c r="C32" s="122">
        <f>'Water Heater Stock'!C7*'O&amp;M Cost'!$D6/1000000</f>
        <v>7.8053970008523646E-3</v>
      </c>
      <c r="D32" s="122">
        <f>'Water Heater Stock'!D7*'O&amp;M Cost'!$D6/1000000</f>
        <v>1.5044161920909334E-2</v>
      </c>
      <c r="E32" s="122">
        <f>'Water Heater Stock'!E7*'O&amp;M Cost'!$D6/1000000</f>
        <v>2.1756835034584147E-2</v>
      </c>
      <c r="F32" s="122">
        <f>'Water Heater Stock'!F7*'O&amp;M Cost'!$D6/1000000</f>
        <v>2.7981062347418432E-2</v>
      </c>
      <c r="G32" s="122">
        <f>'Water Heater Stock'!G7*'O&amp;M Cost'!$D6/1000000</f>
        <v>3.375180232272422E-2</v>
      </c>
      <c r="H32" s="122">
        <f>'Water Heater Stock'!H7*'O&amp;M Cost'!$D6/1000000</f>
        <v>3.9101517841628033E-2</v>
      </c>
      <c r="I32" s="122">
        <f>'Water Heater Stock'!I7*'O&amp;M Cost'!$D6/1000000</f>
        <v>4.4060354451279031E-2</v>
      </c>
      <c r="J32" s="122">
        <f>'Water Heater Stock'!J7*'O&amp;M Cost'!$D6/1000000</f>
        <v>4.8656305880643132E-2</v>
      </c>
      <c r="K32" s="122">
        <f>'Water Heater Stock'!K7*'O&amp;M Cost'!$D6/1000000</f>
        <v>5.2915367733346576E-2</v>
      </c>
      <c r="L32" s="122">
        <f>'Water Heater Stock'!L7*'O&amp;M Cost'!$D6/1000000</f>
        <v>5.6861680202070795E-2</v>
      </c>
      <c r="M32" s="122">
        <f>'Water Heater Stock'!M7*'O&amp;M Cost'!$D6/1000000</f>
        <v>6.0517660588679238E-2</v>
      </c>
      <c r="N32" s="122">
        <f>'Water Heater Stock'!N7*'O&amp;M Cost'!$D6/1000000</f>
        <v>6.3904126358243774E-2</v>
      </c>
      <c r="O32" s="122">
        <f>'Water Heater Stock'!O7*'O&amp;M Cost'!$D6/1000000</f>
        <v>6.7040409403126902E-2</v>
      </c>
      <c r="P32" s="122">
        <f>'Water Heater Stock'!P7*'O&amp;M Cost'!$D6/1000000</f>
        <v>6.9944462144978653E-2</v>
      </c>
      <c r="Q32" s="122">
        <f>'Water Heater Stock'!Q7*'O&amp;M Cost'!$D6/1000000</f>
        <v>7.2632956057660791E-2</v>
      </c>
      <c r="R32" s="122">
        <f>'Water Heater Stock'!R7*'O&amp;M Cost'!$D6/1000000</f>
        <v>7.5121373152466739E-2</v>
      </c>
      <c r="S32" s="122">
        <f>'Water Heater Stock'!S7*'O&amp;M Cost'!$D6/1000000</f>
        <v>7.7424090928336839E-2</v>
      </c>
      <c r="T32" s="122">
        <f>'Water Heater Stock'!T7*'O&amp;M Cost'!$D6/1000000</f>
        <v>7.9554461253861633E-2</v>
      </c>
      <c r="U32" s="122">
        <f>'Water Heater Stock'!U7*'O&amp;M Cost'!$D6/1000000</f>
        <v>8.1524883614523258E-2</v>
      </c>
      <c r="V32" s="122">
        <f>'Water Heater Stock'!V7*'O&amp;M Cost'!$D6/1000000</f>
        <v>8.3346873127664756E-2</v>
      </c>
      <c r="W32" s="122">
        <f>'Water Heater Stock'!W7*'O&amp;M Cost'!$D6/1000000</f>
        <v>8.503112369892761E-2</v>
      </c>
    </row>
    <row r="33" spans="1:23">
      <c r="A33" s="44" t="str">
        <f>'Energy Usage'!A20</f>
        <v>Gas Tank</v>
      </c>
      <c r="B33" s="122">
        <f>'Water Heater Stock'!B8*'O&amp;M Cost'!$D7/1000000</f>
        <v>0</v>
      </c>
      <c r="C33" s="122">
        <f>'Water Heater Stock'!C8*'O&amp;M Cost'!$D7/1000000</f>
        <v>8.1836256372409682E-7</v>
      </c>
      <c r="D33" s="122">
        <f>'Water Heater Stock'!D8*'O&amp;M Cost'!$D7/1000000</f>
        <v>1.5706591725407841E-6</v>
      </c>
      <c r="E33" s="122">
        <f>'Water Heater Stock'!E8*'O&amp;M Cost'!$D7/1000000</f>
        <v>2.2616746506332215E-6</v>
      </c>
      <c r="F33" s="122">
        <f>'Water Heater Stock'!F8*'O&amp;M Cost'!$D7/1000000</f>
        <v>2.8958521519193741E-6</v>
      </c>
      <c r="G33" s="122">
        <f>'Water Heater Stock'!G8*'O&amp;M Cost'!$D7/1000000</f>
        <v>3.4773175444095051E-6</v>
      </c>
      <c r="H33" s="122">
        <f>'Water Heater Stock'!H8*'O&amp;M Cost'!$D7/1000000</f>
        <v>4.0099020531555602E-6</v>
      </c>
      <c r="I33" s="122">
        <f>'Water Heater Stock'!I8*'O&amp;M Cost'!$D7/1000000</f>
        <v>4.4971632861871967E-6</v>
      </c>
      <c r="J33" s="122">
        <f>'Water Heater Stock'!J8*'O&amp;M Cost'!$D7/1000000</f>
        <v>4.9424047589433719E-6</v>
      </c>
      <c r="K33" s="122">
        <f>'Water Heater Stock'!K8*'O&amp;M Cost'!$D7/1000000</f>
        <v>5.3486940244571374E-6</v>
      </c>
      <c r="L33" s="122">
        <f>'Water Heater Stock'!L8*'O&amp;M Cost'!$D7/1000000</f>
        <v>5.7188795088895305E-6</v>
      </c>
      <c r="M33" s="122">
        <f>'Water Heater Stock'!M8*'O&amp;M Cost'!$D7/1000000</f>
        <v>6.0556061448938768E-6</v>
      </c>
      <c r="N33" s="122">
        <f>'Water Heater Stock'!N8*'O&amp;M Cost'!$D7/1000000</f>
        <v>6.3613298886854771E-6</v>
      </c>
      <c r="O33" s="122">
        <f>'Water Heater Stock'!O8*'O&amp;M Cost'!$D7/1000000</f>
        <v>6.638331200557192E-6</v>
      </c>
      <c r="P33" s="122">
        <f>'Water Heater Stock'!P8*'O&amp;M Cost'!$D7/1000000</f>
        <v>6.8887275628851567E-6</v>
      </c>
      <c r="Q33" s="122">
        <f>'Water Heater Stock'!Q8*'O&amp;M Cost'!$D7/1000000</f>
        <v>7.1144851043794441E-6</v>
      </c>
      <c r="R33" s="122">
        <f>'Water Heater Stock'!R8*'O&amp;M Cost'!$D7/1000000</f>
        <v>7.3174293944229508E-6</v>
      </c>
      <c r="S33" s="122">
        <f>'Water Heater Stock'!S8*'O&amp;M Cost'!$D7/1000000</f>
        <v>7.4992554667810503E-6</v>
      </c>
      <c r="T33" s="122">
        <f>'Water Heater Stock'!T8*'O&amp;M Cost'!$D7/1000000</f>
        <v>7.6615371277295333E-6</v>
      </c>
      <c r="U33" s="122">
        <f>'Water Heater Stock'!U8*'O&amp;M Cost'!$D7/1000000</f>
        <v>7.8057355997160077E-6</v>
      </c>
      <c r="V33" s="122">
        <f>'Water Heater Stock'!V8*'O&amp;M Cost'!$D7/1000000</f>
        <v>7.9332075480182802E-6</v>
      </c>
      <c r="W33" s="122">
        <f>'Water Heater Stock'!W8*'O&amp;M Cost'!$D7/1000000</f>
        <v>8.0452125344726059E-6</v>
      </c>
    </row>
    <row r="34" spans="1:23">
      <c r="A34" s="43" t="str">
        <f>'Energy Usage'!A21</f>
        <v>Instant Gas</v>
      </c>
      <c r="B34" s="122">
        <f>'Water Heater Stock'!B9*'O&amp;M Cost'!$D8/1000000</f>
        <v>0</v>
      </c>
      <c r="C34" s="122">
        <f>'Water Heater Stock'!C9*'O&amp;M Cost'!$D8/1000000</f>
        <v>1.7120277098097412E-2</v>
      </c>
      <c r="D34" s="122">
        <f>'Water Heater Stock'!D9*'O&amp;M Cost'!$D8/1000000</f>
        <v>3.3095604474921457E-2</v>
      </c>
      <c r="E34" s="122">
        <f>'Water Heater Stock'!E9*'O&amp;M Cost'!$D8/1000000</f>
        <v>4.8008107007945652E-2</v>
      </c>
      <c r="F34" s="122">
        <f>'Water Heater Stock'!F9*'O&amp;M Cost'!$D8/1000000</f>
        <v>6.1934036265466293E-2</v>
      </c>
      <c r="G34" s="122">
        <f>'Water Heater Stock'!G9*'O&amp;M Cost'!$D8/1000000</f>
        <v>7.494418982781724E-2</v>
      </c>
      <c r="H34" s="122">
        <f>'Water Heater Stock'!H9*'O&amp;M Cost'!$D8/1000000</f>
        <v>8.7104300657159323E-2</v>
      </c>
      <c r="I34" s="122">
        <f>'Water Heater Stock'!I9*'O&amp;M Cost'!$D8/1000000</f>
        <v>9.8475398655377841E-2</v>
      </c>
      <c r="J34" s="122">
        <f>'Water Heater Stock'!J9*'O&amp;M Cost'!$D8/1000000</f>
        <v>0.10911414639680184</v>
      </c>
      <c r="K34" s="122">
        <f>'Water Heater Stock'!K9*'O&amp;M Cost'!$D8/1000000</f>
        <v>0.1190731508805527</v>
      </c>
      <c r="L34" s="122">
        <f>'Water Heater Stock'!L9*'O&amp;M Cost'!$D8/1000000</f>
        <v>0.12840125301556043</v>
      </c>
      <c r="M34" s="122">
        <f>'Water Heater Stock'!M9*'O&amp;M Cost'!$D8/1000000</f>
        <v>0.13714379642892915</v>
      </c>
      <c r="N34" s="122">
        <f>'Water Heater Stock'!N9*'O&amp;M Cost'!$D8/1000000</f>
        <v>0.14534287707471463</v>
      </c>
      <c r="O34" s="122">
        <f>'Water Heater Stock'!O9*'O&amp;M Cost'!$D8/1000000</f>
        <v>0.15303757501467538</v>
      </c>
      <c r="P34" s="122">
        <f>'Water Heater Stock'!P9*'O&amp;M Cost'!$D8/1000000</f>
        <v>0.16026416964459125</v>
      </c>
      <c r="Q34" s="122">
        <f>'Water Heater Stock'!Q9*'O&amp;M Cost'!$D8/1000000</f>
        <v>0.16705633954877477</v>
      </c>
      <c r="R34" s="122">
        <f>'Water Heater Stock'!R9*'O&amp;M Cost'!$D8/1000000</f>
        <v>0.17344534808092876</v>
      </c>
      <c r="S34" s="122">
        <f>'Water Heater Stock'!S9*'O&amp;M Cost'!$D8/1000000</f>
        <v>0.17946021569106527</v>
      </c>
      <c r="T34" s="122">
        <f>'Water Heater Stock'!T9*'O&amp;M Cost'!$D8/1000000</f>
        <v>0.18512787994536584</v>
      </c>
      <c r="U34" s="122">
        <f>'Water Heater Stock'!U9*'O&amp;M Cost'!$D8/1000000</f>
        <v>0.19047334411822928</v>
      </c>
      <c r="V34" s="122">
        <f>'Water Heater Stock'!V9*'O&amp;M Cost'!$D8/1000000</f>
        <v>0.19551981517295056</v>
      </c>
      <c r="W34" s="122">
        <f>'Water Heater Stock'!W9*'O&amp;M Cost'!$D8/1000000</f>
        <v>0.20028883188915791</v>
      </c>
    </row>
    <row r="35" spans="1:23">
      <c r="A35" s="44" t="str">
        <f>'Energy Usage'!A22</f>
        <v>Condensing Gas</v>
      </c>
      <c r="B35" s="122">
        <f>'Water Heater Stock'!B10*'O&amp;M Cost'!$D9/1000000</f>
        <v>0</v>
      </c>
      <c r="C35" s="122">
        <f>'Water Heater Stock'!C10*'O&amp;M Cost'!$D9/1000000</f>
        <v>8.6973267363550013E-3</v>
      </c>
      <c r="D35" s="122">
        <f>'Water Heater Stock'!D10*'O&amp;M Cost'!$D9/1000000</f>
        <v>1.6771339133352752E-2</v>
      </c>
      <c r="E35" s="122">
        <f>'Water Heater Stock'!E10*'O&amp;M Cost'!$D9/1000000</f>
        <v>2.4266372928013188E-2</v>
      </c>
      <c r="F35" s="122">
        <f>'Water Heater Stock'!F10*'O&amp;M Cost'!$D9/1000000</f>
        <v>3.1223596185154294E-2</v>
      </c>
      <c r="G35" s="122">
        <f>'Water Heater Stock'!G10*'O&amp;M Cost'!$D9/1000000</f>
        <v>3.7681235615539987E-2</v>
      </c>
      <c r="H35" s="122">
        <f>'Water Heater Stock'!H10*'O&amp;M Cost'!$D9/1000000</f>
        <v>4.3674786729106484E-2</v>
      </c>
      <c r="I35" s="122">
        <f>'Water Heater Stock'!I10*'O&amp;M Cost'!$D9/1000000</f>
        <v>4.923720897786367E-2</v>
      </c>
      <c r="J35" s="122">
        <f>'Water Heater Stock'!J10*'O&amp;M Cost'!$D9/1000000</f>
        <v>5.439910696059639E-2</v>
      </c>
      <c r="K35" s="122">
        <f>'Water Heater Stock'!K10*'O&amp;M Cost'!$D9/1000000</f>
        <v>5.9188898684908411E-2</v>
      </c>
      <c r="L35" s="122">
        <f>'Water Heater Stock'!L10*'O&amp;M Cost'!$D9/1000000</f>
        <v>6.3632971811041592E-2</v>
      </c>
      <c r="M35" s="122">
        <f>'Water Heater Stock'!M10*'O&amp;M Cost'!$D9/1000000</f>
        <v>6.7755828735870605E-2</v>
      </c>
      <c r="N35" s="122">
        <f>'Water Heater Stock'!N10*'O&amp;M Cost'!$D9/1000000</f>
        <v>7.1580221314158407E-2</v>
      </c>
      <c r="O35" s="122">
        <f>'Water Heater Stock'!O10*'O&amp;M Cost'!$D9/1000000</f>
        <v>7.5127275957222767E-2</v>
      </c>
      <c r="P35" s="122">
        <f>'Water Heater Stock'!P10*'O&amp;M Cost'!$D9/1000000</f>
        <v>7.8416609796294903E-2</v>
      </c>
      <c r="Q35" s="122">
        <f>'Water Heater Stock'!Q10*'O&amp;M Cost'!$D9/1000000</f>
        <v>8.1466438548759762E-2</v>
      </c>
      <c r="R35" s="122">
        <f>'Water Heater Stock'!R10*'O&amp;M Cost'!$D9/1000000</f>
        <v>8.4293676679882037E-2</v>
      </c>
      <c r="S35" s="122">
        <f>'Water Heater Stock'!S10*'O&amp;M Cost'!$D9/1000000</f>
        <v>8.6914030410291665E-2</v>
      </c>
      <c r="T35" s="122">
        <f>'Water Heater Stock'!T10*'O&amp;M Cost'!$D9/1000000</f>
        <v>8.9342084080198614E-2</v>
      </c>
      <c r="U35" s="122">
        <f>'Water Heater Stock'!U10*'O&amp;M Cost'!$D9/1000000</f>
        <v>9.1591380344806628E-2</v>
      </c>
      <c r="V35" s="122">
        <f>'Water Heater Stock'!V10*'O&amp;M Cost'!$D9/1000000</f>
        <v>9.3674494641506192E-2</v>
      </c>
      <c r="W35" s="122">
        <f>'Water Heater Stock'!W10*'O&amp;M Cost'!$D9/1000000</f>
        <v>9.5603104337956046E-2</v>
      </c>
    </row>
    <row r="37" spans="1:23">
      <c r="A37" s="12" t="s">
        <v>113</v>
      </c>
    </row>
    <row r="38" spans="1:23">
      <c r="A38" s="14" t="str">
        <f>'Energy Usage'!A25</f>
        <v>Water Heat Ending</v>
      </c>
      <c r="B38" s="9">
        <f>'Energy Usage'!B25</f>
        <v>2014</v>
      </c>
      <c r="C38" s="9">
        <f>'Energy Usage'!C25</f>
        <v>2015</v>
      </c>
      <c r="D38" s="9">
        <f>'Energy Usage'!D25</f>
        <v>2016</v>
      </c>
      <c r="E38" s="9">
        <f>'Energy Usage'!E25</f>
        <v>2017</v>
      </c>
      <c r="F38" s="9">
        <f>'Energy Usage'!F25</f>
        <v>2018</v>
      </c>
      <c r="G38" s="9">
        <f>'Energy Usage'!G25</f>
        <v>2019</v>
      </c>
      <c r="H38" s="9">
        <f>'Energy Usage'!H25</f>
        <v>2020</v>
      </c>
      <c r="I38" s="9">
        <f>'Energy Usage'!I25</f>
        <v>2021</v>
      </c>
      <c r="J38" s="9">
        <f>'Energy Usage'!J25</f>
        <v>2022</v>
      </c>
      <c r="K38" s="9">
        <f>'Energy Usage'!K25</f>
        <v>2023</v>
      </c>
      <c r="L38" s="9">
        <f>'Energy Usage'!L25</f>
        <v>2024</v>
      </c>
      <c r="M38" s="9">
        <f>'Energy Usage'!M25</f>
        <v>2025</v>
      </c>
      <c r="N38" s="9">
        <f>'Energy Usage'!N25</f>
        <v>2026</v>
      </c>
      <c r="O38" s="9">
        <f>'Energy Usage'!O25</f>
        <v>2027</v>
      </c>
      <c r="P38" s="9">
        <f>'Energy Usage'!P25</f>
        <v>2028</v>
      </c>
      <c r="Q38" s="9">
        <f>'Energy Usage'!Q25</f>
        <v>2029</v>
      </c>
      <c r="R38" s="9">
        <f>'Energy Usage'!R25</f>
        <v>2030</v>
      </c>
      <c r="S38" s="9">
        <f>'Energy Usage'!S25</f>
        <v>2031</v>
      </c>
      <c r="T38" s="9">
        <f>'Energy Usage'!T25</f>
        <v>2032</v>
      </c>
      <c r="U38" s="9">
        <f>'Energy Usage'!U25</f>
        <v>2033</v>
      </c>
      <c r="V38" s="9">
        <f>'Energy Usage'!V25</f>
        <v>2034</v>
      </c>
      <c r="W38" s="9">
        <f>'Energy Usage'!W25</f>
        <v>2035</v>
      </c>
    </row>
    <row r="39" spans="1:23" ht="16.5" thickBot="1">
      <c r="A39" s="47" t="s">
        <v>44</v>
      </c>
      <c r="B39" s="128">
        <f t="shared" ref="B39" si="9">SUM(B40:B44)</f>
        <v>7.2827170163798503</v>
      </c>
      <c r="C39" s="128">
        <f t="shared" ref="C39:W39" si="10">SUM(C40:C44)</f>
        <v>7.1318432306622102</v>
      </c>
      <c r="D39" s="128">
        <f t="shared" si="10"/>
        <v>6.9940906062998627</v>
      </c>
      <c r="E39" s="128">
        <f t="shared" si="10"/>
        <v>6.868725382774084</v>
      </c>
      <c r="F39" s="128">
        <f t="shared" si="10"/>
        <v>6.7550588027323721</v>
      </c>
      <c r="G39" s="128">
        <f t="shared" si="10"/>
        <v>6.6524444148938393</v>
      </c>
      <c r="H39" s="128">
        <f t="shared" si="10"/>
        <v>6.5602755393284458</v>
      </c>
      <c r="I39" s="128">
        <f t="shared" si="10"/>
        <v>6.4779828853512669</v>
      </c>
      <c r="J39" s="128">
        <f t="shared" si="10"/>
        <v>6.4050323128592268</v>
      </c>
      <c r="K39" s="128">
        <f t="shared" si="10"/>
        <v>6.3409227284889154</v>
      </c>
      <c r="L39" s="128">
        <f t="shared" si="10"/>
        <v>6.2851841084921496</v>
      </c>
      <c r="M39" s="128">
        <f t="shared" si="10"/>
        <v>6.2373756407127932</v>
      </c>
      <c r="N39" s="128">
        <f t="shared" si="10"/>
        <v>6.197083978506102</v>
      </c>
      <c r="O39" s="128">
        <f t="shared" si="10"/>
        <v>6.1639215998720038</v>
      </c>
      <c r="P39" s="128">
        <f t="shared" si="10"/>
        <v>6.1375252654780903</v>
      </c>
      <c r="Q39" s="128">
        <f t="shared" si="10"/>
        <v>6.117554569628199</v>
      </c>
      <c r="R39" s="128">
        <f t="shared" si="10"/>
        <v>6.1036905785896662</v>
      </c>
      <c r="S39" s="128">
        <f t="shared" si="10"/>
        <v>6.09563455102814</v>
      </c>
      <c r="T39" s="128">
        <f t="shared" si="10"/>
        <v>6.0931067356144499</v>
      </c>
      <c r="U39" s="128">
        <f t="shared" si="10"/>
        <v>6.0958452411647146</v>
      </c>
      <c r="V39" s="128">
        <f t="shared" si="10"/>
        <v>6.1036049749536563</v>
      </c>
      <c r="W39" s="128">
        <f t="shared" si="10"/>
        <v>6.1161566451032465</v>
      </c>
    </row>
    <row r="40" spans="1:23" ht="16.5" thickTop="1">
      <c r="A40" s="9" t="str">
        <f>'Energy Usage'!A27</f>
        <v>Electric Resistance</v>
      </c>
      <c r="B40" s="122">
        <f>(('Energy Usage'!B18*'Retail Rates'!B$5*'Device Energy Use'!$E5+'Energy Usage'!B18*'Retail Rates'!B$6*(1-'Device Energy Use'!$E5)))/1000000</f>
        <v>7.2827170163798503</v>
      </c>
      <c r="C40" s="122">
        <f>(('Energy Usage'!C18*'Retail Rates'!C$5*'Device Energy Use'!$E5+'Energy Usage'!C18*'Retail Rates'!C$6*(1-'Device Energy Use'!$E5)))/1000000</f>
        <v>6.8504449106117784</v>
      </c>
      <c r="D40" s="122">
        <f>(('Energy Usage'!D18*'Retail Rates'!D$5*'Device Energy Use'!$E5+'Energy Usage'!D18*'Retail Rates'!D$6*(1-'Device Energy Use'!$E5)))/1000000</f>
        <v>6.4438312628406242</v>
      </c>
      <c r="E40" s="122">
        <f>(('Energy Usage'!E18*'Retail Rates'!E$5*'Device Energy Use'!$E5+'Energy Usage'!E18*'Retail Rates'!E$6*(1-'Device Energy Use'!$E5)))/1000000</f>
        <v>6.061353060824616</v>
      </c>
      <c r="F40" s="122">
        <f>(('Energy Usage'!F18*'Retail Rates'!F$5*'Device Energy Use'!$E5+'Energy Usage'!F18*'Retail Rates'!F$6*(1-'Device Energy Use'!$E5)))/1000000</f>
        <v>5.701577693986267</v>
      </c>
      <c r="G40" s="122">
        <f>(('Energy Usage'!G18*'Retail Rates'!G$5*'Device Energy Use'!$E5+'Energy Usage'!G18*'Retail Rates'!G$6*(1-'Device Energy Use'!$E5)))/1000000</f>
        <v>5.3631575874279234</v>
      </c>
      <c r="H40" s="122">
        <f>(('Energy Usage'!H18*'Retail Rates'!H$5*'Device Energy Use'!$E5+'Energy Usage'!H18*'Retail Rates'!H$6*(1-'Device Energy Use'!$E5)))/1000000</f>
        <v>5.0448251544568201</v>
      </c>
      <c r="I40" s="122">
        <f>(('Energy Usage'!I18*'Retail Rates'!I$5*'Device Energy Use'!$E5+'Energy Usage'!I18*'Retail Rates'!I$6*(1-'Device Energy Use'!$E5)))/1000000</f>
        <v>4.7453880487138385</v>
      </c>
      <c r="J40" s="122">
        <f>(('Energy Usage'!J18*'Retail Rates'!J$5*'Device Energy Use'!$E5+'Energy Usage'!J18*'Retail Rates'!J$6*(1-'Device Energy Use'!$E5)))/1000000</f>
        <v>4.4637246981223315</v>
      </c>
      <c r="K40" s="122">
        <f>(('Energy Usage'!K18*'Retail Rates'!K$5*'Device Energy Use'!$E5+'Energy Usage'!K18*'Retail Rates'!K$6*(1-'Device Energy Use'!$E5)))/1000000</f>
        <v>4.1987801039289847</v>
      </c>
      <c r="L40" s="122">
        <f>(('Energy Usage'!L18*'Retail Rates'!L$5*'Device Energy Use'!$E5+'Energy Usage'!L18*'Retail Rates'!L$6*(1-'Device Energy Use'!$E5)))/1000000</f>
        <v>3.9495618891016231</v>
      </c>
      <c r="M40" s="122">
        <f>(('Energy Usage'!M18*'Retail Rates'!M$5*'Device Energy Use'!$E5+'Energy Usage'!M18*'Retail Rates'!M$6*(1-'Device Energy Use'!$E5)))/1000000</f>
        <v>3.7151365812828265</v>
      </c>
      <c r="N40" s="122">
        <f>(('Energy Usage'!N18*'Retail Rates'!N$5*'Device Energy Use'!$E5+'Energy Usage'!N18*'Retail Rates'!N$6*(1-'Device Energy Use'!$E5)))/1000000</f>
        <v>3.4946261163768062</v>
      </c>
      <c r="O40" s="122">
        <f>(('Energy Usage'!O18*'Retail Rates'!O$5*'Device Energy Use'!$E5+'Energy Usage'!O18*'Retail Rates'!O$6*(1-'Device Energy Use'!$E5)))/1000000</f>
        <v>3.2872045496733753</v>
      </c>
      <c r="P40" s="122">
        <f>(('Energy Usage'!P18*'Retail Rates'!P$5*'Device Energy Use'!$E5+'Energy Usage'!P18*'Retail Rates'!P$6*(1-'Device Energy Use'!$E5)))/1000000</f>
        <v>3.0920949621902034</v>
      </c>
      <c r="Q40" s="122">
        <f>(('Energy Usage'!Q18*'Retail Rates'!Q$5*'Device Energy Use'!$E5+'Energy Usage'!Q18*'Retail Rates'!Q$6*(1-'Device Energy Use'!$E5)))/1000000</f>
        <v>2.9085665506457641</v>
      </c>
      <c r="R40" s="122">
        <f>(('Energy Usage'!R18*'Retail Rates'!R$5*'Device Energy Use'!$E5+'Energy Usage'!R18*'Retail Rates'!R$6*(1-'Device Energy Use'!$E5)))/1000000</f>
        <v>2.7359318901631711</v>
      </c>
      <c r="S40" s="122">
        <f>(('Energy Usage'!S18*'Retail Rates'!S$5*'Device Energy Use'!$E5+'Energy Usage'!S18*'Retail Rates'!S$6*(1-'Device Energy Use'!$E5)))/1000000</f>
        <v>2.5735443594520993</v>
      </c>
      <c r="T40" s="122">
        <f>(('Energy Usage'!T18*'Retail Rates'!T$5*'Device Energy Use'!$E5+'Energy Usage'!T18*'Retail Rates'!T$6*(1-'Device Energy Use'!$E5)))/1000000</f>
        <v>2.4207957188245532</v>
      </c>
      <c r="U40" s="122">
        <f>(('Energy Usage'!U18*'Retail Rates'!U$5*'Device Energy Use'!$E5+'Energy Usage'!U18*'Retail Rates'!U$6*(1-'Device Energy Use'!$E5)))/1000000</f>
        <v>2.277113831972704</v>
      </c>
      <c r="V40" s="122">
        <f>(('Energy Usage'!V18*'Retail Rates'!V$5*'Device Energy Use'!$E5+'Energy Usage'!V18*'Retail Rates'!V$6*(1-'Device Energy Use'!$E5)))/1000000</f>
        <v>2.1419605229754803</v>
      </c>
      <c r="W40" s="122">
        <f>(('Energy Usage'!W18*'Retail Rates'!W$5*'Device Energy Use'!$E5+'Energy Usage'!W18*'Retail Rates'!W$6*(1-'Device Energy Use'!$E5)))/1000000</f>
        <v>2.0148295605071356</v>
      </c>
    </row>
    <row r="41" spans="1:23">
      <c r="A41" s="9" t="str">
        <f>'Energy Usage'!A28</f>
        <v>HPWH</v>
      </c>
      <c r="B41" s="122">
        <f>(('Energy Usage'!B19*'Retail Rates'!B$5*'Device Energy Use'!$E6+'Energy Usage'!B19*'Retail Rates'!B$6*(1-'Device Energy Use'!$E6)))/1000000</f>
        <v>0</v>
      </c>
      <c r="C41" s="122">
        <f>(('Energy Usage'!C19*'Retail Rates'!C$5*'Device Energy Use'!$E6+'Energy Usage'!C19*'Retail Rates'!C$6*(1-'Device Energy Use'!$E6)))/1000000</f>
        <v>0.14653210673370765</v>
      </c>
      <c r="D41" s="122">
        <f>(('Energy Usage'!D19*'Retail Rates'!D$5*'Device Energy Use'!$E6+'Energy Usage'!D19*'Retail Rates'!D$6*(1-'Device Energy Use'!$E6)))/1000000</f>
        <v>0.28609827606386795</v>
      </c>
      <c r="E41" s="122">
        <f>(('Energy Usage'!E19*'Retail Rates'!E$5*'Device Energy Use'!$E6+'Energy Usage'!E19*'Retail Rates'!E$6*(1-'Device Energy Use'!$E6)))/1000000</f>
        <v>0.41913353087383964</v>
      </c>
      <c r="F41" s="122">
        <f>(('Energy Usage'!F19*'Retail Rates'!F$5*'Device Energy Use'!$E6+'Energy Usage'!F19*'Retail Rates'!F$6*(1-'Device Energy Use'!$E6)))/1000000</f>
        <v>0.5460473850797013</v>
      </c>
      <c r="G41" s="122">
        <f>(('Energy Usage'!G19*'Retail Rates'!G$5*'Device Energy Use'!$E6+'Energy Usage'!G19*'Retail Rates'!G$6*(1-'Device Energy Use'!$E6)))/1000000</f>
        <v>0.6672253630846755</v>
      </c>
      <c r="H41" s="122">
        <f>(('Energy Usage'!H19*'Retail Rates'!H$5*'Device Energy Use'!$E6+'Energy Usage'!H19*'Retail Rates'!H$6*(1-'Device Energy Use'!$E6)))/1000000</f>
        <v>0.78303042913225296</v>
      </c>
      <c r="I41" s="122">
        <f>(('Energy Usage'!I19*'Retail Rates'!I$5*'Device Energy Use'!$E6+'Energy Usage'!I19*'Retail Rates'!I$6*(1-'Device Energy Use'!$E6)))/1000000</f>
        <v>0.89380433190741848</v>
      </c>
      <c r="J41" s="122">
        <f>(('Energy Usage'!J19*'Retail Rates'!J$5*'Device Energy Use'!$E6+'Energy Usage'!J19*'Retail Rates'!J$6*(1-'Device Energy Use'!$E6)))/1000000</f>
        <v>0.99986886941786424</v>
      </c>
      <c r="K41" s="122">
        <f>(('Energy Usage'!K19*'Retail Rates'!K$5*'Device Energy Use'!$E6+'Energy Usage'!K19*'Retail Rates'!K$6*(1-'Device Energy Use'!$E6)))/1000000</f>
        <v>1.1015270788884268</v>
      </c>
      <c r="L41" s="122">
        <f>(('Energy Usage'!L19*'Retail Rates'!L$5*'Device Energy Use'!$E6+'Energy Usage'!L19*'Retail Rates'!L$6*(1-'Device Energy Use'!$E6)))/1000000</f>
        <v>1.1990643561210295</v>
      </c>
      <c r="M41" s="122">
        <f>(('Energy Usage'!M19*'Retail Rates'!M$5*'Device Energy Use'!$E6+'Energy Usage'!M19*'Retail Rates'!M$6*(1-'Device Energy Use'!$E6)))/1000000</f>
        <v>1.2927495085081737</v>
      </c>
      <c r="N41" s="122">
        <f>(('Energy Usage'!N19*'Retail Rates'!N$5*'Device Energy Use'!$E6+'Energy Usage'!N19*'Retail Rates'!N$6*(1-'Device Energy Use'!$E6)))/1000000</f>
        <v>1.3828357456394313</v>
      </c>
      <c r="O41" s="122">
        <f>(('Energy Usage'!O19*'Retail Rates'!O$5*'Device Energy Use'!$E6+'Energy Usage'!O19*'Retail Rates'!O$6*(1-'Device Energy Use'!$E6)))/1000000</f>
        <v>1.4695616112065866</v>
      </c>
      <c r="P41" s="122">
        <f>(('Energy Usage'!P19*'Retail Rates'!P$5*'Device Energy Use'!$E6+'Energy Usage'!P19*'Retail Rates'!P$6*(1-'Device Energy Use'!$E6)))/1000000</f>
        <v>1.5531518596931204</v>
      </c>
      <c r="Q41" s="122">
        <f>(('Energy Usage'!Q19*'Retail Rates'!Q$5*'Device Energy Use'!$E6+'Energy Usage'!Q19*'Retail Rates'!Q$6*(1-'Device Energy Use'!$E6)))/1000000</f>
        <v>1.6338182811268647</v>
      </c>
      <c r="R41" s="122">
        <f>(('Energy Usage'!R19*'Retail Rates'!R$5*'Device Energy Use'!$E6+'Energy Usage'!R19*'Retail Rates'!R$6*(1-'Device Energy Use'!$E6)))/1000000</f>
        <v>1.7117604769800312</v>
      </c>
      <c r="S41" s="122">
        <f>(('Energy Usage'!S19*'Retail Rates'!S$5*'Device Energy Use'!$E6+'Energy Usage'!S19*'Retail Rates'!S$6*(1-'Device Energy Use'!$E6)))/1000000</f>
        <v>1.7871665901177789</v>
      </c>
      <c r="T41" s="122">
        <f>(('Energy Usage'!T19*'Retail Rates'!T$5*'Device Energy Use'!$E6+'Energy Usage'!T19*'Retail Rates'!T$6*(1-'Device Energy Use'!$E6)))/1000000</f>
        <v>1.8602139915242923</v>
      </c>
      <c r="U41" s="122">
        <f>(('Energy Usage'!U19*'Retail Rates'!U$5*'Device Energy Use'!$E6+'Energy Usage'!U19*'Retail Rates'!U$6*(1-'Device Energy Use'!$E6)))/1000000</f>
        <v>1.9310699263733777</v>
      </c>
      <c r="V41" s="122">
        <f>(('Energy Usage'!V19*'Retail Rates'!V$5*'Device Energy Use'!$E6+'Energy Usage'!V19*'Retail Rates'!V$6*(1-'Device Energy Use'!$E6)))/1000000</f>
        <v>1.999892121858228</v>
      </c>
      <c r="W41" s="122">
        <f>(('Energy Usage'!W19*'Retail Rates'!W$5*'Device Energy Use'!$E6+'Energy Usage'!W19*'Retail Rates'!W$6*(1-'Device Energy Use'!$E6)))/1000000</f>
        <v>2.066829359051702</v>
      </c>
    </row>
    <row r="42" spans="1:23">
      <c r="A42" s="9" t="str">
        <f>'Energy Usage'!A29</f>
        <v>Gas Tank</v>
      </c>
      <c r="B42" s="122">
        <f>(('Energy Usage'!B20*'Retail Rates'!B$5*'Device Energy Use'!$E7+'Energy Usage'!B20*'Retail Rates'!B$6*(1-'Device Energy Use'!$E7)))/1000000</f>
        <v>0</v>
      </c>
      <c r="C42" s="122">
        <f>(('Energy Usage'!C20*'Retail Rates'!C$5*'Device Energy Use'!$E7+'Energy Usage'!C20*'Retail Rates'!C$6*(1-'Device Energy Use'!$E7)))/1000000</f>
        <v>1.1783935907364133E-5</v>
      </c>
      <c r="D42" s="122">
        <f>(('Energy Usage'!D20*'Retail Rates'!D$5*'Device Energy Use'!$E7+'Energy Usage'!D20*'Retail Rates'!D$6*(1-'Device Energy Use'!$E7)))/1000000</f>
        <v>2.2955809636950564E-5</v>
      </c>
      <c r="E42" s="122">
        <f>(('Energy Usage'!E20*'Retail Rates'!E$5*'Device Energy Use'!$E7+'Energy Usage'!E20*'Retail Rates'!E$6*(1-'Device Energy Use'!$E7)))/1000000</f>
        <v>3.3551105327654616E-5</v>
      </c>
      <c r="F42" s="122">
        <f>(('Energy Usage'!F20*'Retail Rates'!F$5*'Device Energy Use'!$E7+'Energy Usage'!F20*'Retail Rates'!F$6*(1-'Device Energy Use'!$E7)))/1000000</f>
        <v>4.3603276953732974E-5</v>
      </c>
      <c r="G42" s="122">
        <f>(('Energy Usage'!G20*'Retail Rates'!G$5*'Device Energy Use'!$E7+'Energy Usage'!G20*'Retail Rates'!G$6*(1-'Device Energy Use'!$E7)))/1000000</f>
        <v>5.314386524952035E-5</v>
      </c>
      <c r="H42" s="122">
        <f>(('Energy Usage'!H20*'Retail Rates'!H$5*'Device Energy Use'!$E7+'Energy Usage'!H20*'Retail Rates'!H$6*(1-'Device Energy Use'!$E7)))/1000000</f>
        <v>6.2202607909670938E-5</v>
      </c>
      <c r="I42" s="122">
        <f>(('Energy Usage'!I20*'Retail Rates'!I$5*'Device Energy Use'!$E7+'Energy Usage'!I20*'Retail Rates'!I$6*(1-'Device Energy Use'!$E7)))/1000000</f>
        <v>7.0807543451586075E-5</v>
      </c>
      <c r="J42" s="122">
        <f>(('Energy Usage'!J20*'Retail Rates'!J$5*'Device Energy Use'!$E7+'Energy Usage'!J20*'Retail Rates'!J$6*(1-'Device Energy Use'!$E7)))/1000000</f>
        <v>7.8985109104460875E-5</v>
      </c>
      <c r="K42" s="122">
        <f>(('Energy Usage'!K20*'Retail Rates'!K$5*'Device Energy Use'!$E7+'Energy Usage'!K20*'Retail Rates'!K$6*(1-'Device Energy Use'!$E7)))/1000000</f>
        <v>8.6760233068430471E-5</v>
      </c>
      <c r="L42" s="122">
        <f>(('Energy Usage'!L20*'Retail Rates'!L$5*'Device Energy Use'!$E7+'Energy Usage'!L20*'Retail Rates'!L$6*(1-'Device Energy Use'!$E7)))/1000000</f>
        <v>9.4156421467549484E-5</v>
      </c>
      <c r="M42" s="122">
        <f>(('Energy Usage'!M20*'Retail Rates'!M$5*'Device Energy Use'!$E7+'Energy Usage'!M20*'Retail Rates'!M$6*(1-'Device Energy Use'!$E7)))/1000000</f>
        <v>1.0119584030172841E-4</v>
      </c>
      <c r="N42" s="122">
        <f>(('Energy Usage'!N20*'Retail Rates'!N$5*'Device Energy Use'!$E7+'Energy Usage'!N20*'Retail Rates'!N$6*(1-'Device Energy Use'!$E7)))/1000000</f>
        <v>1.0789939268520712E-4</v>
      </c>
      <c r="O42" s="122">
        <f>(('Energy Usage'!O20*'Retail Rates'!O$5*'Device Energy Use'!$E7+'Energy Usage'!O20*'Retail Rates'!O$6*(1-'Device Energy Use'!$E7)))/1000000</f>
        <v>1.1428679164261456E-4</v>
      </c>
      <c r="P42" s="122">
        <f>(('Energy Usage'!P20*'Retail Rates'!P$5*'Device Energy Use'!$E7+'Energy Usage'!P20*'Retail Rates'!P$6*(1-'Device Energy Use'!$E7)))/1000000</f>
        <v>1.2037662871808083E-4</v>
      </c>
      <c r="Q42" s="122">
        <f>(('Energy Usage'!Q20*'Retail Rates'!Q$5*'Device Energy Use'!$E7+'Energy Usage'!Q20*'Retail Rates'!Q$6*(1-'Device Energy Use'!$E7)))/1000000</f>
        <v>1.2618643863818095E-4</v>
      </c>
      <c r="R42" s="122">
        <f>(('Energy Usage'!R20*'Retail Rates'!R$5*'Device Energy Use'!$E7+'Energy Usage'!R20*'Retail Rates'!R$6*(1-'Device Energy Use'!$E7)))/1000000</f>
        <v>1.3173276025564879E-4</v>
      </c>
      <c r="S42" s="122">
        <f>(('Energy Usage'!S20*'Retail Rates'!S$5*'Device Energy Use'!$E7+'Energy Usage'!S20*'Retail Rates'!S$6*(1-'Device Energy Use'!$E7)))/1000000</f>
        <v>1.3703119398775221E-4</v>
      </c>
      <c r="T42" s="122">
        <f>(('Energy Usage'!T20*'Retail Rates'!T$5*'Device Energy Use'!$E7+'Energy Usage'!T20*'Retail Rates'!T$6*(1-'Device Energy Use'!$E7)))/1000000</f>
        <v>1.4209645595092481E-4</v>
      </c>
      <c r="U42" s="122">
        <f>(('Energy Usage'!U20*'Retail Rates'!U$5*'Device Energy Use'!$E7+'Energy Usage'!U20*'Retail Rates'!U$6*(1-'Device Energy Use'!$E7)))/1000000</f>
        <v>1.4694242898166093E-4</v>
      </c>
      <c r="V42" s="122">
        <f>(('Energy Usage'!V20*'Retail Rates'!V$5*'Device Energy Use'!$E7+'Energy Usage'!V20*'Retail Rates'!V$6*(1-'Device Energy Use'!$E7)))/1000000</f>
        <v>1.5158221072275653E-4</v>
      </c>
      <c r="W42" s="122">
        <f>(('Energy Usage'!W20*'Retail Rates'!W$5*'Device Energy Use'!$E7+'Energy Usage'!W20*'Retail Rates'!W$6*(1-'Device Energy Use'!$E7)))/1000000</f>
        <v>1.5602815894368469E-4</v>
      </c>
    </row>
    <row r="43" spans="1:23">
      <c r="A43" s="9" t="str">
        <f>'Energy Usage'!A30</f>
        <v>Instant Gas</v>
      </c>
      <c r="B43" s="122">
        <f>(('Energy Usage'!B21*'Retail Rates'!B$5*'Device Energy Use'!$E8+'Energy Usage'!B21*'Retail Rates'!B$6*(1-'Device Energy Use'!$E8)))/1000000</f>
        <v>0</v>
      </c>
      <c r="C43" s="122">
        <f>(('Energy Usage'!C21*'Retail Rates'!C$5*'Device Energy Use'!$E8+'Energy Usage'!C21*'Retail Rates'!C$6*(1-'Device Energy Use'!$E8)))/1000000</f>
        <v>3.9743698144841362E-2</v>
      </c>
      <c r="D43" s="122">
        <f>(('Energy Usage'!D21*'Retail Rates'!D$5*'Device Energy Use'!$E8+'Energy Usage'!D21*'Retail Rates'!D$6*(1-'Device Energy Use'!$E8)))/1000000</f>
        <v>7.7981906030790346E-2</v>
      </c>
      <c r="E43" s="122">
        <f>(('Energy Usage'!E21*'Retail Rates'!E$5*'Device Energy Use'!$E8+'Energy Usage'!E21*'Retail Rates'!E$6*(1-'Device Energy Use'!$E8)))/1000000</f>
        <v>0.11481645992084297</v>
      </c>
      <c r="F43" s="122">
        <f>(('Energy Usage'!F21*'Retail Rates'!F$5*'Device Energy Use'!$E8+'Energy Usage'!F21*'Retail Rates'!F$6*(1-'Device Energy Use'!$E8)))/1000000</f>
        <v>0.15034361786655151</v>
      </c>
      <c r="G43" s="122">
        <f>(('Energy Usage'!G21*'Retail Rates'!G$5*'Device Energy Use'!$E8+'Energy Usage'!G21*'Retail Rates'!G$6*(1-'Device Energy Use'!$E8)))/1000000</f>
        <v>0.18465438450231164</v>
      </c>
      <c r="H43" s="122">
        <f>(('Energy Usage'!H21*'Retail Rates'!H$5*'Device Energy Use'!$E8+'Energy Usage'!H21*'Retail Rates'!H$6*(1-'Device Energy Use'!$E8)))/1000000</f>
        <v>0.21783481719182946</v>
      </c>
      <c r="I43" s="122">
        <f>(('Energy Usage'!I21*'Retail Rates'!I$5*'Device Energy Use'!$E8+'Energy Usage'!I21*'Retail Rates'!I$6*(1-'Device Energy Use'!$E8)))/1000000</f>
        <v>0.24996631459846261</v>
      </c>
      <c r="J43" s="122">
        <f>(('Energy Usage'!J21*'Retail Rates'!J$5*'Device Energy Use'!$E8+'Energy Usage'!J21*'Retail Rates'!J$6*(1-'Device Energy Use'!$E8)))/1000000</f>
        <v>0.28112588868950272</v>
      </c>
      <c r="K43" s="122">
        <f>(('Energy Usage'!K21*'Retail Rates'!K$5*'Device Energy Use'!$E8+'Energy Usage'!K21*'Retail Rates'!K$6*(1-'Device Energy Use'!$E8)))/1000000</f>
        <v>0.31138642112637926</v>
      </c>
      <c r="L43" s="122">
        <f>(('Energy Usage'!L21*'Retail Rates'!L$5*'Device Energy Use'!$E8+'Energy Usage'!L21*'Retail Rates'!L$6*(1-'Device Energy Use'!$E8)))/1000000</f>
        <v>0.34081690493802091</v>
      </c>
      <c r="M43" s="122">
        <f>(('Energy Usage'!M21*'Retail Rates'!M$5*'Device Energy Use'!$E8+'Energy Usage'!M21*'Retail Rates'!M$6*(1-'Device Energy Use'!$E8)))/1000000</f>
        <v>0.36948267232301601</v>
      </c>
      <c r="N43" s="122">
        <f>(('Energy Usage'!N21*'Retail Rates'!N$5*'Device Energy Use'!$E8+'Energy Usage'!N21*'Retail Rates'!N$6*(1-'Device Energy Use'!$E8)))/1000000</f>
        <v>0.39744560937758633</v>
      </c>
      <c r="O43" s="122">
        <f>(('Energy Usage'!O21*'Retail Rates'!O$5*'Device Energy Use'!$E8+'Energy Usage'!O21*'Retail Rates'!O$6*(1-'Device Energy Use'!$E8)))/1000000</f>
        <v>0.42476435850055633</v>
      </c>
      <c r="P43" s="122">
        <f>(('Energy Usage'!P21*'Retail Rates'!P$5*'Device Energy Use'!$E8+'Energy Usage'!P21*'Retail Rates'!P$6*(1-'Device Energy Use'!$E8)))/1000000</f>
        <v>0.45149450918330947</v>
      </c>
      <c r="Q43" s="122">
        <f>(('Energy Usage'!Q21*'Retail Rates'!Q$5*'Device Energy Use'!$E8+'Energy Usage'!Q21*'Retail Rates'!Q$6*(1-'Device Energy Use'!$E8)))/1000000</f>
        <v>0.4776887778520123</v>
      </c>
      <c r="R43" s="122">
        <f>(('Energy Usage'!R21*'Retail Rates'!R$5*'Device Energy Use'!$E8+'Energy Usage'!R21*'Retail Rates'!R$6*(1-'Device Energy Use'!$E8)))/1000000</f>
        <v>0.50339717739102063</v>
      </c>
      <c r="S43" s="122">
        <f>(('Energy Usage'!S21*'Retail Rates'!S$5*'Device Energy Use'!$E8+'Energy Usage'!S21*'Retail Rates'!S$6*(1-'Device Energy Use'!$E8)))/1000000</f>
        <v>0.52866717694022336</v>
      </c>
      <c r="T43" s="122">
        <f>(('Energy Usage'!T21*'Retail Rates'!T$5*'Device Energy Use'!$E8+'Energy Usage'!T21*'Retail Rates'!T$6*(1-'Device Energy Use'!$E8)))/1000000</f>
        <v>0.55354385252500049</v>
      </c>
      <c r="U43" s="122">
        <f>(('Energy Usage'!U21*'Retail Rates'!U$5*'Device Energy Use'!$E8+'Energy Usage'!U21*'Retail Rates'!U$6*(1-'Device Energy Use'!$E8)))/1000000</f>
        <v>0.57807002904535509</v>
      </c>
      <c r="V43" s="122">
        <f>(('Energy Usage'!V21*'Retail Rates'!V$5*'Device Energy Use'!$E8+'Energy Usage'!V21*'Retail Rates'!V$6*(1-'Device Energy Use'!$E8)))/1000000</f>
        <v>0.60228641412050621</v>
      </c>
      <c r="W43" s="122">
        <f>(('Energy Usage'!W21*'Retail Rates'!W$5*'Device Energy Use'!$E8+'Energy Usage'!W21*'Retail Rates'!W$6*(1-'Device Energy Use'!$E8)))/1000000</f>
        <v>0.62623172425670648</v>
      </c>
    </row>
    <row r="44" spans="1:23">
      <c r="A44" s="9" t="str">
        <f>'Energy Usage'!A31</f>
        <v>Condensing Gas</v>
      </c>
      <c r="B44" s="122">
        <f>(('Energy Usage'!B22*'Retail Rates'!B$5*'Device Energy Use'!$E9+'Energy Usage'!B22*'Retail Rates'!B$6*(1-'Device Energy Use'!$E9)))/1000000</f>
        <v>0</v>
      </c>
      <c r="C44" s="122">
        <f>(('Energy Usage'!C22*'Retail Rates'!C$5*'Device Energy Use'!$E9+'Energy Usage'!C22*'Retail Rates'!C$6*(1-'Device Energy Use'!$E9)))/1000000</f>
        <v>9.5110731235975479E-2</v>
      </c>
      <c r="D44" s="122">
        <f>(('Energy Usage'!D22*'Retail Rates'!D$5*'Device Energy Use'!$E9+'Energy Usage'!D22*'Retail Rates'!D$6*(1-'Device Energy Use'!$E9)))/1000000</f>
        <v>0.18615620555494339</v>
      </c>
      <c r="E44" s="122">
        <f>(('Energy Usage'!E22*'Retail Rates'!E$5*'Device Energy Use'!$E9+'Energy Usage'!E22*'Retail Rates'!E$6*(1-'Device Energy Use'!$E9)))/1000000</f>
        <v>0.27338878004945771</v>
      </c>
      <c r="F44" s="122">
        <f>(('Energy Usage'!F22*'Retail Rates'!F$5*'Device Energy Use'!$E9+'Energy Usage'!F22*'Retail Rates'!F$6*(1-'Device Energy Use'!$E9)))/1000000</f>
        <v>0.35704650252289932</v>
      </c>
      <c r="G44" s="122">
        <f>(('Energy Usage'!G22*'Retail Rates'!G$5*'Device Energy Use'!$E9+'Energy Usage'!G22*'Retail Rates'!G$6*(1-'Device Energy Use'!$E9)))/1000000</f>
        <v>0.43735393601367867</v>
      </c>
      <c r="H44" s="122">
        <f>(('Energy Usage'!H22*'Retail Rates'!H$5*'Device Energy Use'!$E9+'Energy Usage'!H22*'Retail Rates'!H$6*(1-'Device Energy Use'!$E9)))/1000000</f>
        <v>0.51452293593963261</v>
      </c>
      <c r="I44" s="122">
        <f>(('Energy Usage'!I22*'Retail Rates'!I$5*'Device Energy Use'!$E9+'Energy Usage'!I22*'Retail Rates'!I$6*(1-'Device Energy Use'!$E9)))/1000000</f>
        <v>0.58875338258809551</v>
      </c>
      <c r="J44" s="122">
        <f>(('Energy Usage'!J22*'Retail Rates'!J$5*'Device Energy Use'!$E9+'Energy Usage'!J22*'Retail Rates'!J$6*(1-'Device Energy Use'!$E9)))/1000000</f>
        <v>0.66023387152042334</v>
      </c>
      <c r="K44" s="122">
        <f>(('Energy Usage'!K22*'Retail Rates'!K$5*'Device Energy Use'!$E9+'Energy Usage'!K22*'Retail Rates'!K$6*(1-'Device Energy Use'!$E9)))/1000000</f>
        <v>0.72914236431205615</v>
      </c>
      <c r="L44" s="122">
        <f>(('Energy Usage'!L22*'Retail Rates'!L$5*'Device Energy Use'!$E9+'Energy Usage'!L22*'Retail Rates'!L$6*(1-'Device Energy Use'!$E9)))/1000000</f>
        <v>0.79564680191000792</v>
      </c>
      <c r="M44" s="122">
        <f>(('Energy Usage'!M22*'Retail Rates'!M$5*'Device Energy Use'!$E9+'Energy Usage'!M22*'Retail Rates'!M$6*(1-'Device Energy Use'!$E9)))/1000000</f>
        <v>0.85990568275847523</v>
      </c>
      <c r="N44" s="122">
        <f>(('Energy Usage'!N22*'Retail Rates'!N$5*'Device Energy Use'!$E9+'Energy Usage'!N22*'Retail Rates'!N$6*(1-'Device Energy Use'!$E9)))/1000000</f>
        <v>0.92206860771959365</v>
      </c>
      <c r="O44" s="122">
        <f>(('Energy Usage'!O22*'Retail Rates'!O$5*'Device Energy Use'!$E9+'Energy Usage'!O22*'Retail Rates'!O$6*(1-'Device Energy Use'!$E9)))/1000000</f>
        <v>0.98227679369984366</v>
      </c>
      <c r="P44" s="122">
        <f>(('Energy Usage'!P22*'Retail Rates'!P$5*'Device Energy Use'!$E9+'Energy Usage'!P22*'Retail Rates'!P$6*(1-'Device Energy Use'!$E9)))/1000000</f>
        <v>1.0406635577827386</v>
      </c>
      <c r="Q44" s="122">
        <f>(('Energy Usage'!Q22*'Retail Rates'!Q$5*'Device Energy Use'!$E9+'Energy Usage'!Q22*'Retail Rates'!Q$6*(1-'Device Energy Use'!$E9)))/1000000</f>
        <v>1.097354773564919</v>
      </c>
      <c r="R44" s="122">
        <f>(('Energy Usage'!R22*'Retail Rates'!R$5*'Device Energy Use'!$E9+'Energy Usage'!R22*'Retail Rates'!R$6*(1-'Device Energy Use'!$E9)))/1000000</f>
        <v>1.1524693012951879</v>
      </c>
      <c r="S44" s="122">
        <f>(('Energy Usage'!S22*'Retail Rates'!S$5*'Device Energy Use'!$E9+'Energy Usage'!S22*'Retail Rates'!S$6*(1-'Device Energy Use'!$E9)))/1000000</f>
        <v>1.2061193933240508</v>
      </c>
      <c r="T44" s="122">
        <f>(('Energy Usage'!T22*'Retail Rates'!T$5*'Device Energy Use'!$E9+'Energy Usage'!T22*'Retail Rates'!T$6*(1-'Device Energy Use'!$E9)))/1000000</f>
        <v>1.258411076284653</v>
      </c>
      <c r="U44" s="122">
        <f>(('Energy Usage'!U22*'Retail Rates'!U$5*'Device Energy Use'!$E9+'Energy Usage'!U22*'Retail Rates'!U$6*(1-'Device Energy Use'!$E9)))/1000000</f>
        <v>1.3094445113442958</v>
      </c>
      <c r="V44" s="122">
        <f>(('Energy Usage'!V22*'Retail Rates'!V$5*'Device Energy Use'!$E9+'Energy Usage'!V22*'Retail Rates'!V$6*(1-'Device Energy Use'!$E9)))/1000000</f>
        <v>1.359314333788719</v>
      </c>
      <c r="W44" s="122">
        <f>(('Energy Usage'!W22*'Retail Rates'!W$5*'Device Energy Use'!$E9+'Energy Usage'!W22*'Retail Rates'!W$6*(1-'Device Energy Use'!$E9)))/1000000</f>
        <v>1.4081099731287587</v>
      </c>
    </row>
    <row r="47" spans="1:23">
      <c r="A47" s="12" t="s">
        <v>114</v>
      </c>
    </row>
    <row r="48" spans="1:23">
      <c r="A48" s="14" t="str">
        <f t="shared" ref="A48:W48" si="11">A57</f>
        <v>Water Heat Ending</v>
      </c>
      <c r="B48" s="9">
        <f t="shared" si="11"/>
        <v>2014</v>
      </c>
      <c r="C48" s="9">
        <f t="shared" si="11"/>
        <v>2015</v>
      </c>
      <c r="D48" s="9">
        <f t="shared" si="11"/>
        <v>2016</v>
      </c>
      <c r="E48" s="9">
        <f t="shared" si="11"/>
        <v>2017</v>
      </c>
      <c r="F48" s="9">
        <f t="shared" si="11"/>
        <v>2018</v>
      </c>
      <c r="G48" s="9">
        <f t="shared" si="11"/>
        <v>2019</v>
      </c>
      <c r="H48" s="9">
        <f t="shared" si="11"/>
        <v>2020</v>
      </c>
      <c r="I48" s="9">
        <f t="shared" si="11"/>
        <v>2021</v>
      </c>
      <c r="J48" s="9">
        <f t="shared" si="11"/>
        <v>2022</v>
      </c>
      <c r="K48" s="9">
        <f t="shared" si="11"/>
        <v>2023</v>
      </c>
      <c r="L48" s="9">
        <f t="shared" si="11"/>
        <v>2024</v>
      </c>
      <c r="M48" s="9">
        <f t="shared" si="11"/>
        <v>2025</v>
      </c>
      <c r="N48" s="9">
        <f t="shared" si="11"/>
        <v>2026</v>
      </c>
      <c r="O48" s="9">
        <f t="shared" si="11"/>
        <v>2027</v>
      </c>
      <c r="P48" s="9">
        <f t="shared" si="11"/>
        <v>2028</v>
      </c>
      <c r="Q48" s="9">
        <f t="shared" si="11"/>
        <v>2029</v>
      </c>
      <c r="R48" s="9">
        <f t="shared" si="11"/>
        <v>2030</v>
      </c>
      <c r="S48" s="9">
        <f t="shared" si="11"/>
        <v>2031</v>
      </c>
      <c r="T48" s="9">
        <f t="shared" si="11"/>
        <v>2032</v>
      </c>
      <c r="U48" s="9">
        <f t="shared" si="11"/>
        <v>2033</v>
      </c>
      <c r="V48" s="9">
        <f t="shared" si="11"/>
        <v>2034</v>
      </c>
      <c r="W48" s="9">
        <f t="shared" si="11"/>
        <v>2035</v>
      </c>
    </row>
    <row r="49" spans="1:23" ht="16.5" thickBot="1">
      <c r="A49" s="47" t="str">
        <f t="shared" ref="A49:A54" si="12">A58</f>
        <v>Total</v>
      </c>
      <c r="B49" s="128">
        <f t="shared" ref="B49:W49" si="13">SUM(B50:B54)</f>
        <v>7.3794949996558721</v>
      </c>
      <c r="C49" s="128">
        <f t="shared" si="13"/>
        <v>9.7847437657127294</v>
      </c>
      <c r="D49" s="128">
        <f t="shared" si="13"/>
        <v>9.6599981299305533</v>
      </c>
      <c r="E49" s="128">
        <f t="shared" si="13"/>
        <v>9.5463477314760716</v>
      </c>
      <c r="F49" s="128">
        <f t="shared" si="13"/>
        <v>9.4431899140339297</v>
      </c>
      <c r="G49" s="128">
        <f t="shared" si="13"/>
        <v>9.3499579526839316</v>
      </c>
      <c r="H49" s="128">
        <f t="shared" si="13"/>
        <v>9.2661189637309498</v>
      </c>
      <c r="I49" s="128">
        <f t="shared" si="13"/>
        <v>9.1911719362594848</v>
      </c>
      <c r="J49" s="128">
        <f t="shared" si="13"/>
        <v>9.1246458783640492</v>
      </c>
      <c r="K49" s="128">
        <f t="shared" si="13"/>
        <v>9.0660980714124726</v>
      </c>
      <c r="L49" s="128">
        <f t="shared" si="13"/>
        <v>9.0151124260819131</v>
      </c>
      <c r="M49" s="128">
        <f t="shared" si="13"/>
        <v>8.9712979342682679</v>
      </c>
      <c r="N49" s="128">
        <f t="shared" si="13"/>
        <v>8.9342872113097105</v>
      </c>
      <c r="O49" s="128">
        <f t="shared" si="13"/>
        <v>8.9037351232859763</v>
      </c>
      <c r="P49" s="128">
        <f t="shared" si="13"/>
        <v>8.8793174944571547</v>
      </c>
      <c r="Q49" s="128">
        <f t="shared" si="13"/>
        <v>8.8607298901909033</v>
      </c>
      <c r="R49" s="128">
        <f t="shared" si="13"/>
        <v>8.847686470995578</v>
      </c>
      <c r="S49" s="128">
        <f t="shared" si="13"/>
        <v>8.8399189135300027</v>
      </c>
      <c r="T49" s="128">
        <f t="shared" si="13"/>
        <v>8.8371753946993987</v>
      </c>
      <c r="U49" s="128">
        <f t="shared" si="13"/>
        <v>8.8392196351718741</v>
      </c>
      <c r="V49" s="128">
        <f t="shared" si="13"/>
        <v>8.8458299988620173</v>
      </c>
      <c r="W49" s="128">
        <f t="shared" si="13"/>
        <v>8.8567986451279719</v>
      </c>
    </row>
    <row r="50" spans="1:23" ht="16.5" thickTop="1">
      <c r="A50" s="9" t="str">
        <f t="shared" si="12"/>
        <v>Electric Resistance</v>
      </c>
      <c r="B50" s="122">
        <f t="shared" ref="B50:W50" si="14">B59+B68+B77</f>
        <v>7.3794949996558721</v>
      </c>
      <c r="C50" s="122">
        <f t="shared" si="14"/>
        <v>6.9403010122353228</v>
      </c>
      <c r="D50" s="122">
        <f t="shared" si="14"/>
        <v>6.5272597713904075</v>
      </c>
      <c r="E50" s="122">
        <f t="shared" si="14"/>
        <v>6.1388129643549361</v>
      </c>
      <c r="F50" s="122">
        <f t="shared" si="14"/>
        <v>5.7734952011027412</v>
      </c>
      <c r="G50" s="122">
        <f t="shared" si="14"/>
        <v>5.4299284683088498</v>
      </c>
      <c r="H50" s="122">
        <f t="shared" si="14"/>
        <v>5.1068169146798681</v>
      </c>
      <c r="I50" s="122">
        <f t="shared" si="14"/>
        <v>4.8029419478292574</v>
      </c>
      <c r="J50" s="122">
        <f t="shared" si="14"/>
        <v>4.5171576240610403</v>
      </c>
      <c r="K50" s="122">
        <f t="shared" si="14"/>
        <v>4.2483863135419506</v>
      </c>
      <c r="L50" s="122">
        <f t="shared" si="14"/>
        <v>3.9956146243914912</v>
      </c>
      <c r="M50" s="122">
        <f t="shared" si="14"/>
        <v>3.757889570205978</v>
      </c>
      <c r="N50" s="122">
        <f t="shared" si="14"/>
        <v>3.5343149664598634</v>
      </c>
      <c r="O50" s="122">
        <f t="shared" si="14"/>
        <v>3.3240480420993954</v>
      </c>
      <c r="P50" s="122">
        <f t="shared" si="14"/>
        <v>3.1262962534630496</v>
      </c>
      <c r="Q50" s="122">
        <f t="shared" si="14"/>
        <v>2.9403142884334361</v>
      </c>
      <c r="R50" s="122">
        <f t="shared" si="14"/>
        <v>2.7654012494494427</v>
      </c>
      <c r="S50" s="122">
        <f t="shared" si="14"/>
        <v>2.6008980046880374</v>
      </c>
      <c r="T50" s="122">
        <f t="shared" si="14"/>
        <v>2.4461846973650068</v>
      </c>
      <c r="U50" s="122">
        <f t="shared" si="14"/>
        <v>2.300678403705358</v>
      </c>
      <c r="V50" s="122">
        <f t="shared" si="14"/>
        <v>2.1638309306995924</v>
      </c>
      <c r="W50" s="122">
        <f t="shared" si="14"/>
        <v>2.0351267452935748</v>
      </c>
    </row>
    <row r="51" spans="1:23">
      <c r="A51" s="9" t="str">
        <f t="shared" si="12"/>
        <v>HPWH</v>
      </c>
      <c r="B51" s="122">
        <f t="shared" ref="B51:W51" si="15">B60+B69+B78</f>
        <v>0</v>
      </c>
      <c r="C51" s="122">
        <f t="shared" si="15"/>
        <v>2.8444427534774075</v>
      </c>
      <c r="D51" s="122">
        <f t="shared" si="15"/>
        <v>3.1327383585401449</v>
      </c>
      <c r="E51" s="122">
        <f t="shared" si="15"/>
        <v>3.4075347671211347</v>
      </c>
      <c r="F51" s="122">
        <f t="shared" si="15"/>
        <v>3.6696947129311894</v>
      </c>
      <c r="G51" s="122">
        <f t="shared" si="15"/>
        <v>3.9200294843750823</v>
      </c>
      <c r="H51" s="122">
        <f t="shared" si="15"/>
        <v>4.1593020490510817</v>
      </c>
      <c r="I51" s="122">
        <f t="shared" si="15"/>
        <v>4.3882299884302274</v>
      </c>
      <c r="J51" s="122">
        <f t="shared" si="15"/>
        <v>4.607488254303008</v>
      </c>
      <c r="K51" s="122">
        <f t="shared" si="15"/>
        <v>4.8177117578705211</v>
      </c>
      <c r="L51" s="122">
        <f t="shared" si="15"/>
        <v>5.0194978016904219</v>
      </c>
      <c r="M51" s="122">
        <f t="shared" si="15"/>
        <v>5.213408364062289</v>
      </c>
      <c r="N51" s="122">
        <f t="shared" si="15"/>
        <v>5.3999722448498471</v>
      </c>
      <c r="O51" s="122">
        <f t="shared" si="15"/>
        <v>5.5796870811865809</v>
      </c>
      <c r="P51" s="122">
        <f t="shared" si="15"/>
        <v>5.7530212409941051</v>
      </c>
      <c r="Q51" s="122">
        <f t="shared" si="15"/>
        <v>5.9204156017574681</v>
      </c>
      <c r="R51" s="122">
        <f t="shared" si="15"/>
        <v>6.0822852215461349</v>
      </c>
      <c r="S51" s="122">
        <f t="shared" si="15"/>
        <v>6.2390209088419644</v>
      </c>
      <c r="T51" s="122">
        <f t="shared" si="15"/>
        <v>6.3909906973343915</v>
      </c>
      <c r="U51" s="122">
        <f t="shared" si="15"/>
        <v>6.5385412314665157</v>
      </c>
      <c r="V51" s="122">
        <f t="shared" si="15"/>
        <v>6.6819990681624244</v>
      </c>
      <c r="W51" s="122">
        <f t="shared" si="15"/>
        <v>6.8216718998343975</v>
      </c>
    </row>
    <row r="52" spans="1:23">
      <c r="A52" s="9" t="str">
        <f t="shared" si="12"/>
        <v>Gas Tank</v>
      </c>
      <c r="B52" s="122">
        <f t="shared" ref="B52:W52" si="16">B61+B70+B79</f>
        <v>0</v>
      </c>
      <c r="C52" s="122">
        <f t="shared" si="16"/>
        <v>0</v>
      </c>
      <c r="D52" s="122">
        <f t="shared" si="16"/>
        <v>0</v>
      </c>
      <c r="E52" s="122">
        <f t="shared" si="16"/>
        <v>0</v>
      </c>
      <c r="F52" s="122">
        <f t="shared" si="16"/>
        <v>0</v>
      </c>
      <c r="G52" s="122">
        <f t="shared" si="16"/>
        <v>0</v>
      </c>
      <c r="H52" s="122">
        <f t="shared" si="16"/>
        <v>0</v>
      </c>
      <c r="I52" s="122">
        <f t="shared" si="16"/>
        <v>0</v>
      </c>
      <c r="J52" s="122">
        <f t="shared" si="16"/>
        <v>0</v>
      </c>
      <c r="K52" s="122">
        <f t="shared" si="16"/>
        <v>0</v>
      </c>
      <c r="L52" s="122">
        <f t="shared" si="16"/>
        <v>0</v>
      </c>
      <c r="M52" s="122">
        <f t="shared" si="16"/>
        <v>0</v>
      </c>
      <c r="N52" s="122">
        <f t="shared" si="16"/>
        <v>0</v>
      </c>
      <c r="O52" s="122">
        <f t="shared" si="16"/>
        <v>0</v>
      </c>
      <c r="P52" s="122">
        <f t="shared" si="16"/>
        <v>0</v>
      </c>
      <c r="Q52" s="122">
        <f t="shared" si="16"/>
        <v>0</v>
      </c>
      <c r="R52" s="122">
        <f t="shared" si="16"/>
        <v>0</v>
      </c>
      <c r="S52" s="122">
        <f t="shared" si="16"/>
        <v>0</v>
      </c>
      <c r="T52" s="122">
        <f t="shared" si="16"/>
        <v>0</v>
      </c>
      <c r="U52" s="122">
        <f t="shared" si="16"/>
        <v>0</v>
      </c>
      <c r="V52" s="122">
        <f t="shared" si="16"/>
        <v>0</v>
      </c>
      <c r="W52" s="122">
        <f t="shared" si="16"/>
        <v>0</v>
      </c>
    </row>
    <row r="53" spans="1:23">
      <c r="A53" s="9" t="str">
        <f t="shared" si="12"/>
        <v>Instant Gas</v>
      </c>
      <c r="B53" s="122">
        <f t="shared" ref="B53:W53" si="17">B62+B71+B80</f>
        <v>0</v>
      </c>
      <c r="C53" s="122">
        <f t="shared" si="17"/>
        <v>0</v>
      </c>
      <c r="D53" s="122">
        <f t="shared" si="17"/>
        <v>0</v>
      </c>
      <c r="E53" s="122">
        <f t="shared" si="17"/>
        <v>0</v>
      </c>
      <c r="F53" s="122">
        <f t="shared" si="17"/>
        <v>0</v>
      </c>
      <c r="G53" s="122">
        <f t="shared" si="17"/>
        <v>0</v>
      </c>
      <c r="H53" s="122">
        <f t="shared" si="17"/>
        <v>0</v>
      </c>
      <c r="I53" s="122">
        <f t="shared" si="17"/>
        <v>0</v>
      </c>
      <c r="J53" s="122">
        <f t="shared" si="17"/>
        <v>0</v>
      </c>
      <c r="K53" s="122">
        <f t="shared" si="17"/>
        <v>0</v>
      </c>
      <c r="L53" s="122">
        <f t="shared" si="17"/>
        <v>0</v>
      </c>
      <c r="M53" s="122">
        <f t="shared" si="17"/>
        <v>0</v>
      </c>
      <c r="N53" s="122">
        <f t="shared" si="17"/>
        <v>0</v>
      </c>
      <c r="O53" s="122">
        <f t="shared" si="17"/>
        <v>0</v>
      </c>
      <c r="P53" s="122">
        <f t="shared" si="17"/>
        <v>0</v>
      </c>
      <c r="Q53" s="122">
        <f t="shared" si="17"/>
        <v>0</v>
      </c>
      <c r="R53" s="122">
        <f t="shared" si="17"/>
        <v>0</v>
      </c>
      <c r="S53" s="122">
        <f t="shared" si="17"/>
        <v>0</v>
      </c>
      <c r="T53" s="122">
        <f t="shared" si="17"/>
        <v>0</v>
      </c>
      <c r="U53" s="122">
        <f t="shared" si="17"/>
        <v>0</v>
      </c>
      <c r="V53" s="122">
        <f t="shared" si="17"/>
        <v>0</v>
      </c>
      <c r="W53" s="122">
        <f t="shared" si="17"/>
        <v>0</v>
      </c>
    </row>
    <row r="54" spans="1:23">
      <c r="A54" s="9" t="str">
        <f t="shared" si="12"/>
        <v>Condensing Gas</v>
      </c>
      <c r="B54" s="122">
        <f t="shared" ref="B54:W54" si="18">B63+B72+B81</f>
        <v>0</v>
      </c>
      <c r="C54" s="122">
        <f t="shared" si="18"/>
        <v>0</v>
      </c>
      <c r="D54" s="122">
        <f t="shared" si="18"/>
        <v>0</v>
      </c>
      <c r="E54" s="122">
        <f t="shared" si="18"/>
        <v>0</v>
      </c>
      <c r="F54" s="122">
        <f t="shared" si="18"/>
        <v>0</v>
      </c>
      <c r="G54" s="122">
        <f t="shared" si="18"/>
        <v>0</v>
      </c>
      <c r="H54" s="122">
        <f t="shared" si="18"/>
        <v>0</v>
      </c>
      <c r="I54" s="122">
        <f t="shared" si="18"/>
        <v>0</v>
      </c>
      <c r="J54" s="122">
        <f t="shared" si="18"/>
        <v>0</v>
      </c>
      <c r="K54" s="122">
        <f t="shared" si="18"/>
        <v>0</v>
      </c>
      <c r="L54" s="122">
        <f t="shared" si="18"/>
        <v>0</v>
      </c>
      <c r="M54" s="122">
        <f t="shared" si="18"/>
        <v>0</v>
      </c>
      <c r="N54" s="122">
        <f t="shared" si="18"/>
        <v>0</v>
      </c>
      <c r="O54" s="122">
        <f t="shared" si="18"/>
        <v>0</v>
      </c>
      <c r="P54" s="122">
        <f t="shared" si="18"/>
        <v>0</v>
      </c>
      <c r="Q54" s="122">
        <f t="shared" si="18"/>
        <v>0</v>
      </c>
      <c r="R54" s="122">
        <f t="shared" si="18"/>
        <v>0</v>
      </c>
      <c r="S54" s="122">
        <f t="shared" si="18"/>
        <v>0</v>
      </c>
      <c r="T54" s="122">
        <f t="shared" si="18"/>
        <v>0</v>
      </c>
      <c r="U54" s="122">
        <f t="shared" si="18"/>
        <v>0</v>
      </c>
      <c r="V54" s="122">
        <f t="shared" si="18"/>
        <v>0</v>
      </c>
      <c r="W54" s="122">
        <f t="shared" si="18"/>
        <v>0</v>
      </c>
    </row>
    <row r="55" spans="1:23">
      <c r="A55" s="12"/>
    </row>
    <row r="56" spans="1:23">
      <c r="A56" s="12" t="s">
        <v>115</v>
      </c>
    </row>
    <row r="57" spans="1:23">
      <c r="A57" s="14" t="str">
        <f>'Water Heaters Purchased'!A13</f>
        <v>Water Heat Ending</v>
      </c>
      <c r="B57" s="9">
        <f>'Water Heaters Purchased'!B13</f>
        <v>2014</v>
      </c>
      <c r="C57" s="9">
        <f>'Water Heaters Purchased'!C13</f>
        <v>2015</v>
      </c>
      <c r="D57" s="9">
        <f>'Water Heaters Purchased'!D13</f>
        <v>2016</v>
      </c>
      <c r="E57" s="9">
        <f>'Water Heaters Purchased'!E13</f>
        <v>2017</v>
      </c>
      <c r="F57" s="9">
        <f>'Water Heaters Purchased'!F13</f>
        <v>2018</v>
      </c>
      <c r="G57" s="9">
        <f>'Water Heaters Purchased'!G13</f>
        <v>2019</v>
      </c>
      <c r="H57" s="9">
        <f>'Water Heaters Purchased'!H13</f>
        <v>2020</v>
      </c>
      <c r="I57" s="9">
        <f>'Water Heaters Purchased'!I13</f>
        <v>2021</v>
      </c>
      <c r="J57" s="9">
        <f>'Water Heaters Purchased'!J13</f>
        <v>2022</v>
      </c>
      <c r="K57" s="9">
        <f>'Water Heaters Purchased'!K13</f>
        <v>2023</v>
      </c>
      <c r="L57" s="9">
        <f>'Water Heaters Purchased'!L13</f>
        <v>2024</v>
      </c>
      <c r="M57" s="9">
        <f>'Water Heaters Purchased'!M13</f>
        <v>2025</v>
      </c>
      <c r="N57" s="9">
        <f>'Water Heaters Purchased'!N13</f>
        <v>2026</v>
      </c>
      <c r="O57" s="9">
        <f>'Water Heaters Purchased'!O13</f>
        <v>2027</v>
      </c>
      <c r="P57" s="9">
        <f>'Water Heaters Purchased'!P13</f>
        <v>2028</v>
      </c>
      <c r="Q57" s="9">
        <f>'Water Heaters Purchased'!Q13</f>
        <v>2029</v>
      </c>
      <c r="R57" s="9">
        <f>'Water Heaters Purchased'!R13</f>
        <v>2030</v>
      </c>
      <c r="S57" s="9">
        <f>'Water Heaters Purchased'!S13</f>
        <v>2031</v>
      </c>
      <c r="T57" s="9">
        <f>'Water Heaters Purchased'!T13</f>
        <v>2032</v>
      </c>
      <c r="U57" s="9">
        <f>'Water Heaters Purchased'!U13</f>
        <v>2033</v>
      </c>
      <c r="V57" s="9">
        <f>'Water Heaters Purchased'!V13</f>
        <v>2034</v>
      </c>
      <c r="W57" s="9">
        <f>'Water Heaters Purchased'!W13</f>
        <v>2035</v>
      </c>
    </row>
    <row r="58" spans="1:23" ht="16.5" thickBot="1">
      <c r="A58" s="47" t="s">
        <v>44</v>
      </c>
      <c r="B58" s="128">
        <f t="shared" ref="B58" si="19">SUM(B59:B63)</f>
        <v>0</v>
      </c>
      <c r="C58" s="128">
        <f t="shared" ref="C58:D58" si="20">SUM(C59:C63)</f>
        <v>2.5417304462513171</v>
      </c>
      <c r="D58" s="128">
        <f t="shared" si="20"/>
        <v>2.5417304462513171</v>
      </c>
      <c r="E58" s="128">
        <f t="shared" ref="E58:W58" si="21">SUM(E59:E63)</f>
        <v>2.5417304462513171</v>
      </c>
      <c r="F58" s="128">
        <f t="shared" si="21"/>
        <v>2.5417304462513166</v>
      </c>
      <c r="G58" s="128">
        <f t="shared" si="21"/>
        <v>2.5417304462513166</v>
      </c>
      <c r="H58" s="128">
        <f t="shared" si="21"/>
        <v>2.5417304462513166</v>
      </c>
      <c r="I58" s="128">
        <f t="shared" si="21"/>
        <v>2.5417304462513166</v>
      </c>
      <c r="J58" s="128">
        <f t="shared" si="21"/>
        <v>2.5417304462513166</v>
      </c>
      <c r="K58" s="128">
        <f t="shared" si="21"/>
        <v>2.5417304462513166</v>
      </c>
      <c r="L58" s="128">
        <f t="shared" si="21"/>
        <v>2.5417304462513166</v>
      </c>
      <c r="M58" s="128">
        <f t="shared" si="21"/>
        <v>2.5417304462513166</v>
      </c>
      <c r="N58" s="128">
        <f t="shared" si="21"/>
        <v>2.5417304462513166</v>
      </c>
      <c r="O58" s="128">
        <f t="shared" si="21"/>
        <v>2.5417304462513166</v>
      </c>
      <c r="P58" s="128">
        <f t="shared" si="21"/>
        <v>2.5417304462513171</v>
      </c>
      <c r="Q58" s="128">
        <f t="shared" si="21"/>
        <v>2.5417304462513166</v>
      </c>
      <c r="R58" s="128">
        <f t="shared" si="21"/>
        <v>2.5417304462513166</v>
      </c>
      <c r="S58" s="128">
        <f t="shared" si="21"/>
        <v>2.5417304462513166</v>
      </c>
      <c r="T58" s="128">
        <f t="shared" si="21"/>
        <v>2.5417304462513171</v>
      </c>
      <c r="U58" s="128">
        <f t="shared" si="21"/>
        <v>2.5417304462513171</v>
      </c>
      <c r="V58" s="128">
        <f t="shared" si="21"/>
        <v>2.5417304462513175</v>
      </c>
      <c r="W58" s="128">
        <f t="shared" si="21"/>
        <v>2.5417304462513175</v>
      </c>
    </row>
    <row r="59" spans="1:23" ht="16.5" thickTop="1">
      <c r="A59" s="37" t="str">
        <f>'Water Heaters Purchased'!A15</f>
        <v>Electric Resistance</v>
      </c>
      <c r="B59" s="122">
        <f>'Water Heaters Purchased'!B15*'Capital Cost'!$E5/1000000</f>
        <v>0</v>
      </c>
      <c r="C59" s="122">
        <f>'Water Heaters Purchased'!C15*'Capital Cost'!$E5/1000000</f>
        <v>0</v>
      </c>
      <c r="D59" s="122">
        <f>'Water Heaters Purchased'!D15*'Capital Cost'!$E5/1000000</f>
        <v>0</v>
      </c>
      <c r="E59" s="122">
        <f>'Water Heaters Purchased'!E15*'Capital Cost'!$E5/1000000</f>
        <v>0</v>
      </c>
      <c r="F59" s="122">
        <f>'Water Heaters Purchased'!F15*'Capital Cost'!$E5/1000000</f>
        <v>0</v>
      </c>
      <c r="G59" s="122">
        <f>'Water Heaters Purchased'!G15*'Capital Cost'!$E5/1000000</f>
        <v>0</v>
      </c>
      <c r="H59" s="122">
        <f>'Water Heaters Purchased'!H15*'Capital Cost'!$E5/1000000</f>
        <v>0</v>
      </c>
      <c r="I59" s="122">
        <f>'Water Heaters Purchased'!I15*'Capital Cost'!$E5/1000000</f>
        <v>0</v>
      </c>
      <c r="J59" s="122">
        <f>'Water Heaters Purchased'!J15*'Capital Cost'!$E5/1000000</f>
        <v>0</v>
      </c>
      <c r="K59" s="122">
        <f>'Water Heaters Purchased'!K15*'Capital Cost'!$E5/1000000</f>
        <v>0</v>
      </c>
      <c r="L59" s="122">
        <f>'Water Heaters Purchased'!L15*'Capital Cost'!$E5/1000000</f>
        <v>0</v>
      </c>
      <c r="M59" s="122">
        <f>'Water Heaters Purchased'!M15*'Capital Cost'!$E5/1000000</f>
        <v>0</v>
      </c>
      <c r="N59" s="122">
        <f>'Water Heaters Purchased'!N15*'Capital Cost'!$E5/1000000</f>
        <v>0</v>
      </c>
      <c r="O59" s="122">
        <f>'Water Heaters Purchased'!O15*'Capital Cost'!$E5/1000000</f>
        <v>0</v>
      </c>
      <c r="P59" s="122">
        <f>'Water Heaters Purchased'!P15*'Capital Cost'!$E5/1000000</f>
        <v>0</v>
      </c>
      <c r="Q59" s="122">
        <f>'Water Heaters Purchased'!Q15*'Capital Cost'!$E5/1000000</f>
        <v>0</v>
      </c>
      <c r="R59" s="122">
        <f>'Water Heaters Purchased'!R15*'Capital Cost'!$E5/1000000</f>
        <v>0</v>
      </c>
      <c r="S59" s="122">
        <f>'Water Heaters Purchased'!S15*'Capital Cost'!$E5/1000000</f>
        <v>0</v>
      </c>
      <c r="T59" s="122">
        <f>'Water Heaters Purchased'!T15*'Capital Cost'!$E5/1000000</f>
        <v>0</v>
      </c>
      <c r="U59" s="122">
        <f>'Water Heaters Purchased'!U15*'Capital Cost'!$E5/1000000</f>
        <v>0</v>
      </c>
      <c r="V59" s="122">
        <f>'Water Heaters Purchased'!V15*'Capital Cost'!$E5/1000000</f>
        <v>0</v>
      </c>
      <c r="W59" s="122">
        <f>'Water Heaters Purchased'!W15*'Capital Cost'!$E5/1000000</f>
        <v>0</v>
      </c>
    </row>
    <row r="60" spans="1:23">
      <c r="A60" s="37" t="str">
        <f>'Water Heaters Purchased'!A16</f>
        <v>HPWH</v>
      </c>
      <c r="B60" s="122">
        <f>'Water Heaters Purchased'!B16*'Capital Cost'!$E6/1000000</f>
        <v>0</v>
      </c>
      <c r="C60" s="122">
        <f>'Water Heaters Purchased'!C16*'Capital Cost'!$E6/1000000</f>
        <v>2.5417304462513171</v>
      </c>
      <c r="D60" s="122">
        <f>'Water Heaters Purchased'!D16*'Capital Cost'!$E6/1000000</f>
        <v>2.5417304462513171</v>
      </c>
      <c r="E60" s="122">
        <f>'Water Heaters Purchased'!E16*'Capital Cost'!$E6/1000000</f>
        <v>2.5417304462513171</v>
      </c>
      <c r="F60" s="122">
        <f>'Water Heaters Purchased'!F16*'Capital Cost'!$E6/1000000</f>
        <v>2.5417304462513166</v>
      </c>
      <c r="G60" s="122">
        <f>'Water Heaters Purchased'!G16*'Capital Cost'!$E6/1000000</f>
        <v>2.5417304462513166</v>
      </c>
      <c r="H60" s="122">
        <f>'Water Heaters Purchased'!H16*'Capital Cost'!$E6/1000000</f>
        <v>2.5417304462513166</v>
      </c>
      <c r="I60" s="122">
        <f>'Water Heaters Purchased'!I16*'Capital Cost'!$E6/1000000</f>
        <v>2.5417304462513166</v>
      </c>
      <c r="J60" s="122">
        <f>'Water Heaters Purchased'!J16*'Capital Cost'!$E6/1000000</f>
        <v>2.5417304462513166</v>
      </c>
      <c r="K60" s="122">
        <f>'Water Heaters Purchased'!K16*'Capital Cost'!$E6/1000000</f>
        <v>2.5417304462513166</v>
      </c>
      <c r="L60" s="122">
        <f>'Water Heaters Purchased'!L16*'Capital Cost'!$E6/1000000</f>
        <v>2.5417304462513166</v>
      </c>
      <c r="M60" s="122">
        <f>'Water Heaters Purchased'!M16*'Capital Cost'!$E6/1000000</f>
        <v>2.5417304462513166</v>
      </c>
      <c r="N60" s="122">
        <f>'Water Heaters Purchased'!N16*'Capital Cost'!$E6/1000000</f>
        <v>2.5417304462513166</v>
      </c>
      <c r="O60" s="122">
        <f>'Water Heaters Purchased'!O16*'Capital Cost'!$E6/1000000</f>
        <v>2.5417304462513166</v>
      </c>
      <c r="P60" s="122">
        <f>'Water Heaters Purchased'!P16*'Capital Cost'!$E6/1000000</f>
        <v>2.5417304462513171</v>
      </c>
      <c r="Q60" s="122">
        <f>'Water Heaters Purchased'!Q16*'Capital Cost'!$E6/1000000</f>
        <v>2.5417304462513166</v>
      </c>
      <c r="R60" s="122">
        <f>'Water Heaters Purchased'!R16*'Capital Cost'!$E6/1000000</f>
        <v>2.5417304462513166</v>
      </c>
      <c r="S60" s="122">
        <f>'Water Heaters Purchased'!S16*'Capital Cost'!$E6/1000000</f>
        <v>2.5417304462513166</v>
      </c>
      <c r="T60" s="122">
        <f>'Water Heaters Purchased'!T16*'Capital Cost'!$E6/1000000</f>
        <v>2.5417304462513171</v>
      </c>
      <c r="U60" s="122">
        <f>'Water Heaters Purchased'!U16*'Capital Cost'!$E6/1000000</f>
        <v>2.5417304462513171</v>
      </c>
      <c r="V60" s="122">
        <f>'Water Heaters Purchased'!V16*'Capital Cost'!$E6/1000000</f>
        <v>2.5417304462513175</v>
      </c>
      <c r="W60" s="122">
        <f>'Water Heaters Purchased'!W16*'Capital Cost'!$E6/1000000</f>
        <v>2.5417304462513175</v>
      </c>
    </row>
    <row r="61" spans="1:23">
      <c r="A61" s="37" t="str">
        <f>'Water Heaters Purchased'!A17</f>
        <v>Gas Tank</v>
      </c>
      <c r="B61" s="122">
        <f>'Water Heaters Purchased'!B17*'Capital Cost'!$E7/1000000</f>
        <v>0</v>
      </c>
      <c r="C61" s="122">
        <f>'Water Heaters Purchased'!C17*'Capital Cost'!$E7/1000000</f>
        <v>0</v>
      </c>
      <c r="D61" s="122">
        <f>'Water Heaters Purchased'!D17*'Capital Cost'!$E7/1000000</f>
        <v>0</v>
      </c>
      <c r="E61" s="122">
        <f>'Water Heaters Purchased'!E17*'Capital Cost'!$E7/1000000</f>
        <v>0</v>
      </c>
      <c r="F61" s="122">
        <f>'Water Heaters Purchased'!F17*'Capital Cost'!$E7/1000000</f>
        <v>0</v>
      </c>
      <c r="G61" s="122">
        <f>'Water Heaters Purchased'!G17*'Capital Cost'!$E7/1000000</f>
        <v>0</v>
      </c>
      <c r="H61" s="122">
        <f>'Water Heaters Purchased'!H17*'Capital Cost'!$E7/1000000</f>
        <v>0</v>
      </c>
      <c r="I61" s="122">
        <f>'Water Heaters Purchased'!I17*'Capital Cost'!$E7/1000000</f>
        <v>0</v>
      </c>
      <c r="J61" s="122">
        <f>'Water Heaters Purchased'!J17*'Capital Cost'!$E7/1000000</f>
        <v>0</v>
      </c>
      <c r="K61" s="122">
        <f>'Water Heaters Purchased'!K17*'Capital Cost'!$E7/1000000</f>
        <v>0</v>
      </c>
      <c r="L61" s="122">
        <f>'Water Heaters Purchased'!L17*'Capital Cost'!$E7/1000000</f>
        <v>0</v>
      </c>
      <c r="M61" s="122">
        <f>'Water Heaters Purchased'!M17*'Capital Cost'!$E7/1000000</f>
        <v>0</v>
      </c>
      <c r="N61" s="122">
        <f>'Water Heaters Purchased'!N17*'Capital Cost'!$E7/1000000</f>
        <v>0</v>
      </c>
      <c r="O61" s="122">
        <f>'Water Heaters Purchased'!O17*'Capital Cost'!$E7/1000000</f>
        <v>0</v>
      </c>
      <c r="P61" s="122">
        <f>'Water Heaters Purchased'!P17*'Capital Cost'!$E7/1000000</f>
        <v>0</v>
      </c>
      <c r="Q61" s="122">
        <f>'Water Heaters Purchased'!Q17*'Capital Cost'!$E7/1000000</f>
        <v>0</v>
      </c>
      <c r="R61" s="122">
        <f>'Water Heaters Purchased'!R17*'Capital Cost'!$E7/1000000</f>
        <v>0</v>
      </c>
      <c r="S61" s="122">
        <f>'Water Heaters Purchased'!S17*'Capital Cost'!$E7/1000000</f>
        <v>0</v>
      </c>
      <c r="T61" s="122">
        <f>'Water Heaters Purchased'!T17*'Capital Cost'!$E7/1000000</f>
        <v>0</v>
      </c>
      <c r="U61" s="122">
        <f>'Water Heaters Purchased'!U17*'Capital Cost'!$E7/1000000</f>
        <v>0</v>
      </c>
      <c r="V61" s="122">
        <f>'Water Heaters Purchased'!V17*'Capital Cost'!$E7/1000000</f>
        <v>0</v>
      </c>
      <c r="W61" s="122">
        <f>'Water Heaters Purchased'!W17*'Capital Cost'!$E7/1000000</f>
        <v>0</v>
      </c>
    </row>
    <row r="62" spans="1:23">
      <c r="A62" s="37" t="str">
        <f>'Water Heaters Purchased'!A18</f>
        <v>Instant Gas</v>
      </c>
      <c r="B62" s="122">
        <f>'Water Heaters Purchased'!B18*'Capital Cost'!$E8/1000000</f>
        <v>0</v>
      </c>
      <c r="C62" s="122">
        <f>'Water Heaters Purchased'!C18*'Capital Cost'!$E8/1000000</f>
        <v>0</v>
      </c>
      <c r="D62" s="122">
        <f>'Water Heaters Purchased'!D18*'Capital Cost'!$E8/1000000</f>
        <v>0</v>
      </c>
      <c r="E62" s="122">
        <f>'Water Heaters Purchased'!E18*'Capital Cost'!$E8/1000000</f>
        <v>0</v>
      </c>
      <c r="F62" s="122">
        <f>'Water Heaters Purchased'!F18*'Capital Cost'!$E8/1000000</f>
        <v>0</v>
      </c>
      <c r="G62" s="122">
        <f>'Water Heaters Purchased'!G18*'Capital Cost'!$E8/1000000</f>
        <v>0</v>
      </c>
      <c r="H62" s="122">
        <f>'Water Heaters Purchased'!H18*'Capital Cost'!$E8/1000000</f>
        <v>0</v>
      </c>
      <c r="I62" s="122">
        <f>'Water Heaters Purchased'!I18*'Capital Cost'!$E8/1000000</f>
        <v>0</v>
      </c>
      <c r="J62" s="122">
        <f>'Water Heaters Purchased'!J18*'Capital Cost'!$E8/1000000</f>
        <v>0</v>
      </c>
      <c r="K62" s="122">
        <f>'Water Heaters Purchased'!K18*'Capital Cost'!$E8/1000000</f>
        <v>0</v>
      </c>
      <c r="L62" s="122">
        <f>'Water Heaters Purchased'!L18*'Capital Cost'!$E8/1000000</f>
        <v>0</v>
      </c>
      <c r="M62" s="122">
        <f>'Water Heaters Purchased'!M18*'Capital Cost'!$E8/1000000</f>
        <v>0</v>
      </c>
      <c r="N62" s="122">
        <f>'Water Heaters Purchased'!N18*'Capital Cost'!$E8/1000000</f>
        <v>0</v>
      </c>
      <c r="O62" s="122">
        <f>'Water Heaters Purchased'!O18*'Capital Cost'!$E8/1000000</f>
        <v>0</v>
      </c>
      <c r="P62" s="122">
        <f>'Water Heaters Purchased'!P18*'Capital Cost'!$E8/1000000</f>
        <v>0</v>
      </c>
      <c r="Q62" s="122">
        <f>'Water Heaters Purchased'!Q18*'Capital Cost'!$E8/1000000</f>
        <v>0</v>
      </c>
      <c r="R62" s="122">
        <f>'Water Heaters Purchased'!R18*'Capital Cost'!$E8/1000000</f>
        <v>0</v>
      </c>
      <c r="S62" s="122">
        <f>'Water Heaters Purchased'!S18*'Capital Cost'!$E8/1000000</f>
        <v>0</v>
      </c>
      <c r="T62" s="122">
        <f>'Water Heaters Purchased'!T18*'Capital Cost'!$E8/1000000</f>
        <v>0</v>
      </c>
      <c r="U62" s="122">
        <f>'Water Heaters Purchased'!U18*'Capital Cost'!$E8/1000000</f>
        <v>0</v>
      </c>
      <c r="V62" s="122">
        <f>'Water Heaters Purchased'!V18*'Capital Cost'!$E8/1000000</f>
        <v>0</v>
      </c>
      <c r="W62" s="122">
        <f>'Water Heaters Purchased'!W18*'Capital Cost'!$E8/1000000</f>
        <v>0</v>
      </c>
    </row>
    <row r="63" spans="1:23">
      <c r="A63" s="37" t="str">
        <f>'Water Heaters Purchased'!A19</f>
        <v>Condensing Gas</v>
      </c>
      <c r="B63" s="122">
        <f>'Water Heaters Purchased'!B19*'Capital Cost'!$E9/1000000</f>
        <v>0</v>
      </c>
      <c r="C63" s="122">
        <f>'Water Heaters Purchased'!C19*'Capital Cost'!$E9/1000000</f>
        <v>0</v>
      </c>
      <c r="D63" s="122">
        <f>'Water Heaters Purchased'!D19*'Capital Cost'!$E9/1000000</f>
        <v>0</v>
      </c>
      <c r="E63" s="122">
        <f>'Water Heaters Purchased'!E19*'Capital Cost'!$E9/1000000</f>
        <v>0</v>
      </c>
      <c r="F63" s="122">
        <f>'Water Heaters Purchased'!F19*'Capital Cost'!$E9/1000000</f>
        <v>0</v>
      </c>
      <c r="G63" s="122">
        <f>'Water Heaters Purchased'!G19*'Capital Cost'!$E9/1000000</f>
        <v>0</v>
      </c>
      <c r="H63" s="122">
        <f>'Water Heaters Purchased'!H19*'Capital Cost'!$E9/1000000</f>
        <v>0</v>
      </c>
      <c r="I63" s="122">
        <f>'Water Heaters Purchased'!I19*'Capital Cost'!$E9/1000000</f>
        <v>0</v>
      </c>
      <c r="J63" s="122">
        <f>'Water Heaters Purchased'!J19*'Capital Cost'!$E9/1000000</f>
        <v>0</v>
      </c>
      <c r="K63" s="122">
        <f>'Water Heaters Purchased'!K19*'Capital Cost'!$E9/1000000</f>
        <v>0</v>
      </c>
      <c r="L63" s="122">
        <f>'Water Heaters Purchased'!L19*'Capital Cost'!$E9/1000000</f>
        <v>0</v>
      </c>
      <c r="M63" s="122">
        <f>'Water Heaters Purchased'!M19*'Capital Cost'!$E9/1000000</f>
        <v>0</v>
      </c>
      <c r="N63" s="122">
        <f>'Water Heaters Purchased'!N19*'Capital Cost'!$E9/1000000</f>
        <v>0</v>
      </c>
      <c r="O63" s="122">
        <f>'Water Heaters Purchased'!O19*'Capital Cost'!$E9/1000000</f>
        <v>0</v>
      </c>
      <c r="P63" s="122">
        <f>'Water Heaters Purchased'!P19*'Capital Cost'!$E9/1000000</f>
        <v>0</v>
      </c>
      <c r="Q63" s="122">
        <f>'Water Heaters Purchased'!Q19*'Capital Cost'!$E9/1000000</f>
        <v>0</v>
      </c>
      <c r="R63" s="122">
        <f>'Water Heaters Purchased'!R19*'Capital Cost'!$E9/1000000</f>
        <v>0</v>
      </c>
      <c r="S63" s="122">
        <f>'Water Heaters Purchased'!S19*'Capital Cost'!$E9/1000000</f>
        <v>0</v>
      </c>
      <c r="T63" s="122">
        <f>'Water Heaters Purchased'!T19*'Capital Cost'!$E9/1000000</f>
        <v>0</v>
      </c>
      <c r="U63" s="122">
        <f>'Water Heaters Purchased'!U19*'Capital Cost'!$E9/1000000</f>
        <v>0</v>
      </c>
      <c r="V63" s="122">
        <f>'Water Heaters Purchased'!V19*'Capital Cost'!$E9/1000000</f>
        <v>0</v>
      </c>
      <c r="W63" s="122">
        <f>'Water Heaters Purchased'!W19*'Capital Cost'!$E9/1000000</f>
        <v>0</v>
      </c>
    </row>
    <row r="64" spans="1:23">
      <c r="A64" s="12"/>
    </row>
    <row r="65" spans="1:23">
      <c r="A65" s="12" t="s">
        <v>116</v>
      </c>
    </row>
    <row r="66" spans="1:23">
      <c r="A66" s="23" t="str">
        <f>'Water Heater Stock'!A13</f>
        <v>Water Heat Ending</v>
      </c>
      <c r="B66" s="9">
        <f>'Water Heater Stock'!B13</f>
        <v>2014</v>
      </c>
      <c r="C66" s="9">
        <f>'Water Heater Stock'!C13</f>
        <v>2015</v>
      </c>
      <c r="D66" s="9">
        <f>'Water Heater Stock'!D13</f>
        <v>2016</v>
      </c>
      <c r="E66" s="9">
        <f>'Water Heater Stock'!E13</f>
        <v>2017</v>
      </c>
      <c r="F66" s="9">
        <f>'Water Heater Stock'!F13</f>
        <v>2018</v>
      </c>
      <c r="G66" s="9">
        <f>'Water Heater Stock'!G13</f>
        <v>2019</v>
      </c>
      <c r="H66" s="9">
        <f>'Water Heater Stock'!H13</f>
        <v>2020</v>
      </c>
      <c r="I66" s="9">
        <f>'Water Heater Stock'!I13</f>
        <v>2021</v>
      </c>
      <c r="J66" s="9">
        <f>'Water Heater Stock'!J13</f>
        <v>2022</v>
      </c>
      <c r="K66" s="9">
        <f>'Water Heater Stock'!K13</f>
        <v>2023</v>
      </c>
      <c r="L66" s="9">
        <f>'Water Heater Stock'!L13</f>
        <v>2024</v>
      </c>
      <c r="M66" s="9">
        <f>'Water Heater Stock'!M13</f>
        <v>2025</v>
      </c>
      <c r="N66" s="9">
        <f>'Water Heater Stock'!N13</f>
        <v>2026</v>
      </c>
      <c r="O66" s="9">
        <f>'Water Heater Stock'!O13</f>
        <v>2027</v>
      </c>
      <c r="P66" s="9">
        <f>'Water Heater Stock'!P13</f>
        <v>2028</v>
      </c>
      <c r="Q66" s="9">
        <f>'Water Heater Stock'!Q13</f>
        <v>2029</v>
      </c>
      <c r="R66" s="9">
        <f>'Water Heater Stock'!R13</f>
        <v>2030</v>
      </c>
      <c r="S66" s="9">
        <f>'Water Heater Stock'!S13</f>
        <v>2031</v>
      </c>
      <c r="T66" s="9">
        <f>'Water Heater Stock'!T13</f>
        <v>2032</v>
      </c>
      <c r="U66" s="9">
        <f>'Water Heater Stock'!U13</f>
        <v>2033</v>
      </c>
      <c r="V66" s="9">
        <f>'Water Heater Stock'!V13</f>
        <v>2034</v>
      </c>
      <c r="W66" s="9">
        <f>'Water Heater Stock'!W13</f>
        <v>2035</v>
      </c>
    </row>
    <row r="67" spans="1:23" ht="16.5" thickBot="1">
      <c r="A67" s="47" t="str">
        <f t="shared" ref="A67" si="22">A68</f>
        <v>Electric Resistance</v>
      </c>
      <c r="B67" s="128">
        <f t="shared" ref="B67" si="23">SUM(B68:B72)</f>
        <v>9.677798327602162E-2</v>
      </c>
      <c r="C67" s="128">
        <f t="shared" ref="C67:W67" si="24">SUM(C68:C72)</f>
        <v>0.10517450920825359</v>
      </c>
      <c r="D67" s="128">
        <f t="shared" si="24"/>
        <v>0.1129712832881833</v>
      </c>
      <c r="E67" s="128">
        <f t="shared" si="24"/>
        <v>0.12021114493383231</v>
      </c>
      <c r="F67" s="128">
        <f t="shared" si="24"/>
        <v>0.12693387360479211</v>
      </c>
      <c r="G67" s="128">
        <f t="shared" si="24"/>
        <v>0.13317640737068334</v>
      </c>
      <c r="H67" s="128">
        <f t="shared" si="24"/>
        <v>0.13897304586758233</v>
      </c>
      <c r="I67" s="128">
        <f t="shared" si="24"/>
        <v>0.14435563875756</v>
      </c>
      <c r="J67" s="128">
        <f t="shared" si="24"/>
        <v>0.14935376072682494</v>
      </c>
      <c r="K67" s="128">
        <f t="shared" si="24"/>
        <v>0.15399487398399955</v>
      </c>
      <c r="L67" s="128">
        <f t="shared" si="24"/>
        <v>0.15830447915137597</v>
      </c>
      <c r="M67" s="128">
        <f t="shared" si="24"/>
        <v>0.16230625537822549</v>
      </c>
      <c r="N67" s="128">
        <f t="shared" si="24"/>
        <v>0.16602219044601432</v>
      </c>
      <c r="O67" s="128">
        <f t="shared" si="24"/>
        <v>0.16947270158038974</v>
      </c>
      <c r="P67" s="128">
        <f t="shared" si="24"/>
        <v>0.17267674763373825</v>
      </c>
      <c r="Q67" s="128">
        <f t="shared" si="24"/>
        <v>0.1756519332547048</v>
      </c>
      <c r="R67" s="128">
        <f t="shared" si="24"/>
        <v>0.17841460561703082</v>
      </c>
      <c r="S67" s="128">
        <f t="shared" si="24"/>
        <v>0.18097994423919075</v>
      </c>
      <c r="T67" s="128">
        <f t="shared" si="24"/>
        <v>0.1833620443883392</v>
      </c>
      <c r="U67" s="128">
        <f t="shared" si="24"/>
        <v>0.18557399452683426</v>
      </c>
      <c r="V67" s="128">
        <f t="shared" si="24"/>
        <v>0.18762794822686535</v>
      </c>
      <c r="W67" s="128">
        <f t="shared" si="24"/>
        <v>0.18953519094832277</v>
      </c>
    </row>
    <row r="68" spans="1:23" ht="16.5" thickTop="1">
      <c r="A68" s="37" t="str">
        <f>'Water Heater Stock'!A15</f>
        <v>Electric Resistance</v>
      </c>
      <c r="B68" s="122">
        <f>'Water Heater Stock'!B15*'O&amp;M Cost'!$D5/1000000</f>
        <v>9.677798327602162E-2</v>
      </c>
      <c r="C68" s="122">
        <f>'Water Heater Stock'!C15*'O&amp;M Cost'!$D5/1000000</f>
        <v>8.9865270184877208E-2</v>
      </c>
      <c r="D68" s="122">
        <f>'Water Heater Stock'!D15*'O&amp;M Cost'!$D5/1000000</f>
        <v>8.3446322314528837E-2</v>
      </c>
      <c r="E68" s="122">
        <f>'Water Heater Stock'!E15*'O&amp;M Cost'!$D5/1000000</f>
        <v>7.7485870720633912E-2</v>
      </c>
      <c r="F68" s="122">
        <f>'Water Heater Stock'!F15*'O&amp;M Cost'!$D5/1000000</f>
        <v>7.1951165669160072E-2</v>
      </c>
      <c r="G68" s="122">
        <f>'Water Heater Stock'!G15*'O&amp;M Cost'!$D5/1000000</f>
        <v>6.6811796692791497E-2</v>
      </c>
      <c r="H68" s="122">
        <f>'Water Heater Stock'!H15*'O&amp;M Cost'!$D5/1000000</f>
        <v>6.2039525500449243E-2</v>
      </c>
      <c r="I68" s="122">
        <f>'Water Heater Stock'!I15*'O&amp;M Cost'!$D5/1000000</f>
        <v>5.7608130821845717E-2</v>
      </c>
      <c r="J68" s="122">
        <f>'Water Heater Stock'!J15*'O&amp;M Cost'!$D5/1000000</f>
        <v>5.3493264334571022E-2</v>
      </c>
      <c r="K68" s="122">
        <f>'Water Heater Stock'!K15*'O&amp;M Cost'!$D5/1000000</f>
        <v>4.9672316882101671E-2</v>
      </c>
      <c r="L68" s="122">
        <f>'Water Heater Stock'!L15*'O&amp;M Cost'!$D5/1000000</f>
        <v>4.6124294247665842E-2</v>
      </c>
      <c r="M68" s="122">
        <f>'Water Heater Stock'!M15*'O&amp;M Cost'!$D5/1000000</f>
        <v>4.2829701801404003E-2</v>
      </c>
      <c r="N68" s="122">
        <f>'Water Heater Stock'!N15*'O&amp;M Cost'!$D5/1000000</f>
        <v>3.9770437387018E-2</v>
      </c>
      <c r="O68" s="122">
        <f>'Water Heater Stock'!O15*'O&amp;M Cost'!$D5/1000000</f>
        <v>3.6929691859373857E-2</v>
      </c>
      <c r="P68" s="122">
        <f>'Water Heater Stock'!P15*'O&amp;M Cost'!$D5/1000000</f>
        <v>3.4291856726561439E-2</v>
      </c>
      <c r="Q68" s="122">
        <f>'Water Heater Stock'!Q15*'O&amp;M Cost'!$D5/1000000</f>
        <v>3.1842438388949908E-2</v>
      </c>
      <c r="R68" s="122">
        <f>'Water Heater Stock'!R15*'O&amp;M Cost'!$D5/1000000</f>
        <v>2.9567978504024914E-2</v>
      </c>
      <c r="S68" s="122">
        <f>'Water Heater Stock'!S15*'O&amp;M Cost'!$D5/1000000</f>
        <v>2.7455980039451707E-2</v>
      </c>
      <c r="T68" s="122">
        <f>'Water Heater Stock'!T15*'O&amp;M Cost'!$D5/1000000</f>
        <v>2.5494838608062301E-2</v>
      </c>
      <c r="U68" s="122">
        <f>'Water Heater Stock'!U15*'O&amp;M Cost'!$D5/1000000</f>
        <v>2.3673778707486423E-2</v>
      </c>
      <c r="V68" s="122">
        <f>'Water Heater Stock'!V15*'O&amp;M Cost'!$D5/1000000</f>
        <v>2.1982794514094538E-2</v>
      </c>
      <c r="W68" s="122">
        <f>'Water Heater Stock'!W15*'O&amp;M Cost'!$D5/1000000</f>
        <v>2.0412594905944926E-2</v>
      </c>
    </row>
    <row r="69" spans="1:23">
      <c r="A69" s="37" t="str">
        <f>'Water Heater Stock'!A16</f>
        <v>HPWH</v>
      </c>
      <c r="B69" s="122">
        <f>'Water Heater Stock'!B16*'O&amp;M Cost'!$D6/1000000</f>
        <v>0</v>
      </c>
      <c r="C69" s="122">
        <f>'Water Heater Stock'!C16*'O&amp;M Cost'!$D6/1000000</f>
        <v>1.5309239023376388E-2</v>
      </c>
      <c r="D69" s="122">
        <f>'Water Heater Stock'!D16*'O&amp;M Cost'!$D6/1000000</f>
        <v>2.9524960973654465E-2</v>
      </c>
      <c r="E69" s="122">
        <f>'Water Heater Stock'!E16*'O&amp;M Cost'!$D6/1000000</f>
        <v>4.272527421319839E-2</v>
      </c>
      <c r="F69" s="122">
        <f>'Water Heater Stock'!F16*'O&amp;M Cost'!$D6/1000000</f>
        <v>5.4982707935632036E-2</v>
      </c>
      <c r="G69" s="122">
        <f>'Water Heater Stock'!G16*'O&amp;M Cost'!$D6/1000000</f>
        <v>6.6364610677891844E-2</v>
      </c>
      <c r="H69" s="122">
        <f>'Water Heater Stock'!H16*'O&amp;M Cost'!$D6/1000000</f>
        <v>7.6933520367133093E-2</v>
      </c>
      <c r="I69" s="122">
        <f>'Water Heater Stock'!I16*'O&amp;M Cost'!$D6/1000000</f>
        <v>8.6747507935714271E-2</v>
      </c>
      <c r="J69" s="122">
        <f>'Water Heater Stock'!J16*'O&amp;M Cost'!$D6/1000000</f>
        <v>9.5860496392253913E-2</v>
      </c>
      <c r="K69" s="122">
        <f>'Water Heater Stock'!K16*'O&amp;M Cost'!$D6/1000000</f>
        <v>0.10432255710189788</v>
      </c>
      <c r="L69" s="122">
        <f>'Water Heater Stock'!L16*'O&amp;M Cost'!$D6/1000000</f>
        <v>0.11218018490371012</v>
      </c>
      <c r="M69" s="122">
        <f>'Water Heater Stock'!M16*'O&amp;M Cost'!$D6/1000000</f>
        <v>0.11947655357682149</v>
      </c>
      <c r="N69" s="122">
        <f>'Water Heater Stock'!N16*'O&amp;M Cost'!$D6/1000000</f>
        <v>0.12625175305899633</v>
      </c>
      <c r="O69" s="122">
        <f>'Water Heater Stock'!O16*'O&amp;M Cost'!$D6/1000000</f>
        <v>0.13254300972101588</v>
      </c>
      <c r="P69" s="122">
        <f>'Water Heater Stock'!P16*'O&amp;M Cost'!$D6/1000000</f>
        <v>0.13838489090717682</v>
      </c>
      <c r="Q69" s="122">
        <f>'Water Heater Stock'!Q16*'O&amp;M Cost'!$D6/1000000</f>
        <v>0.14380949486575489</v>
      </c>
      <c r="R69" s="122">
        <f>'Water Heater Stock'!R16*'O&amp;M Cost'!$D6/1000000</f>
        <v>0.14884662711300589</v>
      </c>
      <c r="S69" s="122">
        <f>'Water Heater Stock'!S16*'O&amp;M Cost'!$D6/1000000</f>
        <v>0.15352396419973904</v>
      </c>
      <c r="T69" s="122">
        <f>'Water Heater Stock'!T16*'O&amp;M Cost'!$D6/1000000</f>
        <v>0.15786720578027691</v>
      </c>
      <c r="U69" s="122">
        <f>'Water Heater Stock'!U16*'O&amp;M Cost'!$D6/1000000</f>
        <v>0.16190021581934783</v>
      </c>
      <c r="V69" s="122">
        <f>'Water Heater Stock'!V16*'O&amp;M Cost'!$D6/1000000</f>
        <v>0.1656451537127708</v>
      </c>
      <c r="W69" s="122">
        <f>'Water Heater Stock'!W16*'O&amp;M Cost'!$D6/1000000</f>
        <v>0.16912259604237784</v>
      </c>
    </row>
    <row r="70" spans="1:23">
      <c r="A70" s="37" t="str">
        <f>'Water Heater Stock'!A17</f>
        <v>Gas Tank</v>
      </c>
      <c r="B70" s="122">
        <f>'Water Heater Stock'!B17*'O&amp;M Cost'!$D7/1000000</f>
        <v>0</v>
      </c>
      <c r="C70" s="122">
        <f>'Water Heater Stock'!C17*'O&amp;M Cost'!$D7/1000000</f>
        <v>0</v>
      </c>
      <c r="D70" s="122">
        <f>'Water Heater Stock'!D17*'O&amp;M Cost'!$D7/1000000</f>
        <v>0</v>
      </c>
      <c r="E70" s="122">
        <f>'Water Heater Stock'!E17*'O&amp;M Cost'!$D7/1000000</f>
        <v>0</v>
      </c>
      <c r="F70" s="122">
        <f>'Water Heater Stock'!F17*'O&amp;M Cost'!$D7/1000000</f>
        <v>0</v>
      </c>
      <c r="G70" s="122">
        <f>'Water Heater Stock'!G17*'O&amp;M Cost'!$D7/1000000</f>
        <v>0</v>
      </c>
      <c r="H70" s="122">
        <f>'Water Heater Stock'!H17*'O&amp;M Cost'!$D7/1000000</f>
        <v>0</v>
      </c>
      <c r="I70" s="122">
        <f>'Water Heater Stock'!I17*'O&amp;M Cost'!$D7/1000000</f>
        <v>0</v>
      </c>
      <c r="J70" s="122">
        <f>'Water Heater Stock'!J17*'O&amp;M Cost'!$D7/1000000</f>
        <v>0</v>
      </c>
      <c r="K70" s="122">
        <f>'Water Heater Stock'!K17*'O&amp;M Cost'!$D7/1000000</f>
        <v>0</v>
      </c>
      <c r="L70" s="122">
        <f>'Water Heater Stock'!L17*'O&amp;M Cost'!$D7/1000000</f>
        <v>0</v>
      </c>
      <c r="M70" s="122">
        <f>'Water Heater Stock'!M17*'O&amp;M Cost'!$D7/1000000</f>
        <v>0</v>
      </c>
      <c r="N70" s="122">
        <f>'Water Heater Stock'!N17*'O&amp;M Cost'!$D7/1000000</f>
        <v>0</v>
      </c>
      <c r="O70" s="122">
        <f>'Water Heater Stock'!O17*'O&amp;M Cost'!$D7/1000000</f>
        <v>0</v>
      </c>
      <c r="P70" s="122">
        <f>'Water Heater Stock'!P17*'O&amp;M Cost'!$D7/1000000</f>
        <v>0</v>
      </c>
      <c r="Q70" s="122">
        <f>'Water Heater Stock'!Q17*'O&amp;M Cost'!$D7/1000000</f>
        <v>0</v>
      </c>
      <c r="R70" s="122">
        <f>'Water Heater Stock'!R17*'O&amp;M Cost'!$D7/1000000</f>
        <v>0</v>
      </c>
      <c r="S70" s="122">
        <f>'Water Heater Stock'!S17*'O&amp;M Cost'!$D7/1000000</f>
        <v>0</v>
      </c>
      <c r="T70" s="122">
        <f>'Water Heater Stock'!T17*'O&amp;M Cost'!$D7/1000000</f>
        <v>0</v>
      </c>
      <c r="U70" s="122">
        <f>'Water Heater Stock'!U17*'O&amp;M Cost'!$D7/1000000</f>
        <v>0</v>
      </c>
      <c r="V70" s="122">
        <f>'Water Heater Stock'!V17*'O&amp;M Cost'!$D7/1000000</f>
        <v>0</v>
      </c>
      <c r="W70" s="122">
        <f>'Water Heater Stock'!W17*'O&amp;M Cost'!$D7/1000000</f>
        <v>0</v>
      </c>
    </row>
    <row r="71" spans="1:23">
      <c r="A71" s="37" t="str">
        <f>'Water Heater Stock'!A18</f>
        <v>Instant Gas</v>
      </c>
      <c r="B71" s="122">
        <f>'Water Heater Stock'!B18*'O&amp;M Cost'!$D8/1000000</f>
        <v>0</v>
      </c>
      <c r="C71" s="122">
        <f>'Water Heater Stock'!C18*'O&amp;M Cost'!$D8/1000000</f>
        <v>0</v>
      </c>
      <c r="D71" s="122">
        <f>'Water Heater Stock'!D18*'O&amp;M Cost'!$D8/1000000</f>
        <v>0</v>
      </c>
      <c r="E71" s="122">
        <f>'Water Heater Stock'!E18*'O&amp;M Cost'!$D8/1000000</f>
        <v>0</v>
      </c>
      <c r="F71" s="122">
        <f>'Water Heater Stock'!F18*'O&amp;M Cost'!$D8/1000000</f>
        <v>0</v>
      </c>
      <c r="G71" s="122">
        <f>'Water Heater Stock'!G18*'O&amp;M Cost'!$D8/1000000</f>
        <v>0</v>
      </c>
      <c r="H71" s="122">
        <f>'Water Heater Stock'!H18*'O&amp;M Cost'!$D8/1000000</f>
        <v>0</v>
      </c>
      <c r="I71" s="122">
        <f>'Water Heater Stock'!I18*'O&amp;M Cost'!$D8/1000000</f>
        <v>0</v>
      </c>
      <c r="J71" s="122">
        <f>'Water Heater Stock'!J18*'O&amp;M Cost'!$D8/1000000</f>
        <v>0</v>
      </c>
      <c r="K71" s="122">
        <f>'Water Heater Stock'!K18*'O&amp;M Cost'!$D8/1000000</f>
        <v>0</v>
      </c>
      <c r="L71" s="122">
        <f>'Water Heater Stock'!L18*'O&amp;M Cost'!$D8/1000000</f>
        <v>0</v>
      </c>
      <c r="M71" s="122">
        <f>'Water Heater Stock'!M18*'O&amp;M Cost'!$D8/1000000</f>
        <v>0</v>
      </c>
      <c r="N71" s="122">
        <f>'Water Heater Stock'!N18*'O&amp;M Cost'!$D8/1000000</f>
        <v>0</v>
      </c>
      <c r="O71" s="122">
        <f>'Water Heater Stock'!O18*'O&amp;M Cost'!$D8/1000000</f>
        <v>0</v>
      </c>
      <c r="P71" s="122">
        <f>'Water Heater Stock'!P18*'O&amp;M Cost'!$D8/1000000</f>
        <v>0</v>
      </c>
      <c r="Q71" s="122">
        <f>'Water Heater Stock'!Q18*'O&amp;M Cost'!$D8/1000000</f>
        <v>0</v>
      </c>
      <c r="R71" s="122">
        <f>'Water Heater Stock'!R18*'O&amp;M Cost'!$D8/1000000</f>
        <v>0</v>
      </c>
      <c r="S71" s="122">
        <f>'Water Heater Stock'!S18*'O&amp;M Cost'!$D8/1000000</f>
        <v>0</v>
      </c>
      <c r="T71" s="122">
        <f>'Water Heater Stock'!T18*'O&amp;M Cost'!$D8/1000000</f>
        <v>0</v>
      </c>
      <c r="U71" s="122">
        <f>'Water Heater Stock'!U18*'O&amp;M Cost'!$D8/1000000</f>
        <v>0</v>
      </c>
      <c r="V71" s="122">
        <f>'Water Heater Stock'!V18*'O&amp;M Cost'!$D8/1000000</f>
        <v>0</v>
      </c>
      <c r="W71" s="122">
        <f>'Water Heater Stock'!W18*'O&amp;M Cost'!$D8/1000000</f>
        <v>0</v>
      </c>
    </row>
    <row r="72" spans="1:23">
      <c r="A72" s="37" t="str">
        <f>'Water Heater Stock'!A19</f>
        <v>Condensing Gas</v>
      </c>
      <c r="B72" s="122">
        <f>'Water Heater Stock'!B19*'O&amp;M Cost'!$D9/1000000</f>
        <v>0</v>
      </c>
      <c r="C72" s="122">
        <f>'Water Heater Stock'!C19*'O&amp;M Cost'!$D9/1000000</f>
        <v>0</v>
      </c>
      <c r="D72" s="122">
        <f>'Water Heater Stock'!D19*'O&amp;M Cost'!$D9/1000000</f>
        <v>0</v>
      </c>
      <c r="E72" s="122">
        <f>'Water Heater Stock'!E19*'O&amp;M Cost'!$D9/1000000</f>
        <v>0</v>
      </c>
      <c r="F72" s="122">
        <f>'Water Heater Stock'!F19*'O&amp;M Cost'!$D9/1000000</f>
        <v>0</v>
      </c>
      <c r="G72" s="122">
        <f>'Water Heater Stock'!G19*'O&amp;M Cost'!$D9/1000000</f>
        <v>0</v>
      </c>
      <c r="H72" s="122">
        <f>'Water Heater Stock'!H19*'O&amp;M Cost'!$D9/1000000</f>
        <v>0</v>
      </c>
      <c r="I72" s="122">
        <f>'Water Heater Stock'!I19*'O&amp;M Cost'!$D9/1000000</f>
        <v>0</v>
      </c>
      <c r="J72" s="122">
        <f>'Water Heater Stock'!J19*'O&amp;M Cost'!$D9/1000000</f>
        <v>0</v>
      </c>
      <c r="K72" s="122">
        <f>'Water Heater Stock'!K19*'O&amp;M Cost'!$D9/1000000</f>
        <v>0</v>
      </c>
      <c r="L72" s="122">
        <f>'Water Heater Stock'!L19*'O&amp;M Cost'!$D9/1000000</f>
        <v>0</v>
      </c>
      <c r="M72" s="122">
        <f>'Water Heater Stock'!M19*'O&amp;M Cost'!$D9/1000000</f>
        <v>0</v>
      </c>
      <c r="N72" s="122">
        <f>'Water Heater Stock'!N19*'O&amp;M Cost'!$D9/1000000</f>
        <v>0</v>
      </c>
      <c r="O72" s="122">
        <f>'Water Heater Stock'!O19*'O&amp;M Cost'!$D9/1000000</f>
        <v>0</v>
      </c>
      <c r="P72" s="122">
        <f>'Water Heater Stock'!P19*'O&amp;M Cost'!$D9/1000000</f>
        <v>0</v>
      </c>
      <c r="Q72" s="122">
        <f>'Water Heater Stock'!Q19*'O&amp;M Cost'!$D9/1000000</f>
        <v>0</v>
      </c>
      <c r="R72" s="122">
        <f>'Water Heater Stock'!R19*'O&amp;M Cost'!$D9/1000000</f>
        <v>0</v>
      </c>
      <c r="S72" s="122">
        <f>'Water Heater Stock'!S19*'O&amp;M Cost'!$D9/1000000</f>
        <v>0</v>
      </c>
      <c r="T72" s="122">
        <f>'Water Heater Stock'!T19*'O&amp;M Cost'!$D9/1000000</f>
        <v>0</v>
      </c>
      <c r="U72" s="122">
        <f>'Water Heater Stock'!U19*'O&amp;M Cost'!$D9/1000000</f>
        <v>0</v>
      </c>
      <c r="V72" s="122">
        <f>'Water Heater Stock'!V19*'O&amp;M Cost'!$D9/1000000</f>
        <v>0</v>
      </c>
      <c r="W72" s="122">
        <f>'Water Heater Stock'!W19*'O&amp;M Cost'!$D9/1000000</f>
        <v>0</v>
      </c>
    </row>
    <row r="74" spans="1:23">
      <c r="A74" s="12" t="s">
        <v>117</v>
      </c>
    </row>
    <row r="75" spans="1:23">
      <c r="A75" s="14" t="str">
        <f>'Energy Usage'!A25</f>
        <v>Water Heat Ending</v>
      </c>
      <c r="B75" s="55">
        <f>'Energy Usage'!B25</f>
        <v>2014</v>
      </c>
      <c r="C75" s="55">
        <f>'Energy Usage'!C25</f>
        <v>2015</v>
      </c>
      <c r="D75" s="55">
        <f>'Energy Usage'!D25</f>
        <v>2016</v>
      </c>
      <c r="E75" s="55">
        <f>'Energy Usage'!E25</f>
        <v>2017</v>
      </c>
      <c r="F75" s="55">
        <f>'Energy Usage'!F25</f>
        <v>2018</v>
      </c>
      <c r="G75" s="55">
        <f>'Energy Usage'!G25</f>
        <v>2019</v>
      </c>
      <c r="H75" s="55">
        <f>'Energy Usage'!H25</f>
        <v>2020</v>
      </c>
      <c r="I75" s="55">
        <f>'Energy Usage'!I25</f>
        <v>2021</v>
      </c>
      <c r="J75" s="55">
        <f>'Energy Usage'!J25</f>
        <v>2022</v>
      </c>
      <c r="K75" s="55">
        <f>'Energy Usage'!K25</f>
        <v>2023</v>
      </c>
      <c r="L75" s="55">
        <f>'Energy Usage'!L25</f>
        <v>2024</v>
      </c>
      <c r="M75" s="55">
        <f>'Energy Usage'!M25</f>
        <v>2025</v>
      </c>
      <c r="N75" s="55">
        <f>'Energy Usage'!N25</f>
        <v>2026</v>
      </c>
      <c r="O75" s="55">
        <f>'Energy Usage'!O25</f>
        <v>2027</v>
      </c>
      <c r="P75" s="55">
        <f>'Energy Usage'!P25</f>
        <v>2028</v>
      </c>
      <c r="Q75" s="55">
        <f>'Energy Usage'!Q25</f>
        <v>2029</v>
      </c>
      <c r="R75" s="55">
        <f>'Energy Usage'!R25</f>
        <v>2030</v>
      </c>
      <c r="S75" s="55">
        <f>'Energy Usage'!S25</f>
        <v>2031</v>
      </c>
      <c r="T75" s="55">
        <f>'Energy Usage'!T25</f>
        <v>2032</v>
      </c>
      <c r="U75" s="55">
        <f>'Energy Usage'!U25</f>
        <v>2033</v>
      </c>
      <c r="V75" s="55">
        <f>'Energy Usage'!V25</f>
        <v>2034</v>
      </c>
      <c r="W75" s="55">
        <f>'Energy Usage'!W25</f>
        <v>2035</v>
      </c>
    </row>
    <row r="76" spans="1:23" ht="16.5" thickBot="1">
      <c r="A76" s="48" t="s">
        <v>44</v>
      </c>
      <c r="B76" s="128">
        <f t="shared" ref="B76:W76" si="25">SUM(B77:B81)</f>
        <v>7.2827170163798503</v>
      </c>
      <c r="C76" s="128">
        <f t="shared" si="25"/>
        <v>7.13783881025316</v>
      </c>
      <c r="D76" s="128">
        <f t="shared" si="25"/>
        <v>7.0052964003910514</v>
      </c>
      <c r="E76" s="128">
        <f t="shared" si="25"/>
        <v>6.8844061402909213</v>
      </c>
      <c r="F76" s="128">
        <f t="shared" si="25"/>
        <v>6.7745255941778213</v>
      </c>
      <c r="G76" s="128">
        <f t="shared" si="25"/>
        <v>6.6750510990619318</v>
      </c>
      <c r="H76" s="128">
        <f t="shared" si="25"/>
        <v>6.585415471612051</v>
      </c>
      <c r="I76" s="128">
        <f t="shared" si="25"/>
        <v>6.505085851250608</v>
      </c>
      <c r="J76" s="128">
        <f t="shared" si="25"/>
        <v>6.433561671385907</v>
      </c>
      <c r="K76" s="128">
        <f t="shared" si="25"/>
        <v>6.3703727511771548</v>
      </c>
      <c r="L76" s="128">
        <f t="shared" si="25"/>
        <v>6.3150775006792212</v>
      </c>
      <c r="M76" s="128">
        <f t="shared" si="25"/>
        <v>6.2672612326387256</v>
      </c>
      <c r="N76" s="128">
        <f t="shared" si="25"/>
        <v>6.2265345746123799</v>
      </c>
      <c r="O76" s="128">
        <f t="shared" si="25"/>
        <v>6.19253197545427</v>
      </c>
      <c r="P76" s="128">
        <f t="shared" si="25"/>
        <v>6.1649103005720995</v>
      </c>
      <c r="Q76" s="128">
        <f t="shared" si="25"/>
        <v>6.1433475106848832</v>
      </c>
      <c r="R76" s="128">
        <f t="shared" si="25"/>
        <v>6.1275414191272297</v>
      </c>
      <c r="S76" s="128">
        <f t="shared" si="25"/>
        <v>6.1172085230394941</v>
      </c>
      <c r="T76" s="128">
        <f t="shared" si="25"/>
        <v>6.1120829040597426</v>
      </c>
      <c r="U76" s="128">
        <f t="shared" si="25"/>
        <v>6.1119151943937222</v>
      </c>
      <c r="V76" s="128">
        <f t="shared" si="25"/>
        <v>6.1164716043838334</v>
      </c>
      <c r="W76" s="128">
        <f t="shared" si="25"/>
        <v>6.1255330079283317</v>
      </c>
    </row>
    <row r="77" spans="1:23" ht="16.5" thickTop="1">
      <c r="A77" s="37" t="str">
        <f>'Energy Usage'!A27</f>
        <v>Electric Resistance</v>
      </c>
      <c r="B77" s="122">
        <f>(('Energy Usage'!B27*'Retail Rates'!B$5*'Device Energy Use'!$E5+'Energy Usage'!B27*'Retail Rates'!B$6*(1-'Device Energy Use'!$E5)))/1000000</f>
        <v>7.2827170163798503</v>
      </c>
      <c r="C77" s="122">
        <f>(('Energy Usage'!C27*'Retail Rates'!C$5*'Device Energy Use'!$E5+'Energy Usage'!C27*'Retail Rates'!C$6*(1-'Device Energy Use'!$E5)))/1000000</f>
        <v>6.850435742050446</v>
      </c>
      <c r="D77" s="122">
        <f>(('Energy Usage'!D27*'Retail Rates'!D$5*'Device Energy Use'!$E5+'Energy Usage'!D27*'Retail Rates'!D$6*(1-'Device Energy Use'!$E5)))/1000000</f>
        <v>6.4438134490758783</v>
      </c>
      <c r="E77" s="122">
        <f>(('Energy Usage'!E27*'Retail Rates'!E$5*'Device Energy Use'!$E5+'Energy Usage'!E27*'Retail Rates'!E$6*(1-'Device Energy Use'!$E5)))/1000000</f>
        <v>6.0613270936343024</v>
      </c>
      <c r="F77" s="122">
        <f>(('Energy Usage'!F27*'Retail Rates'!F$5*'Device Energy Use'!$E5+'Energy Usage'!F27*'Retail Rates'!F$6*(1-'Device Energy Use'!$E5)))/1000000</f>
        <v>5.7015440354335807</v>
      </c>
      <c r="G77" s="122">
        <f>(('Energy Usage'!G27*'Retail Rates'!G$5*'Device Energy Use'!$E5+'Energy Usage'!G27*'Retail Rates'!G$6*(1-'Device Energy Use'!$E5)))/1000000</f>
        <v>5.3631166716160585</v>
      </c>
      <c r="H77" s="122">
        <f>(('Energy Usage'!H27*'Retail Rates'!H$5*'Device Energy Use'!$E5+'Energy Usage'!H27*'Retail Rates'!H$6*(1-'Device Energy Use'!$E5)))/1000000</f>
        <v>5.0447773891794192</v>
      </c>
      <c r="I77" s="122">
        <f>(('Energy Usage'!I27*'Retail Rates'!I$5*'Device Energy Use'!$E5+'Energy Usage'!I27*'Retail Rates'!I$6*(1-'Device Energy Use'!$E5)))/1000000</f>
        <v>4.7453338170074115</v>
      </c>
      <c r="J77" s="122">
        <f>(('Energy Usage'!J27*'Retail Rates'!J$5*'Device Energy Use'!$E5+'Energy Usage'!J27*'Retail Rates'!J$6*(1-'Device Energy Use'!$E5)))/1000000</f>
        <v>4.4636643597264696</v>
      </c>
      <c r="K77" s="122">
        <f>(('Energy Usage'!K27*'Retail Rates'!K$5*'Device Energy Use'!$E5+'Energy Usage'!K27*'Retail Rates'!K$6*(1-'Device Energy Use'!$E5)))/1000000</f>
        <v>4.1987139966598486</v>
      </c>
      <c r="L77" s="122">
        <f>(('Energy Usage'!L27*'Retail Rates'!L$5*'Device Energy Use'!$E5+'Energy Usage'!L27*'Retail Rates'!L$6*(1-'Device Energy Use'!$E5)))/1000000</f>
        <v>3.9494903301438256</v>
      </c>
      <c r="M77" s="122">
        <f>(('Energy Usage'!M27*'Retail Rates'!M$5*'Device Energy Use'!$E5+'Energy Usage'!M27*'Retail Rates'!M$6*(1-'Device Energy Use'!$E5)))/1000000</f>
        <v>3.7150598684045741</v>
      </c>
      <c r="N77" s="122">
        <f>(('Energy Usage'!N27*'Retail Rates'!N$5*'Device Energy Use'!$E5+'Energy Usage'!N27*'Retail Rates'!N$6*(1-'Device Energy Use'!$E5)))/1000000</f>
        <v>3.4945445290728454</v>
      </c>
      <c r="O77" s="122">
        <f>(('Energy Usage'!O27*'Retail Rates'!O$5*'Device Energy Use'!$E5+'Energy Usage'!O27*'Retail Rates'!O$6*(1-'Device Energy Use'!$E5)))/1000000</f>
        <v>3.2871183502400214</v>
      </c>
      <c r="P77" s="122">
        <f>(('Energy Usage'!P27*'Retail Rates'!P$5*'Device Energy Use'!$E5+'Energy Usage'!P27*'Retail Rates'!P$6*(1-'Device Energy Use'!$E5)))/1000000</f>
        <v>3.0920043967364883</v>
      </c>
      <c r="Q77" s="122">
        <f>(('Energy Usage'!Q27*'Retail Rates'!Q$5*'Device Energy Use'!$E5+'Energy Usage'!Q27*'Retail Rates'!Q$6*(1-'Device Energy Use'!$E5)))/1000000</f>
        <v>2.9084718500444864</v>
      </c>
      <c r="R77" s="122">
        <f>(('Energy Usage'!R27*'Retail Rates'!R$5*'Device Energy Use'!$E5+'Energy Usage'!R27*'Retail Rates'!R$6*(1-'Device Energy Use'!$E5)))/1000000</f>
        <v>2.7358332709454176</v>
      </c>
      <c r="S77" s="122">
        <f>(('Energy Usage'!S27*'Retail Rates'!S$5*'Device Energy Use'!$E5+'Energy Usage'!S27*'Retail Rates'!S$6*(1-'Device Energy Use'!$E5)))/1000000</f>
        <v>2.5734420246485858</v>
      </c>
      <c r="T77" s="122">
        <f>(('Energy Usage'!T27*'Retail Rates'!T$5*'Device Energy Use'!$E5+'Energy Usage'!T27*'Retail Rates'!T$6*(1-'Device Energy Use'!$E5)))/1000000</f>
        <v>2.4206898587569445</v>
      </c>
      <c r="U77" s="122">
        <f>(('Energy Usage'!U27*'Retail Rates'!U$5*'Device Energy Use'!$E5+'Energy Usage'!U27*'Retail Rates'!U$6*(1-'Device Energy Use'!$E5)))/1000000</f>
        <v>2.2770046249978715</v>
      </c>
      <c r="V77" s="122">
        <f>(('Energy Usage'!V27*'Retail Rates'!V$5*'Device Energy Use'!$E5+'Energy Usage'!V27*'Retail Rates'!V$6*(1-'Device Energy Use'!$E5)))/1000000</f>
        <v>2.141848136185498</v>
      </c>
      <c r="W77" s="122">
        <f>(('Energy Usage'!W27*'Retail Rates'!W$5*'Device Energy Use'!$E5+'Energy Usage'!W27*'Retail Rates'!W$6*(1-'Device Energy Use'!$E5)))/1000000</f>
        <v>2.01471415038763</v>
      </c>
    </row>
    <row r="78" spans="1:23">
      <c r="A78" s="37" t="str">
        <f>'Energy Usage'!A28</f>
        <v>HPWH</v>
      </c>
      <c r="B78" s="122">
        <f>(('Energy Usage'!B28*'Retail Rates'!B$5*'Device Energy Use'!$E6+'Energy Usage'!B28*'Retail Rates'!B$6*(1-'Device Energy Use'!$E6)))/1000000</f>
        <v>0</v>
      </c>
      <c r="C78" s="122">
        <f>(('Energy Usage'!C28*'Retail Rates'!C$5*'Device Energy Use'!$E6+'Energy Usage'!C28*'Retail Rates'!C$6*(1-'Device Energy Use'!$E6)))/1000000</f>
        <v>0.287403068202714</v>
      </c>
      <c r="D78" s="122">
        <f>(('Energy Usage'!D28*'Retail Rates'!D$5*'Device Energy Use'!$E6+'Energy Usage'!D28*'Retail Rates'!D$6*(1-'Device Energy Use'!$E6)))/1000000</f>
        <v>0.56148295131517356</v>
      </c>
      <c r="E78" s="122">
        <f>(('Energy Usage'!E28*'Retail Rates'!E$5*'Device Energy Use'!$E6+'Energy Usage'!E28*'Retail Rates'!E$6*(1-'Device Energy Use'!$E6)))/1000000</f>
        <v>0.82307904665661924</v>
      </c>
      <c r="F78" s="122">
        <f>(('Energy Usage'!F28*'Retail Rates'!F$5*'Device Energy Use'!$E6+'Energy Usage'!F28*'Retail Rates'!F$6*(1-'Device Energy Use'!$E6)))/1000000</f>
        <v>1.0729815587442406</v>
      </c>
      <c r="G78" s="122">
        <f>(('Energy Usage'!G28*'Retail Rates'!G$5*'Device Energy Use'!$E6+'Energy Usage'!G28*'Retail Rates'!G$6*(1-'Device Energy Use'!$E6)))/1000000</f>
        <v>1.3119344274458737</v>
      </c>
      <c r="H78" s="122">
        <f>(('Energy Usage'!H28*'Retail Rates'!H$5*'Device Energy Use'!$E6+'Energy Usage'!H28*'Retail Rates'!H$6*(1-'Device Energy Use'!$E6)))/1000000</f>
        <v>1.540638082432632</v>
      </c>
      <c r="I78" s="122">
        <f>(('Energy Usage'!I28*'Retail Rates'!I$5*'Device Energy Use'!$E6+'Energy Usage'!I28*'Retail Rates'!I$6*(1-'Device Energy Use'!$E6)))/1000000</f>
        <v>1.7597520342431967</v>
      </c>
      <c r="J78" s="122">
        <f>(('Energy Usage'!J28*'Retail Rates'!J$5*'Device Energy Use'!$E6+'Energy Usage'!J28*'Retail Rates'!J$6*(1-'Device Energy Use'!$E6)))/1000000</f>
        <v>1.9698973116594376</v>
      </c>
      <c r="K78" s="122">
        <f>(('Energy Usage'!K28*'Retail Rates'!K$5*'Device Energy Use'!$E6+'Energy Usage'!K28*'Retail Rates'!K$6*(1-'Device Energy Use'!$E6)))/1000000</f>
        <v>2.1716587545173063</v>
      </c>
      <c r="L78" s="122">
        <f>(('Energy Usage'!L28*'Retail Rates'!L$5*'Device Energy Use'!$E6+'Energy Usage'!L28*'Retail Rates'!L$6*(1-'Device Energy Use'!$E6)))/1000000</f>
        <v>2.3655871705353957</v>
      </c>
      <c r="M78" s="122">
        <f>(('Energy Usage'!M28*'Retail Rates'!M$5*'Device Energy Use'!$E6+'Energy Usage'!M28*'Retail Rates'!M$6*(1-'Device Energy Use'!$E6)))/1000000</f>
        <v>2.552201364234151</v>
      </c>
      <c r="N78" s="122">
        <f>(('Energy Usage'!N28*'Retail Rates'!N$5*'Device Energy Use'!$E6+'Energy Usage'!N28*'Retail Rates'!N$6*(1-'Device Energy Use'!$E6)))/1000000</f>
        <v>2.7319900455395341</v>
      </c>
      <c r="O78" s="122">
        <f>(('Energy Usage'!O28*'Retail Rates'!O$5*'Device Energy Use'!$E6+'Energy Usage'!O28*'Retail Rates'!O$6*(1-'Device Energy Use'!$E6)))/1000000</f>
        <v>2.9054136252142486</v>
      </c>
      <c r="P78" s="122">
        <f>(('Energy Usage'!P28*'Retail Rates'!P$5*'Device Energy Use'!$E6+'Energy Usage'!P28*'Retail Rates'!P$6*(1-'Device Energy Use'!$E6)))/1000000</f>
        <v>3.0729059038356108</v>
      </c>
      <c r="Q78" s="122">
        <f>(('Energy Usage'!Q28*'Retail Rates'!Q$5*'Device Energy Use'!$E6+'Energy Usage'!Q28*'Retail Rates'!Q$6*(1-'Device Energy Use'!$E6)))/1000000</f>
        <v>3.2348756606403963</v>
      </c>
      <c r="R78" s="122">
        <f>(('Energy Usage'!R28*'Retail Rates'!R$5*'Device Energy Use'!$E6+'Energy Usage'!R28*'Retail Rates'!R$6*(1-'Device Energy Use'!$E6)))/1000000</f>
        <v>3.3917081481818125</v>
      </c>
      <c r="S78" s="122">
        <f>(('Energy Usage'!S28*'Retail Rates'!S$5*'Device Energy Use'!$E6+'Energy Usage'!S28*'Retail Rates'!S$6*(1-'Device Energy Use'!$E6)))/1000000</f>
        <v>3.5437664983909087</v>
      </c>
      <c r="T78" s="122">
        <f>(('Energy Usage'!T28*'Retail Rates'!T$5*'Device Energy Use'!$E6+'Energy Usage'!T28*'Retail Rates'!T$6*(1-'Device Energy Use'!$E6)))/1000000</f>
        <v>3.6913930453027981</v>
      </c>
      <c r="U78" s="122">
        <f>(('Energy Usage'!U28*'Retail Rates'!U$5*'Device Energy Use'!$E6+'Energy Usage'!U28*'Retail Rates'!U$6*(1-'Device Energy Use'!$E6)))/1000000</f>
        <v>3.8349105693958512</v>
      </c>
      <c r="V78" s="122">
        <f>(('Energy Usage'!V28*'Retail Rates'!V$5*'Device Energy Use'!$E6+'Energy Usage'!V28*'Retail Rates'!V$6*(1-'Device Energy Use'!$E6)))/1000000</f>
        <v>3.9746234681983355</v>
      </c>
      <c r="W78" s="122">
        <f>(('Energy Usage'!W28*'Retail Rates'!W$5*'Device Energy Use'!$E6+'Energy Usage'!W28*'Retail Rates'!W$6*(1-'Device Energy Use'!$E6)))/1000000</f>
        <v>4.1108188575407016</v>
      </c>
    </row>
    <row r="79" spans="1:23">
      <c r="A79" s="37" t="str">
        <f>'Energy Usage'!A29</f>
        <v>Gas Tank</v>
      </c>
      <c r="B79" s="122">
        <f>(('Energy Usage'!B29*'Retail Rates'!B$5*'Device Energy Use'!$E7+'Energy Usage'!B29*'Retail Rates'!B$6*(1-'Device Energy Use'!$E7)))/1000000</f>
        <v>0</v>
      </c>
      <c r="C79" s="122">
        <f>(('Energy Usage'!C29*'Retail Rates'!C$5*'Device Energy Use'!$E7+'Energy Usage'!C29*'Retail Rates'!C$6*(1-'Device Energy Use'!$E7)))/1000000</f>
        <v>0</v>
      </c>
      <c r="D79" s="122">
        <f>(('Energy Usage'!D29*'Retail Rates'!D$5*'Device Energy Use'!$E7+'Energy Usage'!D29*'Retail Rates'!D$6*(1-'Device Energy Use'!$E7)))/1000000</f>
        <v>0</v>
      </c>
      <c r="E79" s="122">
        <f>(('Energy Usage'!E29*'Retail Rates'!E$5*'Device Energy Use'!$E7+'Energy Usage'!E29*'Retail Rates'!E$6*(1-'Device Energy Use'!$E7)))/1000000</f>
        <v>0</v>
      </c>
      <c r="F79" s="122">
        <f>(('Energy Usage'!F29*'Retail Rates'!F$5*'Device Energy Use'!$E7+'Energy Usage'!F29*'Retail Rates'!F$6*(1-'Device Energy Use'!$E7)))/1000000</f>
        <v>0</v>
      </c>
      <c r="G79" s="122">
        <f>(('Energy Usage'!G29*'Retail Rates'!G$5*'Device Energy Use'!$E7+'Energy Usage'!G29*'Retail Rates'!G$6*(1-'Device Energy Use'!$E7)))/1000000</f>
        <v>0</v>
      </c>
      <c r="H79" s="122">
        <f>(('Energy Usage'!H29*'Retail Rates'!H$5*'Device Energy Use'!$E7+'Energy Usage'!H29*'Retail Rates'!H$6*(1-'Device Energy Use'!$E7)))/1000000</f>
        <v>0</v>
      </c>
      <c r="I79" s="122">
        <f>(('Energy Usage'!I29*'Retail Rates'!I$5*'Device Energy Use'!$E7+'Energy Usage'!I29*'Retail Rates'!I$6*(1-'Device Energy Use'!$E7)))/1000000</f>
        <v>0</v>
      </c>
      <c r="J79" s="122">
        <f>(('Energy Usage'!J29*'Retail Rates'!J$5*'Device Energy Use'!$E7+'Energy Usage'!J29*'Retail Rates'!J$6*(1-'Device Energy Use'!$E7)))/1000000</f>
        <v>0</v>
      </c>
      <c r="K79" s="122">
        <f>(('Energy Usage'!K29*'Retail Rates'!K$5*'Device Energy Use'!$E7+'Energy Usage'!K29*'Retail Rates'!K$6*(1-'Device Energy Use'!$E7)))/1000000</f>
        <v>0</v>
      </c>
      <c r="L79" s="122">
        <f>(('Energy Usage'!L29*'Retail Rates'!L$5*'Device Energy Use'!$E7+'Energy Usage'!L29*'Retail Rates'!L$6*(1-'Device Energy Use'!$E7)))/1000000</f>
        <v>0</v>
      </c>
      <c r="M79" s="122">
        <f>(('Energy Usage'!M29*'Retail Rates'!M$5*'Device Energy Use'!$E7+'Energy Usage'!M29*'Retail Rates'!M$6*(1-'Device Energy Use'!$E7)))/1000000</f>
        <v>0</v>
      </c>
      <c r="N79" s="122">
        <f>(('Energy Usage'!N29*'Retail Rates'!N$5*'Device Energy Use'!$E7+'Energy Usage'!N29*'Retail Rates'!N$6*(1-'Device Energy Use'!$E7)))/1000000</f>
        <v>0</v>
      </c>
      <c r="O79" s="122">
        <f>(('Energy Usage'!O29*'Retail Rates'!O$5*'Device Energy Use'!$E7+'Energy Usage'!O29*'Retail Rates'!O$6*(1-'Device Energy Use'!$E7)))/1000000</f>
        <v>0</v>
      </c>
      <c r="P79" s="122">
        <f>(('Energy Usage'!P29*'Retail Rates'!P$5*'Device Energy Use'!$E7+'Energy Usage'!P29*'Retail Rates'!P$6*(1-'Device Energy Use'!$E7)))/1000000</f>
        <v>0</v>
      </c>
      <c r="Q79" s="122">
        <f>(('Energy Usage'!Q29*'Retail Rates'!Q$5*'Device Energy Use'!$E7+'Energy Usage'!Q29*'Retail Rates'!Q$6*(1-'Device Energy Use'!$E7)))/1000000</f>
        <v>0</v>
      </c>
      <c r="R79" s="122">
        <f>(('Energy Usage'!R29*'Retail Rates'!R$5*'Device Energy Use'!$E7+'Energy Usage'!R29*'Retail Rates'!R$6*(1-'Device Energy Use'!$E7)))/1000000</f>
        <v>0</v>
      </c>
      <c r="S79" s="122">
        <f>(('Energy Usage'!S29*'Retail Rates'!S$5*'Device Energy Use'!$E7+'Energy Usage'!S29*'Retail Rates'!S$6*(1-'Device Energy Use'!$E7)))/1000000</f>
        <v>0</v>
      </c>
      <c r="T79" s="122">
        <f>(('Energy Usage'!T29*'Retail Rates'!T$5*'Device Energy Use'!$E7+'Energy Usage'!T29*'Retail Rates'!T$6*(1-'Device Energy Use'!$E7)))/1000000</f>
        <v>0</v>
      </c>
      <c r="U79" s="122">
        <f>(('Energy Usage'!U29*'Retail Rates'!U$5*'Device Energy Use'!$E7+'Energy Usage'!U29*'Retail Rates'!U$6*(1-'Device Energy Use'!$E7)))/1000000</f>
        <v>0</v>
      </c>
      <c r="V79" s="122">
        <f>(('Energy Usage'!V29*'Retail Rates'!V$5*'Device Energy Use'!$E7+'Energy Usage'!V29*'Retail Rates'!V$6*(1-'Device Energy Use'!$E7)))/1000000</f>
        <v>0</v>
      </c>
      <c r="W79" s="122">
        <f>(('Energy Usage'!W29*'Retail Rates'!W$5*'Device Energy Use'!$E7+'Energy Usage'!W29*'Retail Rates'!W$6*(1-'Device Energy Use'!$E7)))/1000000</f>
        <v>0</v>
      </c>
    </row>
    <row r="80" spans="1:23">
      <c r="A80" s="37" t="str">
        <f>'Energy Usage'!A30</f>
        <v>Instant Gas</v>
      </c>
      <c r="B80" s="122">
        <f>(('Energy Usage'!B30*'Retail Rates'!B$5*'Device Energy Use'!$E8+'Energy Usage'!B30*'Retail Rates'!B$6*(1-'Device Energy Use'!$E8)))/1000000</f>
        <v>0</v>
      </c>
      <c r="C80" s="122">
        <f>(('Energy Usage'!C30*'Retail Rates'!C$5*'Device Energy Use'!$E8+'Energy Usage'!C30*'Retail Rates'!C$6*(1-'Device Energy Use'!$E8)))/1000000</f>
        <v>0</v>
      </c>
      <c r="D80" s="122">
        <f>(('Energy Usage'!D30*'Retail Rates'!D$5*'Device Energy Use'!$E8+'Energy Usage'!D30*'Retail Rates'!D$6*(1-'Device Energy Use'!$E8)))/1000000</f>
        <v>0</v>
      </c>
      <c r="E80" s="122">
        <f>(('Energy Usage'!E30*'Retail Rates'!E$5*'Device Energy Use'!$E8+'Energy Usage'!E30*'Retail Rates'!E$6*(1-'Device Energy Use'!$E8)))/1000000</f>
        <v>0</v>
      </c>
      <c r="F80" s="122">
        <f>(('Energy Usage'!F30*'Retail Rates'!F$5*'Device Energy Use'!$E8+'Energy Usage'!F30*'Retail Rates'!F$6*(1-'Device Energy Use'!$E8)))/1000000</f>
        <v>0</v>
      </c>
      <c r="G80" s="122">
        <f>(('Energy Usage'!G30*'Retail Rates'!G$5*'Device Energy Use'!$E8+'Energy Usage'!G30*'Retail Rates'!G$6*(1-'Device Energy Use'!$E8)))/1000000</f>
        <v>0</v>
      </c>
      <c r="H80" s="122">
        <f>(('Energy Usage'!H30*'Retail Rates'!H$5*'Device Energy Use'!$E8+'Energy Usage'!H30*'Retail Rates'!H$6*(1-'Device Energy Use'!$E8)))/1000000</f>
        <v>0</v>
      </c>
      <c r="I80" s="122">
        <f>(('Energy Usage'!I30*'Retail Rates'!I$5*'Device Energy Use'!$E8+'Energy Usage'!I30*'Retail Rates'!I$6*(1-'Device Energy Use'!$E8)))/1000000</f>
        <v>0</v>
      </c>
      <c r="J80" s="122">
        <f>(('Energy Usage'!J30*'Retail Rates'!J$5*'Device Energy Use'!$E8+'Energy Usage'!J30*'Retail Rates'!J$6*(1-'Device Energy Use'!$E8)))/1000000</f>
        <v>0</v>
      </c>
      <c r="K80" s="122">
        <f>(('Energy Usage'!K30*'Retail Rates'!K$5*'Device Energy Use'!$E8+'Energy Usage'!K30*'Retail Rates'!K$6*(1-'Device Energy Use'!$E8)))/1000000</f>
        <v>0</v>
      </c>
      <c r="L80" s="122">
        <f>(('Energy Usage'!L30*'Retail Rates'!L$5*'Device Energy Use'!$E8+'Energy Usage'!L30*'Retail Rates'!L$6*(1-'Device Energy Use'!$E8)))/1000000</f>
        <v>0</v>
      </c>
      <c r="M80" s="122">
        <f>(('Energy Usage'!M30*'Retail Rates'!M$5*'Device Energy Use'!$E8+'Energy Usage'!M30*'Retail Rates'!M$6*(1-'Device Energy Use'!$E8)))/1000000</f>
        <v>0</v>
      </c>
      <c r="N80" s="122">
        <f>(('Energy Usage'!N30*'Retail Rates'!N$5*'Device Energy Use'!$E8+'Energy Usage'!N30*'Retail Rates'!N$6*(1-'Device Energy Use'!$E8)))/1000000</f>
        <v>0</v>
      </c>
      <c r="O80" s="122">
        <f>(('Energy Usage'!O30*'Retail Rates'!O$5*'Device Energy Use'!$E8+'Energy Usage'!O30*'Retail Rates'!O$6*(1-'Device Energy Use'!$E8)))/1000000</f>
        <v>0</v>
      </c>
      <c r="P80" s="122">
        <f>(('Energy Usage'!P30*'Retail Rates'!P$5*'Device Energy Use'!$E8+'Energy Usage'!P30*'Retail Rates'!P$6*(1-'Device Energy Use'!$E8)))/1000000</f>
        <v>0</v>
      </c>
      <c r="Q80" s="122">
        <f>(('Energy Usage'!Q30*'Retail Rates'!Q$5*'Device Energy Use'!$E8+'Energy Usage'!Q30*'Retail Rates'!Q$6*(1-'Device Energy Use'!$E8)))/1000000</f>
        <v>0</v>
      </c>
      <c r="R80" s="122">
        <f>(('Energy Usage'!R30*'Retail Rates'!R$5*'Device Energy Use'!$E8+'Energy Usage'!R30*'Retail Rates'!R$6*(1-'Device Energy Use'!$E8)))/1000000</f>
        <v>0</v>
      </c>
      <c r="S80" s="122">
        <f>(('Energy Usage'!S30*'Retail Rates'!S$5*'Device Energy Use'!$E8+'Energy Usage'!S30*'Retail Rates'!S$6*(1-'Device Energy Use'!$E8)))/1000000</f>
        <v>0</v>
      </c>
      <c r="T80" s="122">
        <f>(('Energy Usage'!T30*'Retail Rates'!T$5*'Device Energy Use'!$E8+'Energy Usage'!T30*'Retail Rates'!T$6*(1-'Device Energy Use'!$E8)))/1000000</f>
        <v>0</v>
      </c>
      <c r="U80" s="122">
        <f>(('Energy Usage'!U30*'Retail Rates'!U$5*'Device Energy Use'!$E8+'Energy Usage'!U30*'Retail Rates'!U$6*(1-'Device Energy Use'!$E8)))/1000000</f>
        <v>0</v>
      </c>
      <c r="V80" s="122">
        <f>(('Energy Usage'!V30*'Retail Rates'!V$5*'Device Energy Use'!$E8+'Energy Usage'!V30*'Retail Rates'!V$6*(1-'Device Energy Use'!$E8)))/1000000</f>
        <v>0</v>
      </c>
      <c r="W80" s="122">
        <f>(('Energy Usage'!W30*'Retail Rates'!W$5*'Device Energy Use'!$E8+'Energy Usage'!W30*'Retail Rates'!W$6*(1-'Device Energy Use'!$E8)))/1000000</f>
        <v>0</v>
      </c>
    </row>
    <row r="81" spans="1:23">
      <c r="A81" s="37" t="str">
        <f>'Energy Usage'!A31</f>
        <v>Condensing Gas</v>
      </c>
      <c r="B81" s="122">
        <f>(('Energy Usage'!B31*'Retail Rates'!B$5*'Device Energy Use'!$E9+'Energy Usage'!B31*'Retail Rates'!B$6*(1-'Device Energy Use'!$E9)))/1000000</f>
        <v>0</v>
      </c>
      <c r="C81" s="122">
        <f>(('Energy Usage'!C31*'Retail Rates'!C$5*'Device Energy Use'!$E9+'Energy Usage'!C31*'Retail Rates'!C$6*(1-'Device Energy Use'!$E9)))/1000000</f>
        <v>0</v>
      </c>
      <c r="D81" s="122">
        <f>(('Energy Usage'!D31*'Retail Rates'!D$5*'Device Energy Use'!$E9+'Energy Usage'!D31*'Retail Rates'!D$6*(1-'Device Energy Use'!$E9)))/1000000</f>
        <v>0</v>
      </c>
      <c r="E81" s="122">
        <f>(('Energy Usage'!E31*'Retail Rates'!E$5*'Device Energy Use'!$E9+'Energy Usage'!E31*'Retail Rates'!E$6*(1-'Device Energy Use'!$E9)))/1000000</f>
        <v>0</v>
      </c>
      <c r="F81" s="122">
        <f>(('Energy Usage'!F31*'Retail Rates'!F$5*'Device Energy Use'!$E9+'Energy Usage'!F31*'Retail Rates'!F$6*(1-'Device Energy Use'!$E9)))/1000000</f>
        <v>0</v>
      </c>
      <c r="G81" s="122">
        <f>(('Energy Usage'!G31*'Retail Rates'!G$5*'Device Energy Use'!$E9+'Energy Usage'!G31*'Retail Rates'!G$6*(1-'Device Energy Use'!$E9)))/1000000</f>
        <v>0</v>
      </c>
      <c r="H81" s="122">
        <f>(('Energy Usage'!H31*'Retail Rates'!H$5*'Device Energy Use'!$E9+'Energy Usage'!H31*'Retail Rates'!H$6*(1-'Device Energy Use'!$E9)))/1000000</f>
        <v>0</v>
      </c>
      <c r="I81" s="122">
        <f>(('Energy Usage'!I31*'Retail Rates'!I$5*'Device Energy Use'!$E9+'Energy Usage'!I31*'Retail Rates'!I$6*(1-'Device Energy Use'!$E9)))/1000000</f>
        <v>0</v>
      </c>
      <c r="J81" s="122">
        <f>(('Energy Usage'!J31*'Retail Rates'!J$5*'Device Energy Use'!$E9+'Energy Usage'!J31*'Retail Rates'!J$6*(1-'Device Energy Use'!$E9)))/1000000</f>
        <v>0</v>
      </c>
      <c r="K81" s="122">
        <f>(('Energy Usage'!K31*'Retail Rates'!K$5*'Device Energy Use'!$E9+'Energy Usage'!K31*'Retail Rates'!K$6*(1-'Device Energy Use'!$E9)))/1000000</f>
        <v>0</v>
      </c>
      <c r="L81" s="122">
        <f>(('Energy Usage'!L31*'Retail Rates'!L$5*'Device Energy Use'!$E9+'Energy Usage'!L31*'Retail Rates'!L$6*(1-'Device Energy Use'!$E9)))/1000000</f>
        <v>0</v>
      </c>
      <c r="M81" s="122">
        <f>(('Energy Usage'!M31*'Retail Rates'!M$5*'Device Energy Use'!$E9+'Energy Usage'!M31*'Retail Rates'!M$6*(1-'Device Energy Use'!$E9)))/1000000</f>
        <v>0</v>
      </c>
      <c r="N81" s="122">
        <f>(('Energy Usage'!N31*'Retail Rates'!N$5*'Device Energy Use'!$E9+'Energy Usage'!N31*'Retail Rates'!N$6*(1-'Device Energy Use'!$E9)))/1000000</f>
        <v>0</v>
      </c>
      <c r="O81" s="122">
        <f>(('Energy Usage'!O31*'Retail Rates'!O$5*'Device Energy Use'!$E9+'Energy Usage'!O31*'Retail Rates'!O$6*(1-'Device Energy Use'!$E9)))/1000000</f>
        <v>0</v>
      </c>
      <c r="P81" s="122">
        <f>(('Energy Usage'!P31*'Retail Rates'!P$5*'Device Energy Use'!$E9+'Energy Usage'!P31*'Retail Rates'!P$6*(1-'Device Energy Use'!$E9)))/1000000</f>
        <v>0</v>
      </c>
      <c r="Q81" s="122">
        <f>(('Energy Usage'!Q31*'Retail Rates'!Q$5*'Device Energy Use'!$E9+'Energy Usage'!Q31*'Retail Rates'!Q$6*(1-'Device Energy Use'!$E9)))/1000000</f>
        <v>0</v>
      </c>
      <c r="R81" s="122">
        <f>(('Energy Usage'!R31*'Retail Rates'!R$5*'Device Energy Use'!$E9+'Energy Usage'!R31*'Retail Rates'!R$6*(1-'Device Energy Use'!$E9)))/1000000</f>
        <v>0</v>
      </c>
      <c r="S81" s="122">
        <f>(('Energy Usage'!S31*'Retail Rates'!S$5*'Device Energy Use'!$E9+'Energy Usage'!S31*'Retail Rates'!S$6*(1-'Device Energy Use'!$E9)))/1000000</f>
        <v>0</v>
      </c>
      <c r="T81" s="122">
        <f>(('Energy Usage'!T31*'Retail Rates'!T$5*'Device Energy Use'!$E9+'Energy Usage'!T31*'Retail Rates'!T$6*(1-'Device Energy Use'!$E9)))/1000000</f>
        <v>0</v>
      </c>
      <c r="U81" s="122">
        <f>(('Energy Usage'!U31*'Retail Rates'!U$5*'Device Energy Use'!$E9+'Energy Usage'!U31*'Retail Rates'!U$6*(1-'Device Energy Use'!$E9)))/1000000</f>
        <v>0</v>
      </c>
      <c r="V81" s="122">
        <f>(('Energy Usage'!V31*'Retail Rates'!V$5*'Device Energy Use'!$E9+'Energy Usage'!V31*'Retail Rates'!V$6*(1-'Device Energy Use'!$E9)))/1000000</f>
        <v>0</v>
      </c>
      <c r="W81" s="122">
        <f>(('Energy Usage'!W31*'Retail Rates'!W$5*'Device Energy Use'!$E9+'Energy Usage'!W31*'Retail Rates'!W$6*(1-'Device Energy Use'!$E9)))/1000000</f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/>
  <dimension ref="A1:Y16"/>
  <sheetViews>
    <sheetView workbookViewId="0">
      <selection activeCell="A2" sqref="A2"/>
    </sheetView>
  </sheetViews>
  <sheetFormatPr defaultColWidth="9.140625" defaultRowHeight="15.75"/>
  <cols>
    <col min="1" max="1" width="54.5703125" style="9" customWidth="1"/>
    <col min="2" max="2" width="9.42578125" style="9" bestFit="1" customWidth="1"/>
    <col min="3" max="3" width="13.42578125" style="9" customWidth="1"/>
    <col min="4" max="13" width="11" style="9" bestFit="1" customWidth="1"/>
    <col min="14" max="23" width="12.7109375" style="9" bestFit="1" customWidth="1"/>
    <col min="24" max="25" width="9.140625" style="44"/>
    <col min="26" max="16384" width="9.140625" style="9"/>
  </cols>
  <sheetData>
    <row r="1" spans="1:25">
      <c r="A1" s="147" t="str">
        <f>CONCATENATE("Segment:  ",State,", Single Family, ", SpaceHeat, ", ", TankSize,", ", StartWH, " is starting water heater")</f>
        <v>Segment:  Oregon, Single Family, Gas FAF, &gt;55 Gallons, Electric Resistance is starting water heater</v>
      </c>
    </row>
    <row r="2" spans="1:25" s="148" customFormat="1">
      <c r="X2" s="149"/>
      <c r="Y2" s="149"/>
    </row>
    <row r="3" spans="1:25">
      <c r="A3" s="12" t="s">
        <v>148</v>
      </c>
      <c r="X3" s="9"/>
      <c r="Y3" s="9"/>
    </row>
    <row r="4" spans="1:25">
      <c r="B4" s="9">
        <f>'Energy Usage'!B10</f>
        <v>2014</v>
      </c>
      <c r="C4" s="9">
        <f>'Energy Usage'!C10</f>
        <v>2015</v>
      </c>
      <c r="D4" s="9">
        <f>'Energy Usage'!D10</f>
        <v>2016</v>
      </c>
      <c r="E4" s="9">
        <f>'Energy Usage'!E10</f>
        <v>2017</v>
      </c>
      <c r="F4" s="9">
        <f>'Energy Usage'!F10</f>
        <v>2018</v>
      </c>
      <c r="G4" s="9">
        <f>'Energy Usage'!G10</f>
        <v>2019</v>
      </c>
      <c r="H4" s="9">
        <f>'Energy Usage'!H10</f>
        <v>2020</v>
      </c>
      <c r="I4" s="9">
        <f>'Energy Usage'!I10</f>
        <v>2021</v>
      </c>
      <c r="J4" s="9">
        <f>'Energy Usage'!J10</f>
        <v>2022</v>
      </c>
      <c r="K4" s="9">
        <f>'Energy Usage'!K10</f>
        <v>2023</v>
      </c>
      <c r="L4" s="9">
        <f>'Energy Usage'!L10</f>
        <v>2024</v>
      </c>
      <c r="M4" s="9">
        <f>'Energy Usage'!M10</f>
        <v>2025</v>
      </c>
      <c r="N4" s="9">
        <f>'Energy Usage'!N10</f>
        <v>2026</v>
      </c>
      <c r="O4" s="9">
        <f>'Energy Usage'!O10</f>
        <v>2027</v>
      </c>
      <c r="P4" s="9">
        <f>'Energy Usage'!P10</f>
        <v>2028</v>
      </c>
      <c r="Q4" s="9">
        <f>'Energy Usage'!Q10</f>
        <v>2029</v>
      </c>
      <c r="R4" s="9">
        <f>'Energy Usage'!R10</f>
        <v>2030</v>
      </c>
      <c r="S4" s="9">
        <f>'Energy Usage'!S10</f>
        <v>2031</v>
      </c>
      <c r="T4" s="9">
        <f>'Energy Usage'!T10</f>
        <v>2032</v>
      </c>
      <c r="U4" s="9">
        <f>'Energy Usage'!U10</f>
        <v>2033</v>
      </c>
      <c r="V4" s="9">
        <f>'Energy Usage'!V10</f>
        <v>2034</v>
      </c>
      <c r="W4" s="9">
        <f>'Energy Usage'!W10</f>
        <v>2035</v>
      </c>
      <c r="X4" s="9"/>
      <c r="Y4" s="9"/>
    </row>
    <row r="5" spans="1:25">
      <c r="A5" s="9" t="s">
        <v>141</v>
      </c>
      <c r="B5" s="130">
        <f>'Energy Usage'!B13</f>
        <v>0</v>
      </c>
      <c r="C5" s="130">
        <f>'Energy Usage'!C13</f>
        <v>-1.1757051201119917E-2</v>
      </c>
      <c r="D5" s="130">
        <f>'Energy Usage'!D13</f>
        <v>-2.2688094070704358E-2</v>
      </c>
      <c r="E5" s="130">
        <f>'Energy Usage'!E13</f>
        <v>-3.2852020650770732E-2</v>
      </c>
      <c r="F5" s="130">
        <f>'Energy Usage'!F13</f>
        <v>-4.2303514147619098E-2</v>
      </c>
      <c r="G5" s="130">
        <f>'Energy Usage'!G13</f>
        <v>-5.1093349575519184E-2</v>
      </c>
      <c r="H5" s="130">
        <f>'Energy Usage'!H13</f>
        <v>-5.9268672926496527E-2</v>
      </c>
      <c r="I5" s="130">
        <f>'Energy Usage'!I13</f>
        <v>-6.687326040005874E-2</v>
      </c>
      <c r="J5" s="130">
        <f>'Energy Usage'!J13</f>
        <v>-7.39477591171427E-2</v>
      </c>
      <c r="K5" s="130">
        <f>'Energy Usage'!K13</f>
        <v>-8.0529910640828317E-2</v>
      </c>
      <c r="L5" s="130">
        <f>'Energy Usage'!L13</f>
        <v>-8.6654758531897358E-2</v>
      </c>
      <c r="M5" s="130">
        <f>'Energy Usage'!M13</f>
        <v>-9.2354841079595199E-2</v>
      </c>
      <c r="N5" s="130">
        <f>'Energy Usage'!N13</f>
        <v>-9.7660370266498583E-2</v>
      </c>
      <c r="O5" s="130">
        <f>'Energy Usage'!O13</f>
        <v>-0.10259939795075768</v>
      </c>
      <c r="P5" s="130">
        <f>'Energy Usage'!P13</f>
        <v>-0.10719797017874499</v>
      </c>
      <c r="Q5" s="130">
        <f>'Energy Usage'!Q13</f>
        <v>-0.11148027047592893</v>
      </c>
      <c r="R5" s="130">
        <f>'Energy Usage'!R13</f>
        <v>-0.11546875290322982</v>
      </c>
      <c r="S5" s="130">
        <f>'Energy Usage'!S13</f>
        <v>-0.11918426560988368</v>
      </c>
      <c r="T5" s="130">
        <f>'Energy Usage'!T13</f>
        <v>-0.12264616556162326</v>
      </c>
      <c r="U5" s="130">
        <f>'Energy Usage'!U13</f>
        <v>-0.12587242507449845</v>
      </c>
      <c r="V5" s="130">
        <f>'Energy Usage'!V13</f>
        <v>-0.12887973073963591</v>
      </c>
      <c r="W5" s="130">
        <f>'Energy Usage'!W13</f>
        <v>-0.13168357528242999</v>
      </c>
      <c r="X5" s="9"/>
      <c r="Y5" s="9"/>
    </row>
    <row r="6" spans="1:25">
      <c r="A6" s="41" t="s">
        <v>142</v>
      </c>
      <c r="B6" s="131">
        <f t="shared" ref="B6" si="0">B13*ConvertMMBTU/1000</f>
        <v>0</v>
      </c>
      <c r="C6" s="131">
        <f>C13</f>
        <v>-8.9407380344262814E-3</v>
      </c>
      <c r="D6" s="131">
        <f t="shared" ref="D6:W6" si="1">D13</f>
        <v>-1.7253705768402062E-2</v>
      </c>
      <c r="E6" s="131">
        <f t="shared" si="1"/>
        <v>-2.4983664539644287E-2</v>
      </c>
      <c r="F6" s="131">
        <f t="shared" si="1"/>
        <v>-3.2172176703056311E-2</v>
      </c>
      <c r="G6" s="131">
        <f t="shared" si="1"/>
        <v>-3.8857834137650434E-2</v>
      </c>
      <c r="H6" s="131">
        <f t="shared" si="1"/>
        <v>-4.5076470432034811E-2</v>
      </c>
      <c r="I6" s="131">
        <f t="shared" si="1"/>
        <v>-5.0861357914275027E-2</v>
      </c>
      <c r="J6" s="131">
        <f t="shared" si="1"/>
        <v>-5.624339060867075E-2</v>
      </c>
      <c r="K6" s="131">
        <f t="shared" si="1"/>
        <v>-6.125125412465892E-2</v>
      </c>
      <c r="L6" s="131">
        <f t="shared" si="1"/>
        <v>-6.5911583411259245E-2</v>
      </c>
      <c r="M6" s="131">
        <f t="shared" si="1"/>
        <v>-7.0249109243800317E-2</v>
      </c>
      <c r="N6" s="131">
        <f t="shared" si="1"/>
        <v>-7.4286794247757623E-2</v>
      </c>
      <c r="O6" s="131">
        <f t="shared" si="1"/>
        <v>-7.8045959207044865E-2</v>
      </c>
      <c r="P6" s="131">
        <f t="shared" si="1"/>
        <v>-8.1546400350719223E-2</v>
      </c>
      <c r="Q6" s="131">
        <f t="shared" si="1"/>
        <v>-8.4806498262492952E-2</v>
      </c>
      <c r="R6" s="131">
        <f t="shared" si="1"/>
        <v>-8.7843319011413457E-2</v>
      </c>
      <c r="S6" s="131">
        <f t="shared" si="1"/>
        <v>-9.0672708059335486E-2</v>
      </c>
      <c r="T6" s="131">
        <f t="shared" si="1"/>
        <v>-9.330937746112225E-2</v>
      </c>
      <c r="U6" s="131">
        <f t="shared" si="1"/>
        <v>-9.5766986836656479E-2</v>
      </c>
      <c r="V6" s="131">
        <f t="shared" si="1"/>
        <v>-9.8058218559525651E-2</v>
      </c>
      <c r="W6" s="131">
        <f t="shared" si="1"/>
        <v>-0.10019484757546815</v>
      </c>
      <c r="X6" s="9"/>
      <c r="Y6" s="9"/>
    </row>
    <row r="7" spans="1:25">
      <c r="A7" s="9" t="s">
        <v>144</v>
      </c>
      <c r="B7" s="130">
        <f t="shared" ref="B7:W7" si="2">B5-B6</f>
        <v>0</v>
      </c>
      <c r="C7" s="130">
        <f t="shared" si="2"/>
        <v>-2.8163131666936354E-3</v>
      </c>
      <c r="D7" s="130">
        <f t="shared" si="2"/>
        <v>-5.4343883023022961E-3</v>
      </c>
      <c r="E7" s="130">
        <f t="shared" si="2"/>
        <v>-7.8683561111264448E-3</v>
      </c>
      <c r="F7" s="130">
        <f t="shared" si="2"/>
        <v>-1.0131337444562787E-2</v>
      </c>
      <c r="G7" s="130">
        <f t="shared" si="2"/>
        <v>-1.2235515437868751E-2</v>
      </c>
      <c r="H7" s="130">
        <f t="shared" si="2"/>
        <v>-1.4192202494461716E-2</v>
      </c>
      <c r="I7" s="130">
        <f t="shared" si="2"/>
        <v>-1.6011902485783713E-2</v>
      </c>
      <c r="J7" s="130">
        <f t="shared" si="2"/>
        <v>-1.770436850847195E-2</v>
      </c>
      <c r="K7" s="130">
        <f t="shared" si="2"/>
        <v>-1.9278656516169397E-2</v>
      </c>
      <c r="L7" s="130">
        <f t="shared" si="2"/>
        <v>-2.0743175120638113E-2</v>
      </c>
      <c r="M7" s="130">
        <f t="shared" si="2"/>
        <v>-2.2105731835794881E-2</v>
      </c>
      <c r="N7" s="130">
        <f t="shared" si="2"/>
        <v>-2.337357601874096E-2</v>
      </c>
      <c r="O7" s="130">
        <f t="shared" si="2"/>
        <v>-2.455343874371281E-2</v>
      </c>
      <c r="P7" s="130">
        <f t="shared" si="2"/>
        <v>-2.5651569828025772E-2</v>
      </c>
      <c r="Q7" s="130">
        <f t="shared" si="2"/>
        <v>-2.6673772213435976E-2</v>
      </c>
      <c r="R7" s="130">
        <f t="shared" si="2"/>
        <v>-2.7625433891816362E-2</v>
      </c>
      <c r="S7" s="130">
        <f t="shared" si="2"/>
        <v>-2.8511557550548197E-2</v>
      </c>
      <c r="T7" s="130">
        <f t="shared" si="2"/>
        <v>-2.9336788100501013E-2</v>
      </c>
      <c r="U7" s="130">
        <f t="shared" si="2"/>
        <v>-3.0105438237841967E-2</v>
      </c>
      <c r="V7" s="130">
        <f t="shared" si="2"/>
        <v>-3.0821512180110255E-2</v>
      </c>
      <c r="W7" s="130">
        <f t="shared" si="2"/>
        <v>-3.1488727706961844E-2</v>
      </c>
      <c r="X7" s="9"/>
      <c r="Y7" s="9"/>
    </row>
    <row r="8" spans="1:25"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9"/>
      <c r="Y8" s="9"/>
    </row>
    <row r="9" spans="1:25" s="148" customFormat="1" ht="23.25" customHeight="1">
      <c r="A9" s="42" t="s">
        <v>146</v>
      </c>
      <c r="X9" s="149"/>
      <c r="Y9" s="149"/>
    </row>
    <row r="10" spans="1:25" s="148" customFormat="1">
      <c r="B10" s="148">
        <f>'Energy Usage'!B5</f>
        <v>2014</v>
      </c>
      <c r="C10" s="148">
        <f>'Energy Usage'!C5</f>
        <v>2015</v>
      </c>
      <c r="D10" s="148">
        <f>'Energy Usage'!D5</f>
        <v>2016</v>
      </c>
      <c r="E10" s="148">
        <f>'Energy Usage'!E5</f>
        <v>2017</v>
      </c>
      <c r="F10" s="148">
        <f>'Energy Usage'!F5</f>
        <v>2018</v>
      </c>
      <c r="G10" s="148">
        <f>'Energy Usage'!G5</f>
        <v>2019</v>
      </c>
      <c r="H10" s="148">
        <f>'Energy Usage'!H5</f>
        <v>2020</v>
      </c>
      <c r="I10" s="148">
        <f>'Energy Usage'!I5</f>
        <v>2021</v>
      </c>
      <c r="J10" s="148">
        <f>'Energy Usage'!J5</f>
        <v>2022</v>
      </c>
      <c r="K10" s="148">
        <f>'Energy Usage'!K5</f>
        <v>2023</v>
      </c>
      <c r="L10" s="148">
        <f>'Energy Usage'!L5</f>
        <v>2024</v>
      </c>
      <c r="M10" s="148">
        <f>'Energy Usage'!M5</f>
        <v>2025</v>
      </c>
      <c r="N10" s="148">
        <f>'Energy Usage'!N5</f>
        <v>2026</v>
      </c>
      <c r="O10" s="148">
        <f>'Energy Usage'!O5</f>
        <v>2027</v>
      </c>
      <c r="P10" s="148">
        <f>'Energy Usage'!P5</f>
        <v>2028</v>
      </c>
      <c r="Q10" s="148">
        <f>'Energy Usage'!Q5</f>
        <v>2029</v>
      </c>
      <c r="R10" s="148">
        <f>'Energy Usage'!R5</f>
        <v>2030</v>
      </c>
      <c r="S10" s="148">
        <f>'Energy Usage'!S5</f>
        <v>2031</v>
      </c>
      <c r="T10" s="148">
        <f>'Energy Usage'!T5</f>
        <v>2032</v>
      </c>
      <c r="U10" s="148">
        <f>'Energy Usage'!U5</f>
        <v>2033</v>
      </c>
      <c r="V10" s="148">
        <f>'Energy Usage'!V5</f>
        <v>2034</v>
      </c>
      <c r="W10" s="148">
        <f>'Energy Usage'!W5</f>
        <v>2035</v>
      </c>
      <c r="X10" s="149"/>
      <c r="Y10" s="149"/>
    </row>
    <row r="11" spans="1:25" s="148" customFormat="1">
      <c r="A11" s="148" t="s">
        <v>160</v>
      </c>
      <c r="B11" s="151">
        <f>-'Energy Usage'!B8/3412*1000000</f>
        <v>0</v>
      </c>
      <c r="C11" s="151">
        <f>-'Energy Usage'!C8/3412*1000000</f>
        <v>-1.3818760485975705</v>
      </c>
      <c r="D11" s="151">
        <f>-'Energy Usage'!D8/3412*1000000</f>
        <v>-2.6667242300466865</v>
      </c>
      <c r="E11" s="151">
        <f>-'Energy Usage'!E8/3412*1000000</f>
        <v>-3.8614628345663506</v>
      </c>
      <c r="F11" s="151">
        <f>-'Energy Usage'!F8/3412*1000000</f>
        <v>-4.9725157191740825</v>
      </c>
      <c r="G11" s="151">
        <f>-'Energy Usage'!G8/3412*1000000</f>
        <v>-6.0058476256028488</v>
      </c>
      <c r="H11" s="151">
        <f>-'Energy Usage'!H8/3412*1000000</f>
        <v>-6.9669969755849781</v>
      </c>
      <c r="I11" s="151">
        <f>-'Energy Usage'!I8/3412*1000000</f>
        <v>-7.8611063236901115</v>
      </c>
      <c r="J11" s="151">
        <f>-'Energy Usage'!J8/3412*1000000</f>
        <v>-8.6929506350341192</v>
      </c>
      <c r="K11" s="151">
        <f>-'Energy Usage'!K8/3412*1000000</f>
        <v>-9.4669635432239438</v>
      </c>
      <c r="L11" s="151">
        <f>-'Energy Usage'!L8/3412*1000000</f>
        <v>-10.187261732806682</v>
      </c>
      <c r="M11" s="151">
        <f>-'Energy Usage'!M8/3412*1000000</f>
        <v>-10.85766758018552</v>
      </c>
      <c r="N11" s="151">
        <f>-'Energy Usage'!N8/3412*1000000</f>
        <v>-11.481730177396852</v>
      </c>
      <c r="O11" s="151">
        <f>-'Energy Usage'!O8/3412*1000000</f>
        <v>-12.062744854257321</v>
      </c>
      <c r="P11" s="151">
        <f>-'Energy Usage'!P8/3412*1000000</f>
        <v>-12.603771306138984</v>
      </c>
      <c r="Q11" s="151">
        <f>-'Energy Usage'!Q8/3412*1000000</f>
        <v>-13.107650426969544</v>
      </c>
      <c r="R11" s="151">
        <f>-'Energy Usage'!R8/3412*1000000</f>
        <v>-13.577019939940257</v>
      </c>
      <c r="S11" s="151">
        <f>-'Energy Usage'!S8/3412*1000000</f>
        <v>-14.014328911798376</v>
      </c>
      <c r="T11" s="151">
        <f>-'Energy Usage'!T8/3412*1000000</f>
        <v>-14.421851230467118</v>
      </c>
      <c r="U11" s="151">
        <f>-'Energy Usage'!U8/3412*1000000</f>
        <v>-14.80169812003964</v>
      </c>
      <c r="V11" s="151">
        <f>-'Energy Usage'!V8/3412*1000000</f>
        <v>-15.155829761905046</v>
      </c>
      <c r="W11" s="151">
        <f>-'Energy Usage'!W8/3412*1000000</f>
        <v>-15.486066085852881</v>
      </c>
      <c r="X11" s="149"/>
      <c r="Y11" s="149"/>
    </row>
    <row r="12" spans="1:25" s="148" customFormat="1">
      <c r="A12" s="152" t="s">
        <v>145</v>
      </c>
      <c r="B12" s="152">
        <f t="shared" ref="B12:W12" si="3">HeatRate</f>
        <v>6470</v>
      </c>
      <c r="C12" s="152">
        <f t="shared" si="3"/>
        <v>6470</v>
      </c>
      <c r="D12" s="152">
        <f t="shared" si="3"/>
        <v>6470</v>
      </c>
      <c r="E12" s="152">
        <f t="shared" si="3"/>
        <v>6470</v>
      </c>
      <c r="F12" s="152">
        <f t="shared" si="3"/>
        <v>6470</v>
      </c>
      <c r="G12" s="152">
        <f t="shared" si="3"/>
        <v>6470</v>
      </c>
      <c r="H12" s="152">
        <f t="shared" si="3"/>
        <v>6470</v>
      </c>
      <c r="I12" s="152">
        <f t="shared" si="3"/>
        <v>6470</v>
      </c>
      <c r="J12" s="152">
        <f t="shared" si="3"/>
        <v>6470</v>
      </c>
      <c r="K12" s="152">
        <f t="shared" si="3"/>
        <v>6470</v>
      </c>
      <c r="L12" s="152">
        <f t="shared" si="3"/>
        <v>6470</v>
      </c>
      <c r="M12" s="152">
        <f t="shared" si="3"/>
        <v>6470</v>
      </c>
      <c r="N12" s="152">
        <f t="shared" si="3"/>
        <v>6470</v>
      </c>
      <c r="O12" s="152">
        <f t="shared" si="3"/>
        <v>6470</v>
      </c>
      <c r="P12" s="152">
        <f t="shared" si="3"/>
        <v>6470</v>
      </c>
      <c r="Q12" s="152">
        <f t="shared" si="3"/>
        <v>6470</v>
      </c>
      <c r="R12" s="152">
        <f t="shared" si="3"/>
        <v>6470</v>
      </c>
      <c r="S12" s="152">
        <f t="shared" si="3"/>
        <v>6470</v>
      </c>
      <c r="T12" s="152">
        <f t="shared" si="3"/>
        <v>6470</v>
      </c>
      <c r="U12" s="152">
        <f t="shared" si="3"/>
        <v>6470</v>
      </c>
      <c r="V12" s="152">
        <f t="shared" si="3"/>
        <v>6470</v>
      </c>
      <c r="W12" s="152">
        <f t="shared" si="3"/>
        <v>6470</v>
      </c>
      <c r="X12" s="149"/>
      <c r="Y12" s="149"/>
    </row>
    <row r="13" spans="1:25" s="148" customFormat="1">
      <c r="A13" s="148" t="s">
        <v>161</v>
      </c>
      <c r="B13" s="150">
        <f t="shared" ref="B13" si="4">B11*1000000000/HeatRate/1000</f>
        <v>0</v>
      </c>
      <c r="C13" s="150">
        <f t="shared" ref="C13:W13" si="5">C11*HeatRate/1000000</f>
        <v>-8.9407380344262814E-3</v>
      </c>
      <c r="D13" s="150">
        <f t="shared" si="5"/>
        <v>-1.7253705768402062E-2</v>
      </c>
      <c r="E13" s="150">
        <f t="shared" si="5"/>
        <v>-2.4983664539644287E-2</v>
      </c>
      <c r="F13" s="150">
        <f t="shared" si="5"/>
        <v>-3.2172176703056311E-2</v>
      </c>
      <c r="G13" s="150">
        <f t="shared" si="5"/>
        <v>-3.8857834137650434E-2</v>
      </c>
      <c r="H13" s="150">
        <f t="shared" si="5"/>
        <v>-4.5076470432034811E-2</v>
      </c>
      <c r="I13" s="150">
        <f t="shared" si="5"/>
        <v>-5.0861357914275027E-2</v>
      </c>
      <c r="J13" s="150">
        <f t="shared" si="5"/>
        <v>-5.624339060867075E-2</v>
      </c>
      <c r="K13" s="150">
        <f t="shared" si="5"/>
        <v>-6.125125412465892E-2</v>
      </c>
      <c r="L13" s="150">
        <f t="shared" si="5"/>
        <v>-6.5911583411259245E-2</v>
      </c>
      <c r="M13" s="150">
        <f t="shared" si="5"/>
        <v>-7.0249109243800317E-2</v>
      </c>
      <c r="N13" s="150">
        <f t="shared" si="5"/>
        <v>-7.4286794247757623E-2</v>
      </c>
      <c r="O13" s="150">
        <f t="shared" si="5"/>
        <v>-7.8045959207044865E-2</v>
      </c>
      <c r="P13" s="150">
        <f t="shared" si="5"/>
        <v>-8.1546400350719223E-2</v>
      </c>
      <c r="Q13" s="150">
        <f t="shared" si="5"/>
        <v>-8.4806498262492952E-2</v>
      </c>
      <c r="R13" s="150">
        <f t="shared" si="5"/>
        <v>-8.7843319011413457E-2</v>
      </c>
      <c r="S13" s="150">
        <f t="shared" si="5"/>
        <v>-9.0672708059335486E-2</v>
      </c>
      <c r="T13" s="150">
        <f t="shared" si="5"/>
        <v>-9.330937746112225E-2</v>
      </c>
      <c r="U13" s="150">
        <f t="shared" si="5"/>
        <v>-9.5766986836656479E-2</v>
      </c>
      <c r="V13" s="150">
        <f t="shared" si="5"/>
        <v>-9.8058218559525651E-2</v>
      </c>
      <c r="W13" s="150">
        <f t="shared" si="5"/>
        <v>-0.10019484757546815</v>
      </c>
      <c r="X13" s="149"/>
      <c r="Y13" s="149"/>
    </row>
    <row r="14" spans="1:25" s="148" customFormat="1">
      <c r="X14" s="149"/>
      <c r="Y14" s="149"/>
    </row>
    <row r="16" spans="1:25">
      <c r="B16" s="172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/>
  <dimension ref="A1:AG69"/>
  <sheetViews>
    <sheetView workbookViewId="0">
      <selection activeCell="A2" sqref="A2"/>
    </sheetView>
  </sheetViews>
  <sheetFormatPr defaultColWidth="9.140625" defaultRowHeight="15.75"/>
  <cols>
    <col min="1" max="1" width="35.7109375" style="9" customWidth="1"/>
    <col min="2" max="9" width="11.7109375" style="9" customWidth="1"/>
    <col min="10" max="11" width="11" style="9" bestFit="1" customWidth="1"/>
    <col min="12" max="12" width="12" style="9" bestFit="1" customWidth="1"/>
    <col min="13" max="28" width="11" style="9" bestFit="1" customWidth="1"/>
    <col min="29" max="29" width="14.28515625" style="9" bestFit="1" customWidth="1"/>
    <col min="30" max="31" width="11" style="9" bestFit="1" customWidth="1"/>
    <col min="32" max="16384" width="9.140625" style="9"/>
  </cols>
  <sheetData>
    <row r="1" spans="1:33">
      <c r="A1" s="147" t="str">
        <f>CONCATENATE("Segment:  ",State,", Single Family, ", SpaceHeat, ", ", TankSize,", ", StartWH, " is starting water heater")</f>
        <v>Segment:  Oregon, Single Family, Gas FAF, &gt;55 Gallons, Electric Resistance is starting water heater</v>
      </c>
    </row>
    <row r="3" spans="1:33" ht="24" customHeight="1">
      <c r="A3" s="25" t="s">
        <v>47</v>
      </c>
      <c r="AG3" s="12"/>
    </row>
    <row r="4" spans="1:33">
      <c r="A4" s="41"/>
      <c r="B4" s="41">
        <f t="shared" ref="B4:W4" si="0">B16</f>
        <v>2014</v>
      </c>
      <c r="C4" s="41">
        <f t="shared" si="0"/>
        <v>2015</v>
      </c>
      <c r="D4" s="41">
        <f t="shared" si="0"/>
        <v>2016</v>
      </c>
      <c r="E4" s="41">
        <f t="shared" si="0"/>
        <v>2017</v>
      </c>
      <c r="F4" s="41">
        <f t="shared" si="0"/>
        <v>2018</v>
      </c>
      <c r="G4" s="41">
        <f t="shared" si="0"/>
        <v>2019</v>
      </c>
      <c r="H4" s="41">
        <f t="shared" si="0"/>
        <v>2020</v>
      </c>
      <c r="I4" s="41">
        <f t="shared" si="0"/>
        <v>2021</v>
      </c>
      <c r="J4" s="41">
        <f t="shared" si="0"/>
        <v>2022</v>
      </c>
      <c r="K4" s="41">
        <f t="shared" si="0"/>
        <v>2023</v>
      </c>
      <c r="L4" s="41">
        <f t="shared" si="0"/>
        <v>2024</v>
      </c>
      <c r="M4" s="41">
        <f t="shared" si="0"/>
        <v>2025</v>
      </c>
      <c r="N4" s="41">
        <f t="shared" si="0"/>
        <v>2026</v>
      </c>
      <c r="O4" s="41">
        <f t="shared" si="0"/>
        <v>2027</v>
      </c>
      <c r="P4" s="41">
        <f t="shared" si="0"/>
        <v>2028</v>
      </c>
      <c r="Q4" s="41">
        <f t="shared" si="0"/>
        <v>2029</v>
      </c>
      <c r="R4" s="41">
        <f t="shared" si="0"/>
        <v>2030</v>
      </c>
      <c r="S4" s="41">
        <f t="shared" si="0"/>
        <v>2031</v>
      </c>
      <c r="T4" s="41">
        <f t="shared" si="0"/>
        <v>2032</v>
      </c>
      <c r="U4" s="41">
        <f t="shared" si="0"/>
        <v>2033</v>
      </c>
      <c r="V4" s="41">
        <f t="shared" si="0"/>
        <v>2034</v>
      </c>
      <c r="W4" s="41">
        <f t="shared" si="0"/>
        <v>2035</v>
      </c>
      <c r="X4" s="44"/>
    </row>
    <row r="5" spans="1:33">
      <c r="A5" s="74" t="s">
        <v>73</v>
      </c>
      <c r="B5" s="90">
        <f t="shared" ref="B5:W5" si="1">B4</f>
        <v>2014</v>
      </c>
      <c r="C5" s="90">
        <f t="shared" si="1"/>
        <v>2015</v>
      </c>
      <c r="D5" s="90">
        <f t="shared" si="1"/>
        <v>2016</v>
      </c>
      <c r="E5" s="90">
        <f t="shared" si="1"/>
        <v>2017</v>
      </c>
      <c r="F5" s="90">
        <f t="shared" si="1"/>
        <v>2018</v>
      </c>
      <c r="G5" s="90">
        <f t="shared" si="1"/>
        <v>2019</v>
      </c>
      <c r="H5" s="90">
        <f t="shared" si="1"/>
        <v>2020</v>
      </c>
      <c r="I5" s="90">
        <f t="shared" si="1"/>
        <v>2021</v>
      </c>
      <c r="J5" s="90">
        <f t="shared" si="1"/>
        <v>2022</v>
      </c>
      <c r="K5" s="90">
        <f t="shared" si="1"/>
        <v>2023</v>
      </c>
      <c r="L5" s="90">
        <f t="shared" si="1"/>
        <v>2024</v>
      </c>
      <c r="M5" s="90">
        <f t="shared" si="1"/>
        <v>2025</v>
      </c>
      <c r="N5" s="90">
        <f t="shared" si="1"/>
        <v>2026</v>
      </c>
      <c r="O5" s="90">
        <f t="shared" si="1"/>
        <v>2027</v>
      </c>
      <c r="P5" s="90">
        <f t="shared" si="1"/>
        <v>2028</v>
      </c>
      <c r="Q5" s="90">
        <f t="shared" si="1"/>
        <v>2029</v>
      </c>
      <c r="R5" s="90">
        <f t="shared" si="1"/>
        <v>2030</v>
      </c>
      <c r="S5" s="90">
        <f t="shared" si="1"/>
        <v>2031</v>
      </c>
      <c r="T5" s="90">
        <f t="shared" si="1"/>
        <v>2032</v>
      </c>
      <c r="U5" s="90">
        <f t="shared" si="1"/>
        <v>2033</v>
      </c>
      <c r="V5" s="90">
        <f t="shared" si="1"/>
        <v>2034</v>
      </c>
      <c r="W5" s="90">
        <f t="shared" si="1"/>
        <v>2035</v>
      </c>
      <c r="X5" s="44"/>
      <c r="Y5" s="44"/>
    </row>
    <row r="6" spans="1:33">
      <c r="A6" s="50" t="s">
        <v>80</v>
      </c>
      <c r="B6" s="89">
        <f>(B$18*'Device Energy Use'!$E$5+B$19*'Device Energy Use'!$E$6+'Energy Usage'!B$20*'Device Energy Use'!$E$7+'Energy Usage'!B$21*'Device Energy Use'!$E$8+'Energy Usage'!B$22*'Device Energy Use'!$E$9)/1000000</f>
        <v>0.24693791701429632</v>
      </c>
      <c r="C6" s="89">
        <f>(C$18*'Device Energy Use'!$E$5+C$19*'Device Energy Use'!$E$6+'Energy Usage'!C$20*'Device Energy Use'!$E$7+'Energy Usage'!C$21*'Device Energy Use'!$E$8+'Energy Usage'!C$22*'Device Energy Use'!$E$9)/1000000</f>
        <v>0.2342045604997576</v>
      </c>
      <c r="D6" s="89">
        <f>(D$18*'Device Energy Use'!$E$5+D$19*'Device Energy Use'!$E$6+'Energy Usage'!D$20*'Device Energy Use'!$E$7+'Energy Usage'!D$21*'Device Energy Use'!$E$8+'Energy Usage'!D$22*'Device Energy Use'!$E$9)/1000000</f>
        <v>0.22237500559912396</v>
      </c>
      <c r="E6" s="89">
        <f>(E$18*'Device Energy Use'!$E$5+E$19*'Device Energy Use'!$E$6+'Energy Usage'!E$20*'Device Energy Use'!$E$7+'Energy Usage'!E$21*'Device Energy Use'!$E$8+'Energy Usage'!E$22*'Device Energy Use'!$E$9)/1000000</f>
        <v>0.2113847369253686</v>
      </c>
      <c r="F6" s="89">
        <f>(F$18*'Device Energy Use'!$E$5+F$19*'Device Energy Use'!$E$6+'Energy Usage'!F$20*'Device Energy Use'!$E$7+'Energy Usage'!F$21*'Device Energy Use'!$E$8+'Energy Usage'!F$22*'Device Energy Use'!$E$9)/1000000</f>
        <v>0.20117384825331946</v>
      </c>
      <c r="G6" s="89">
        <f>(G$18*'Device Energy Use'!$E$5+G$19*'Device Energy Use'!$E$6+'Energy Usage'!G$20*'Device Energy Use'!$E$7+'Energy Usage'!G$21*'Device Energy Use'!$E$8+'Energy Usage'!G$22*'Device Energy Use'!$E$9)/1000000</f>
        <v>0.19168671328951467</v>
      </c>
      <c r="H6" s="89">
        <f>(H$18*'Device Energy Use'!$E$5+H$19*'Device Energy Use'!$E$6+'Energy Usage'!H$20*'Device Energy Use'!$E$7+'Energy Usage'!H$21*'Device Energy Use'!$E$8+'Energy Usage'!H$22*'Device Energy Use'!$E$9)/1000000</f>
        <v>0.18287167995823933</v>
      </c>
      <c r="I6" s="89">
        <f>(I$18*'Device Energy Use'!$E$5+I$19*'Device Energy Use'!$E$6+'Energy Usage'!I$20*'Device Energy Use'!$E$7+'Energy Usage'!I$21*'Device Energy Use'!$E$8+'Energy Usage'!I$22*'Device Energy Use'!$E$9)/1000000</f>
        <v>0.17468078652402086</v>
      </c>
      <c r="J6" s="89">
        <f>(J$18*'Device Energy Use'!$E$5+J$19*'Device Energy Use'!$E$6+'Energy Usage'!J$20*'Device Energy Use'!$E$7+'Energy Usage'!J$21*'Device Energy Use'!$E$8+'Energy Usage'!J$22*'Device Energy Use'!$E$9)/1000000</f>
        <v>0.1670694979908374</v>
      </c>
      <c r="K6" s="89">
        <f>(K$18*'Device Energy Use'!$E$5+K$19*'Device Energy Use'!$E$6+'Energy Usage'!K$20*'Device Energy Use'!$E$7+'Energy Usage'!K$21*'Device Energy Use'!$E$8+'Energy Usage'!K$22*'Device Energy Use'!$E$9)/1000000</f>
        <v>0.15999646132970727</v>
      </c>
      <c r="L6" s="89">
        <f>(L$18*'Device Energy Use'!$E$5+L$19*'Device Energy Use'!$E$6+'Energy Usage'!L$20*'Device Energy Use'!$E$7+'Energy Usage'!L$21*'Device Energy Use'!$E$8+'Energy Usage'!L$22*'Device Energy Use'!$E$9)/1000000</f>
        <v>0.1534232781897778</v>
      </c>
      <c r="M6" s="89">
        <f>(M$18*'Device Energy Use'!$E$5+M$19*'Device Energy Use'!$E$6+'Energy Usage'!M$20*'Device Energy Use'!$E$7+'Energy Usage'!M$21*'Device Energy Use'!$E$8+'Energy Usage'!M$22*'Device Energy Use'!$E$9)/1000000</f>
        <v>0.14731429384409617</v>
      </c>
      <c r="N6" s="89">
        <f>(N$18*'Device Energy Use'!$E$5+N$19*'Device Energy Use'!$E$6+'Energy Usage'!N$20*'Device Energy Use'!$E$7+'Energy Usage'!N$21*'Device Energy Use'!$E$8+'Energy Usage'!N$22*'Device Energy Use'!$E$9)/1000000</f>
        <v>0.14163640121044496</v>
      </c>
      <c r="O6" s="89">
        <f>(O$18*'Device Energy Use'!$E$5+O$19*'Device Energy Use'!$E$6+'Energy Usage'!O$20*'Device Energy Use'!$E$7+'Energy Usage'!O$21*'Device Energy Use'!$E$8+'Energy Usage'!O$22*'Device Energy Use'!$E$9)/1000000</f>
        <v>0.13635885887045709</v>
      </c>
      <c r="P6" s="89">
        <f>(P$18*'Device Energy Use'!$E$5+P$19*'Device Energy Use'!$E$6+'Energy Usage'!P$20*'Device Energy Use'!$E$7+'Energy Usage'!P$21*'Device Energy Use'!$E$8+'Energy Usage'!P$22*'Device Energy Use'!$E$9)/1000000</f>
        <v>0.13145312208713544</v>
      </c>
      <c r="Q6" s="89">
        <f>(Q$18*'Device Energy Use'!$E$5+Q$19*'Device Energy Use'!$E$6+'Energy Usage'!Q$20*'Device Energy Use'!$E$7+'Energy Usage'!Q$21*'Device Energy Use'!$E$8+'Energy Usage'!Q$22*'Device Energy Use'!$E$9)/1000000</f>
        <v>0.12689268589232452</v>
      </c>
      <c r="R6" s="89">
        <f>(R$18*'Device Energy Use'!$E$5+R$19*'Device Energy Use'!$E$6+'Energy Usage'!R$20*'Device Energy Use'!$E$7+'Energy Usage'!R$21*'Device Energy Use'!$E$8+'Energy Usage'!R$22*'Device Energy Use'!$E$9)/1000000</f>
        <v>0.12265293938199838</v>
      </c>
      <c r="S6" s="89">
        <f>(S$18*'Device Energy Use'!$E$5+S$19*'Device Energy Use'!$E$6+'Energy Usage'!S$20*'Device Energy Use'!$E$7+'Energy Usage'!S$21*'Device Energy Use'!$E$8+'Energy Usage'!S$22*'Device Energy Use'!$E$9)/1000000</f>
        <v>0.11871103041881052</v>
      </c>
      <c r="T6" s="89">
        <f>(T$18*'Device Energy Use'!$E$5+T$19*'Device Energy Use'!$E$6+'Energy Usage'!T$20*'Device Energy Use'!$E$7+'Energy Usage'!T$21*'Device Energy Use'!$E$8+'Energy Usage'!T$22*'Device Energy Use'!$E$9)/1000000</f>
        <v>0.11504573999853399</v>
      </c>
      <c r="U6" s="89">
        <f>(U$18*'Device Energy Use'!$E$5+U$19*'Device Energy Use'!$E$6+'Energy Usage'!U$20*'Device Energy Use'!$E$7+'Energy Usage'!U$21*'Device Energy Use'!$E$8+'Energy Usage'!U$22*'Device Energy Use'!$E$9)/1000000</f>
        <v>0.11163736559011796</v>
      </c>
      <c r="V6" s="89">
        <f>(V$18*'Device Energy Use'!$E$5+V$19*'Device Energy Use'!$E$6+'Energy Usage'!V$20*'Device Energy Use'!$E$7+'Energy Usage'!V$21*'Device Energy Use'!$E$8+'Energy Usage'!V$22*'Device Energy Use'!$E$9)/1000000</f>
        <v>0.1084676128083925</v>
      </c>
      <c r="W6" s="89">
        <f>(W$18*'Device Energy Use'!$E$5+W$19*'Device Energy Use'!$E$6+'Energy Usage'!W$20*'Device Energy Use'!$E$7+'Energy Usage'!W$21*'Device Energy Use'!$E$8+'Energy Usage'!W$22*'Device Energy Use'!$E$9)/1000000</f>
        <v>0.1055194948242361</v>
      </c>
      <c r="X6" s="44"/>
    </row>
    <row r="7" spans="1:33">
      <c r="A7" s="52" t="s">
        <v>94</v>
      </c>
      <c r="B7" s="91">
        <f>(B$27*'Device Energy Use'!$E$5+B$28*'Device Energy Use'!$E$6+'Energy Usage'!B$29*'Device Energy Use'!$E$7+'Energy Usage'!B$30*'Device Energy Use'!$E$8+'Energy Usage'!B$31*'Device Energy Use'!$E$9)/1000000</f>
        <v>0.24693791701429632</v>
      </c>
      <c r="C7" s="91">
        <f>(C$27*'Device Energy Use'!$E$5+C$28*'Device Energy Use'!$E$6+'Energy Usage'!C$29*'Device Energy Use'!$E$7+'Energy Usage'!C$30*'Device Energy Use'!$E$8+'Energy Usage'!C$31*'Device Energy Use'!$E$9)/1000000</f>
        <v>0.23891952157757251</v>
      </c>
      <c r="D7" s="91">
        <f>(D$27*'Device Energy Use'!$E$5+D$28*'Device Energy Use'!$E$6+'Energy Usage'!D$29*'Device Energy Use'!$E$7+'Energy Usage'!D$30*'Device Energy Use'!$E$8+'Energy Usage'!D$31*'Device Energy Use'!$E$9)/1000000</f>
        <v>0.23147386867204325</v>
      </c>
      <c r="E7" s="91">
        <f>(E$27*'Device Energy Use'!$E$5+E$28*'Device Energy Use'!$E$6+'Energy Usage'!E$29*'Device Energy Use'!$E$7+'Energy Usage'!E$30*'Device Energy Use'!$E$8+'Energy Usage'!E$31*'Device Energy Use'!$E$9)/1000000</f>
        <v>0.22456004811690899</v>
      </c>
      <c r="F7" s="91">
        <f>(F$27*'Device Energy Use'!$E$5+F$28*'Device Energy Use'!$E$6+'Energy Usage'!F$29*'Device Energy Use'!$E$7+'Energy Usage'!F$30*'Device Energy Use'!$E$8+'Energy Usage'!F$31*'Device Energy Use'!$E$9)/1000000</f>
        <v>0.21814007188714143</v>
      </c>
      <c r="G7" s="91">
        <f>(G$27*'Device Energy Use'!$E$5+G$28*'Device Energy Use'!$E$6+'Energy Usage'!G$29*'Device Energy Use'!$E$7+'Energy Usage'!G$30*'Device Energy Use'!$E$8+'Energy Usage'!G$31*'Device Energy Use'!$E$9)/1000000</f>
        <v>0.21217866538807159</v>
      </c>
      <c r="H7" s="91">
        <f>(H$27*'Device Energy Use'!$E$5+H$28*'Device Energy Use'!$E$6+'Energy Usage'!H$29*'Device Energy Use'!$E$7+'Energy Usage'!H$30*'Device Energy Use'!$E$8+'Energy Usage'!H$31*'Device Energy Use'!$E$9)/1000000</f>
        <v>0.20664307363893528</v>
      </c>
      <c r="I7" s="91">
        <f>(I$27*'Device Energy Use'!$E$5+I$28*'Device Energy Use'!$E$6+'Energy Usage'!I$29*'Device Energy Use'!$E$7+'Energy Usage'!I$30*'Device Energy Use'!$E$8+'Energy Usage'!I$31*'Device Energy Use'!$E$9)/1000000</f>
        <v>0.20150288130045152</v>
      </c>
      <c r="J7" s="91">
        <f>(J$27*'Device Energy Use'!$E$5+J$28*'Device Energy Use'!$E$6+'Energy Usage'!J$29*'Device Energy Use'!$E$7+'Energy Usage'!J$30*'Device Energy Use'!$E$8+'Energy Usage'!J$31*'Device Energy Use'!$E$9)/1000000</f>
        <v>0.19672984555757381</v>
      </c>
      <c r="K7" s="91">
        <f>(K$27*'Device Energy Use'!$E$5+K$28*'Device Energy Use'!$E$6+'Energy Usage'!K$29*'Device Energy Use'!$E$7+'Energy Usage'!K$30*'Device Energy Use'!$E$8+'Energy Usage'!K$31*'Device Energy Use'!$E$9)/1000000</f>
        <v>0.19229774093918736</v>
      </c>
      <c r="L7" s="91">
        <f>(L$27*'Device Energy Use'!$E$5+L$28*'Device Energy Use'!$E$6+'Energy Usage'!L$29*'Device Energy Use'!$E$7+'Energy Usage'!L$30*'Device Energy Use'!$E$8+'Energy Usage'!L$31*'Device Energy Use'!$E$9)/1000000</f>
        <v>0.1881822152221142</v>
      </c>
      <c r="M7" s="91">
        <f>(M$27*'Device Energy Use'!$E$5+M$28*'Device Energy Use'!$E$6+'Energy Usage'!M$29*'Device Energy Use'!$E$7+'Energy Usage'!M$30*'Device Energy Use'!$E$8+'Energy Usage'!M$31*'Device Energy Use'!$E$9)/1000000</f>
        <v>0.18436065562768916</v>
      </c>
      <c r="N7" s="91">
        <f>(N$27*'Device Energy Use'!$E$5+N$28*'Device Energy Use'!$E$6+'Energy Usage'!N$29*'Device Energy Use'!$E$7+'Energy Usage'!N$30*'Device Energy Use'!$E$8+'Energy Usage'!N$31*'Device Energy Use'!$E$9)/1000000</f>
        <v>0.18081206457572302</v>
      </c>
      <c r="O7" s="91">
        <f>(O$27*'Device Energy Use'!$E$5+O$28*'Device Energy Use'!$E$6+'Energy Usage'!O$29*'Device Energy Use'!$E$7+'Energy Usage'!O$30*'Device Energy Use'!$E$8+'Energy Usage'!O$31*'Device Energy Use'!$E$9)/1000000</f>
        <v>0.17751694431318307</v>
      </c>
      <c r="P7" s="91">
        <f>(P$27*'Device Energy Use'!$E$5+P$28*'Device Energy Use'!$E$6+'Energy Usage'!P$29*'Device Energy Use'!$E$7+'Energy Usage'!P$30*'Device Energy Use'!$E$8+'Energy Usage'!P$31*'Device Energy Use'!$E$9)/1000000</f>
        <v>0.17445718978368166</v>
      </c>
      <c r="Q7" s="91">
        <f>(Q$27*'Device Energy Use'!$E$5+Q$28*'Device Energy Use'!$E$6+'Energy Usage'!Q$29*'Device Energy Use'!$E$7+'Energy Usage'!Q$30*'Device Energy Use'!$E$8+'Energy Usage'!Q$31*'Device Energy Use'!$E$9)/1000000</f>
        <v>0.17161598914914461</v>
      </c>
      <c r="R7" s="91">
        <f>(R$27*'Device Energy Use'!$E$5+R$28*'Device Energy Use'!$E$6+'Energy Usage'!R$29*'Device Energy Use'!$E$7+'Energy Usage'!R$30*'Device Energy Use'!$E$8+'Energy Usage'!R$31*'Device Energy Use'!$E$9)/1000000</f>
        <v>0.16897773141707453</v>
      </c>
      <c r="S7" s="91">
        <f>(S$27*'Device Energy Use'!$E$5+S$28*'Device Energy Use'!$E$6+'Energy Usage'!S$29*'Device Energy Use'!$E$7+'Energy Usage'!S$30*'Device Energy Use'!$E$8+'Energy Usage'!S$31*'Device Energy Use'!$E$9)/1000000</f>
        <v>0.16652792066586658</v>
      </c>
      <c r="T7" s="91">
        <f>(T$27*'Device Energy Use'!$E$5+T$28*'Device Energy Use'!$E$6+'Energy Usage'!T$29*'Device Energy Use'!$E$7+'Energy Usage'!T$30*'Device Energy Use'!$E$8+'Energy Usage'!T$31*'Device Energy Use'!$E$9)/1000000</f>
        <v>0.16425309639688779</v>
      </c>
      <c r="U7" s="91">
        <f>(U$27*'Device Energy Use'!$E$5+U$28*'Device Energy Use'!$E$6+'Energy Usage'!U$29*'Device Energy Use'!$E$7+'Energy Usage'!U$30*'Device Energy Use'!$E$8+'Energy Usage'!U$31*'Device Energy Use'!$E$9)/1000000</f>
        <v>0.16214075957569321</v>
      </c>
      <c r="V7" s="91">
        <f>(V$27*'Device Energy Use'!$E$5+V$28*'Device Energy Use'!$E$6+'Energy Usage'!V$29*'Device Energy Use'!$E$7+'Energy Usage'!V$30*'Device Energy Use'!$E$8+'Energy Usage'!V$31*'Device Energy Use'!$E$9)/1000000</f>
        <v>0.16017930395601251</v>
      </c>
      <c r="W7" s="91">
        <f>(W$27*'Device Energy Use'!$E$5+W$28*'Device Energy Use'!$E$6+'Energy Usage'!W$29*'Device Energy Use'!$E$7+'Energy Usage'!W$30*'Device Energy Use'!$E$8+'Energy Usage'!W$31*'Device Energy Use'!$E$9)/1000000</f>
        <v>0.15835795230916613</v>
      </c>
      <c r="X7" s="44"/>
    </row>
    <row r="8" spans="1:33">
      <c r="A8" s="34" t="s">
        <v>75</v>
      </c>
      <c r="B8" s="89">
        <f t="shared" ref="B8:W8" si="2">B7-B6</f>
        <v>0</v>
      </c>
      <c r="C8" s="89">
        <f t="shared" si="2"/>
        <v>4.7149610778149109E-3</v>
      </c>
      <c r="D8" s="89">
        <f t="shared" si="2"/>
        <v>9.0988630729192943E-3</v>
      </c>
      <c r="E8" s="89">
        <f t="shared" si="2"/>
        <v>1.317531119154039E-2</v>
      </c>
      <c r="F8" s="89">
        <f t="shared" si="2"/>
        <v>1.696622363382197E-2</v>
      </c>
      <c r="G8" s="89">
        <f t="shared" si="2"/>
        <v>2.049195209855692E-2</v>
      </c>
      <c r="H8" s="89">
        <f t="shared" si="2"/>
        <v>2.3771393680695946E-2</v>
      </c>
      <c r="I8" s="89">
        <f t="shared" si="2"/>
        <v>2.6822094776430661E-2</v>
      </c>
      <c r="J8" s="89">
        <f t="shared" si="2"/>
        <v>2.9660347566736411E-2</v>
      </c>
      <c r="K8" s="89">
        <f t="shared" si="2"/>
        <v>3.2301279609480094E-2</v>
      </c>
      <c r="L8" s="89">
        <f t="shared" si="2"/>
        <v>3.4758937032336401E-2</v>
      </c>
      <c r="M8" s="89">
        <f t="shared" si="2"/>
        <v>3.7046361783592996E-2</v>
      </c>
      <c r="N8" s="89">
        <f t="shared" si="2"/>
        <v>3.9175663365278057E-2</v>
      </c>
      <c r="O8" s="89">
        <f t="shared" si="2"/>
        <v>4.1158085442725978E-2</v>
      </c>
      <c r="P8" s="89">
        <f t="shared" si="2"/>
        <v>4.3004067696546217E-2</v>
      </c>
      <c r="Q8" s="89">
        <f t="shared" si="2"/>
        <v>4.4723303256820085E-2</v>
      </c>
      <c r="R8" s="89">
        <f t="shared" si="2"/>
        <v>4.6324792035076154E-2</v>
      </c>
      <c r="S8" s="89">
        <f t="shared" si="2"/>
        <v>4.7816890247056057E-2</v>
      </c>
      <c r="T8" s="89">
        <f t="shared" si="2"/>
        <v>4.9207356398353802E-2</v>
      </c>
      <c r="U8" s="89">
        <f t="shared" si="2"/>
        <v>5.0503393985575254E-2</v>
      </c>
      <c r="V8" s="89">
        <f t="shared" si="2"/>
        <v>5.1711691147620018E-2</v>
      </c>
      <c r="W8" s="89">
        <f t="shared" si="2"/>
        <v>5.2838457484930032E-2</v>
      </c>
      <c r="X8" s="44"/>
    </row>
    <row r="9" spans="1:33">
      <c r="A9" s="50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4"/>
    </row>
    <row r="10" spans="1:33">
      <c r="A10" s="74" t="s">
        <v>74</v>
      </c>
      <c r="B10" s="44">
        <f t="shared" ref="B10:W10" si="3">B4</f>
        <v>2014</v>
      </c>
      <c r="C10" s="44">
        <f t="shared" si="3"/>
        <v>2015</v>
      </c>
      <c r="D10" s="44">
        <f t="shared" si="3"/>
        <v>2016</v>
      </c>
      <c r="E10" s="44">
        <f t="shared" si="3"/>
        <v>2017</v>
      </c>
      <c r="F10" s="44">
        <f t="shared" si="3"/>
        <v>2018</v>
      </c>
      <c r="G10" s="44">
        <f t="shared" si="3"/>
        <v>2019</v>
      </c>
      <c r="H10" s="44">
        <f t="shared" si="3"/>
        <v>2020</v>
      </c>
      <c r="I10" s="44">
        <f t="shared" si="3"/>
        <v>2021</v>
      </c>
      <c r="J10" s="44">
        <f t="shared" si="3"/>
        <v>2022</v>
      </c>
      <c r="K10" s="44">
        <f t="shared" si="3"/>
        <v>2023</v>
      </c>
      <c r="L10" s="44">
        <f t="shared" si="3"/>
        <v>2024</v>
      </c>
      <c r="M10" s="44">
        <f t="shared" si="3"/>
        <v>2025</v>
      </c>
      <c r="N10" s="44">
        <f t="shared" si="3"/>
        <v>2026</v>
      </c>
      <c r="O10" s="44">
        <f t="shared" si="3"/>
        <v>2027</v>
      </c>
      <c r="P10" s="44">
        <f t="shared" si="3"/>
        <v>2028</v>
      </c>
      <c r="Q10" s="44">
        <f t="shared" si="3"/>
        <v>2029</v>
      </c>
      <c r="R10" s="44">
        <f t="shared" si="3"/>
        <v>2030</v>
      </c>
      <c r="S10" s="44">
        <f t="shared" si="3"/>
        <v>2031</v>
      </c>
      <c r="T10" s="44">
        <f t="shared" si="3"/>
        <v>2032</v>
      </c>
      <c r="U10" s="44">
        <f t="shared" si="3"/>
        <v>2033</v>
      </c>
      <c r="V10" s="44">
        <f t="shared" si="3"/>
        <v>2034</v>
      </c>
      <c r="W10" s="44">
        <f t="shared" si="3"/>
        <v>2035</v>
      </c>
      <c r="X10" s="44"/>
    </row>
    <row r="11" spans="1:33">
      <c r="A11" s="50" t="s">
        <v>81</v>
      </c>
      <c r="B11" s="89">
        <f t="shared" ref="B11:W11" si="4">B54/1000000</f>
        <v>0</v>
      </c>
      <c r="C11" s="89">
        <f t="shared" si="4"/>
        <v>1.1757051201119917E-2</v>
      </c>
      <c r="D11" s="89">
        <f t="shared" si="4"/>
        <v>2.2688094070704358E-2</v>
      </c>
      <c r="E11" s="89">
        <f t="shared" si="4"/>
        <v>3.2852020650770732E-2</v>
      </c>
      <c r="F11" s="89">
        <f t="shared" si="4"/>
        <v>4.2303514147619098E-2</v>
      </c>
      <c r="G11" s="89">
        <f t="shared" si="4"/>
        <v>5.1093349575519184E-2</v>
      </c>
      <c r="H11" s="89">
        <f t="shared" si="4"/>
        <v>5.9268672926496527E-2</v>
      </c>
      <c r="I11" s="89">
        <f t="shared" si="4"/>
        <v>6.687326040005874E-2</v>
      </c>
      <c r="J11" s="89">
        <f t="shared" si="4"/>
        <v>7.39477591171427E-2</v>
      </c>
      <c r="K11" s="89">
        <f t="shared" si="4"/>
        <v>8.0529910640828317E-2</v>
      </c>
      <c r="L11" s="89">
        <f t="shared" si="4"/>
        <v>8.6654758531897358E-2</v>
      </c>
      <c r="M11" s="89">
        <f t="shared" si="4"/>
        <v>9.2354841079595199E-2</v>
      </c>
      <c r="N11" s="89">
        <f t="shared" si="4"/>
        <v>9.7660370266498583E-2</v>
      </c>
      <c r="O11" s="89">
        <f t="shared" si="4"/>
        <v>0.10259939795075768</v>
      </c>
      <c r="P11" s="89">
        <f t="shared" si="4"/>
        <v>0.10719797017874499</v>
      </c>
      <c r="Q11" s="89">
        <f t="shared" si="4"/>
        <v>0.11148027047592893</v>
      </c>
      <c r="R11" s="89">
        <f t="shared" si="4"/>
        <v>0.11546875290322982</v>
      </c>
      <c r="S11" s="89">
        <f t="shared" si="4"/>
        <v>0.11918426560988368</v>
      </c>
      <c r="T11" s="89">
        <f t="shared" si="4"/>
        <v>0.12264616556162326</v>
      </c>
      <c r="U11" s="89">
        <f t="shared" si="4"/>
        <v>0.12587242507449845</v>
      </c>
      <c r="V11" s="89">
        <f t="shared" si="4"/>
        <v>0.12887973073963591</v>
      </c>
      <c r="W11" s="89">
        <f t="shared" si="4"/>
        <v>0.13168357528242999</v>
      </c>
      <c r="X11" s="44"/>
    </row>
    <row r="12" spans="1:33">
      <c r="A12" s="52" t="s">
        <v>96</v>
      </c>
      <c r="B12" s="91">
        <f t="shared" ref="B12:W12" si="5">B63/1000000</f>
        <v>0</v>
      </c>
      <c r="C12" s="91">
        <f t="shared" si="5"/>
        <v>0</v>
      </c>
      <c r="D12" s="91">
        <f t="shared" si="5"/>
        <v>0</v>
      </c>
      <c r="E12" s="91">
        <f t="shared" si="5"/>
        <v>0</v>
      </c>
      <c r="F12" s="91">
        <f t="shared" si="5"/>
        <v>0</v>
      </c>
      <c r="G12" s="91">
        <f t="shared" si="5"/>
        <v>0</v>
      </c>
      <c r="H12" s="91">
        <f t="shared" si="5"/>
        <v>0</v>
      </c>
      <c r="I12" s="91">
        <f t="shared" si="5"/>
        <v>0</v>
      </c>
      <c r="J12" s="91">
        <f t="shared" si="5"/>
        <v>0</v>
      </c>
      <c r="K12" s="91">
        <f t="shared" si="5"/>
        <v>0</v>
      </c>
      <c r="L12" s="91">
        <f t="shared" si="5"/>
        <v>0</v>
      </c>
      <c r="M12" s="91">
        <f t="shared" si="5"/>
        <v>0</v>
      </c>
      <c r="N12" s="91">
        <f t="shared" si="5"/>
        <v>0</v>
      </c>
      <c r="O12" s="91">
        <f t="shared" si="5"/>
        <v>0</v>
      </c>
      <c r="P12" s="91">
        <f t="shared" si="5"/>
        <v>0</v>
      </c>
      <c r="Q12" s="91">
        <f t="shared" si="5"/>
        <v>0</v>
      </c>
      <c r="R12" s="91">
        <f t="shared" si="5"/>
        <v>0</v>
      </c>
      <c r="S12" s="91">
        <f t="shared" si="5"/>
        <v>0</v>
      </c>
      <c r="T12" s="91">
        <f t="shared" si="5"/>
        <v>0</v>
      </c>
      <c r="U12" s="91">
        <f t="shared" si="5"/>
        <v>0</v>
      </c>
      <c r="V12" s="91">
        <f t="shared" si="5"/>
        <v>0</v>
      </c>
      <c r="W12" s="91">
        <f t="shared" si="5"/>
        <v>0</v>
      </c>
      <c r="X12" s="44"/>
    </row>
    <row r="13" spans="1:33">
      <c r="A13" s="34" t="s">
        <v>75</v>
      </c>
      <c r="B13" s="89">
        <f t="shared" ref="B13:W13" si="6">B12-B11</f>
        <v>0</v>
      </c>
      <c r="C13" s="89">
        <f t="shared" si="6"/>
        <v>-1.1757051201119917E-2</v>
      </c>
      <c r="D13" s="89">
        <f t="shared" si="6"/>
        <v>-2.2688094070704358E-2</v>
      </c>
      <c r="E13" s="89">
        <f t="shared" si="6"/>
        <v>-3.2852020650770732E-2</v>
      </c>
      <c r="F13" s="89">
        <f t="shared" si="6"/>
        <v>-4.2303514147619098E-2</v>
      </c>
      <c r="G13" s="89">
        <f t="shared" si="6"/>
        <v>-5.1093349575519184E-2</v>
      </c>
      <c r="H13" s="89">
        <f t="shared" si="6"/>
        <v>-5.9268672926496527E-2</v>
      </c>
      <c r="I13" s="89">
        <f t="shared" si="6"/>
        <v>-6.687326040005874E-2</v>
      </c>
      <c r="J13" s="89">
        <f t="shared" si="6"/>
        <v>-7.39477591171427E-2</v>
      </c>
      <c r="K13" s="89">
        <f t="shared" si="6"/>
        <v>-8.0529910640828317E-2</v>
      </c>
      <c r="L13" s="89">
        <f t="shared" si="6"/>
        <v>-8.6654758531897358E-2</v>
      </c>
      <c r="M13" s="89">
        <f t="shared" si="6"/>
        <v>-9.2354841079595199E-2</v>
      </c>
      <c r="N13" s="89">
        <f t="shared" si="6"/>
        <v>-9.7660370266498583E-2</v>
      </c>
      <c r="O13" s="89">
        <f t="shared" si="6"/>
        <v>-0.10259939795075768</v>
      </c>
      <c r="P13" s="89">
        <f t="shared" si="6"/>
        <v>-0.10719797017874499</v>
      </c>
      <c r="Q13" s="89">
        <f t="shared" si="6"/>
        <v>-0.11148027047592893</v>
      </c>
      <c r="R13" s="89">
        <f t="shared" si="6"/>
        <v>-0.11546875290322982</v>
      </c>
      <c r="S13" s="89">
        <f t="shared" si="6"/>
        <v>-0.11918426560988368</v>
      </c>
      <c r="T13" s="89">
        <f t="shared" si="6"/>
        <v>-0.12264616556162326</v>
      </c>
      <c r="U13" s="89">
        <f t="shared" si="6"/>
        <v>-0.12587242507449845</v>
      </c>
      <c r="V13" s="89">
        <f t="shared" si="6"/>
        <v>-0.12887973073963591</v>
      </c>
      <c r="W13" s="89">
        <f t="shared" si="6"/>
        <v>-0.13168357528242999</v>
      </c>
      <c r="X13" s="44"/>
    </row>
    <row r="14" spans="1:33">
      <c r="A14" s="51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</row>
    <row r="15" spans="1:33">
      <c r="A15" s="12" t="s">
        <v>43</v>
      </c>
    </row>
    <row r="16" spans="1:33">
      <c r="A16" s="38" t="str">
        <f>'Device Energy Use'!A4</f>
        <v>Water Heat Ending</v>
      </c>
      <c r="B16" s="41">
        <f>'Water Heater Stock'!B4</f>
        <v>2014</v>
      </c>
      <c r="C16" s="41">
        <f>'Water Heater Stock'!C4</f>
        <v>2015</v>
      </c>
      <c r="D16" s="41">
        <f>'Water Heater Stock'!D4</f>
        <v>2016</v>
      </c>
      <c r="E16" s="41">
        <f>'Water Heater Stock'!E4</f>
        <v>2017</v>
      </c>
      <c r="F16" s="41">
        <f>'Water Heater Stock'!F4</f>
        <v>2018</v>
      </c>
      <c r="G16" s="41">
        <f>'Water Heater Stock'!G4</f>
        <v>2019</v>
      </c>
      <c r="H16" s="41">
        <f>'Water Heater Stock'!H4</f>
        <v>2020</v>
      </c>
      <c r="I16" s="41">
        <f>'Water Heater Stock'!I4</f>
        <v>2021</v>
      </c>
      <c r="J16" s="41">
        <f>'Water Heater Stock'!J4</f>
        <v>2022</v>
      </c>
      <c r="K16" s="41">
        <f>'Water Heater Stock'!K4</f>
        <v>2023</v>
      </c>
      <c r="L16" s="41">
        <f>'Water Heater Stock'!L4</f>
        <v>2024</v>
      </c>
      <c r="M16" s="41">
        <f>'Water Heater Stock'!M4</f>
        <v>2025</v>
      </c>
      <c r="N16" s="41">
        <f>'Water Heater Stock'!N4</f>
        <v>2026</v>
      </c>
      <c r="O16" s="41">
        <f>'Water Heater Stock'!O4</f>
        <v>2027</v>
      </c>
      <c r="P16" s="41">
        <f>'Water Heater Stock'!P4</f>
        <v>2028</v>
      </c>
      <c r="Q16" s="41">
        <f>'Water Heater Stock'!Q4</f>
        <v>2029</v>
      </c>
      <c r="R16" s="41">
        <f>'Water Heater Stock'!R4</f>
        <v>2030</v>
      </c>
      <c r="S16" s="41">
        <f>'Water Heater Stock'!S4</f>
        <v>2031</v>
      </c>
      <c r="T16" s="41">
        <f>'Water Heater Stock'!T4</f>
        <v>2032</v>
      </c>
      <c r="U16" s="41">
        <f>'Water Heater Stock'!U4</f>
        <v>2033</v>
      </c>
      <c r="V16" s="41">
        <f>'Water Heater Stock'!V4</f>
        <v>2034</v>
      </c>
      <c r="W16" s="41">
        <f>'Water Heater Stock'!W4</f>
        <v>2035</v>
      </c>
    </row>
    <row r="17" spans="1:23" ht="16.5" thickBot="1">
      <c r="A17" s="48" t="s">
        <v>44</v>
      </c>
      <c r="B17" s="49">
        <f t="shared" ref="B17:W17" si="7">SUM(B18:B22)</f>
        <v>246937.91701429631</v>
      </c>
      <c r="C17" s="49">
        <f t="shared" si="7"/>
        <v>245961.61170087755</v>
      </c>
      <c r="D17" s="49">
        <f t="shared" si="7"/>
        <v>245063.09966982831</v>
      </c>
      <c r="E17" s="49">
        <f t="shared" si="7"/>
        <v>244236.75757613935</v>
      </c>
      <c r="F17" s="49">
        <f t="shared" si="7"/>
        <v>243477.36240093858</v>
      </c>
      <c r="G17" s="49">
        <f t="shared" si="7"/>
        <v>242780.06286503386</v>
      </c>
      <c r="H17" s="49">
        <f t="shared" si="7"/>
        <v>242140.35288473585</v>
      </c>
      <c r="I17" s="49">
        <f t="shared" si="7"/>
        <v>241554.04692407959</v>
      </c>
      <c r="J17" s="49">
        <f t="shared" si="7"/>
        <v>241017.25710798011</v>
      </c>
      <c r="K17" s="49">
        <f t="shared" si="7"/>
        <v>240526.37197053558</v>
      </c>
      <c r="L17" s="49">
        <f t="shared" si="7"/>
        <v>240078.03672167513</v>
      </c>
      <c r="M17" s="49">
        <f t="shared" si="7"/>
        <v>239669.13492369137</v>
      </c>
      <c r="N17" s="49">
        <f t="shared" si="7"/>
        <v>239296.77147694354</v>
      </c>
      <c r="O17" s="49">
        <f t="shared" si="7"/>
        <v>238958.2568212148</v>
      </c>
      <c r="P17" s="49">
        <f t="shared" si="7"/>
        <v>238651.09226588043</v>
      </c>
      <c r="Q17" s="49">
        <f t="shared" si="7"/>
        <v>238372.95636825345</v>
      </c>
      <c r="R17" s="49">
        <f t="shared" si="7"/>
        <v>238121.69228522817</v>
      </c>
      <c r="S17" s="49">
        <f t="shared" si="7"/>
        <v>237895.2960286942</v>
      </c>
      <c r="T17" s="49">
        <f t="shared" si="7"/>
        <v>237691.90556015726</v>
      </c>
      <c r="U17" s="49">
        <f t="shared" si="7"/>
        <v>237509.79066461639</v>
      </c>
      <c r="V17" s="49">
        <f t="shared" si="7"/>
        <v>237347.34354802838</v>
      </c>
      <c r="W17" s="49">
        <f t="shared" si="7"/>
        <v>237203.07010666607</v>
      </c>
    </row>
    <row r="18" spans="1:23" ht="16.5" thickTop="1">
      <c r="A18" s="9" t="str">
        <f>'Device Energy Use'!A5</f>
        <v>Electric Resistance</v>
      </c>
      <c r="B18" s="33">
        <f>'Water Heater Stock'!B6*'Device Energy Use'!$D5</f>
        <v>246937.91701429631</v>
      </c>
      <c r="C18" s="33">
        <f>'Water Heater Stock'!C6*'Device Energy Use'!$D5</f>
        <v>229299.80126279054</v>
      </c>
      <c r="D18" s="33">
        <f>'Water Heater Stock'!D6*'Device Energy Use'!$D5</f>
        <v>212921.54767303122</v>
      </c>
      <c r="E18" s="33">
        <f>'Water Heater Stock'!E6*'Device Energy Use'!$D5</f>
        <v>197713.1661402577</v>
      </c>
      <c r="F18" s="33">
        <f>'Water Heater Stock'!F6*'Device Energy Use'!$D5</f>
        <v>183591.09442367248</v>
      </c>
      <c r="G18" s="33">
        <f>'Water Heater Stock'!G6*'Device Energy Use'!$D5</f>
        <v>170477.73901330677</v>
      </c>
      <c r="H18" s="33">
        <f>'Water Heater Stock'!H6*'Device Energy Use'!$D5</f>
        <v>158301.04879210974</v>
      </c>
      <c r="I18" s="33">
        <f>'Water Heater Stock'!I6*'Device Energy Use'!$D5</f>
        <v>146994.11915074635</v>
      </c>
      <c r="J18" s="33">
        <f>'Water Heater Stock'!J6*'Device Energy Use'!$D5</f>
        <v>136494.82437990911</v>
      </c>
      <c r="K18" s="33">
        <f>'Water Heater Stock'!K6*'Device Energy Use'!$D5</f>
        <v>126745.47632032222</v>
      </c>
      <c r="L18" s="33">
        <f>'Water Heater Stock'!L6*'Device Energy Use'!$D5</f>
        <v>117692.50739488823</v>
      </c>
      <c r="M18" s="33">
        <f>'Water Heater Stock'!M6*'Device Energy Use'!$D5</f>
        <v>109286.17628139579</v>
      </c>
      <c r="N18" s="33">
        <f>'Water Heater Stock'!N6*'Device Energy Use'!$D5</f>
        <v>101480.29460860531</v>
      </c>
      <c r="O18" s="33">
        <f>'Water Heater Stock'!O6*'Device Energy Use'!$D5</f>
        <v>94231.973174043043</v>
      </c>
      <c r="P18" s="33">
        <f>'Water Heater Stock'!P6*'Device Energy Use'!$D5</f>
        <v>87501.386289095361</v>
      </c>
      <c r="Q18" s="33">
        <f>'Water Heater Stock'!Q6*'Device Energy Use'!$D5</f>
        <v>81251.55295659657</v>
      </c>
      <c r="R18" s="33">
        <f>'Water Heater Stock'!R6*'Device Energy Use'!$D5</f>
        <v>75448.133678588871</v>
      </c>
      <c r="S18" s="33">
        <f>'Water Heater Stock'!S6*'Device Energy Use'!$D5</f>
        <v>70059.241777813862</v>
      </c>
      <c r="T18" s="33">
        <f>'Water Heater Stock'!T6*'Device Energy Use'!$D5</f>
        <v>65055.268196240439</v>
      </c>
      <c r="U18" s="33">
        <f>'Water Heater Stock'!U6*'Device Energy Use'!$D5</f>
        <v>60408.718807983394</v>
      </c>
      <c r="V18" s="33">
        <f>'Water Heater Stock'!V6*'Device Energy Use'!$D5</f>
        <v>56094.063352728052</v>
      </c>
      <c r="W18" s="33">
        <f>'Water Heater Stock'!W6*'Device Energy Use'!$D5</f>
        <v>52087.595159624383</v>
      </c>
    </row>
    <row r="19" spans="1:23">
      <c r="A19" s="9" t="str">
        <f>'Device Energy Use'!A6</f>
        <v>HPWH</v>
      </c>
      <c r="B19" s="33">
        <f>'Water Heater Stock'!B7*'Device Energy Use'!$D6</f>
        <v>0</v>
      </c>
      <c r="C19" s="33">
        <f>'Water Heater Stock'!C7*'Device Energy Use'!$D6</f>
        <v>4904.7592369670701</v>
      </c>
      <c r="D19" s="33">
        <f>'Water Heater Stock'!D7*'Device Energy Use'!$D6</f>
        <v>9453.4579260927421</v>
      </c>
      <c r="E19" s="33">
        <f>'Water Heater Stock'!E7*'Device Energy Use'!$D6</f>
        <v>13671.570785110889</v>
      </c>
      <c r="F19" s="33">
        <f>'Water Heater Stock'!F7*'Device Energy Use'!$D6</f>
        <v>17582.75382964699</v>
      </c>
      <c r="G19" s="33">
        <f>'Water Heater Stock'!G7*'Device Energy Use'!$D6</f>
        <v>21208.974276207919</v>
      </c>
      <c r="H19" s="33">
        <f>'Water Heater Stock'!H7*'Device Energy Use'!$D6</f>
        <v>24570.631166129617</v>
      </c>
      <c r="I19" s="33">
        <f>'Water Heater Stock'!I7*'Device Energy Use'!$D6</f>
        <v>27686.667373274522</v>
      </c>
      <c r="J19" s="33">
        <f>'Water Heater Stock'!J7*'Device Energy Use'!$D6</f>
        <v>30574.673610928283</v>
      </c>
      <c r="K19" s="33">
        <f>'Water Heater Stock'!K7*'Device Energy Use'!$D6</f>
        <v>33250.985009385033</v>
      </c>
      <c r="L19" s="33">
        <f>'Water Heater Stock'!L7*'Device Energy Use'!$D6</f>
        <v>35730.77079488957</v>
      </c>
      <c r="M19" s="33">
        <f>'Water Heater Stock'!M7*'Device Energy Use'!$D6</f>
        <v>38028.117562700361</v>
      </c>
      <c r="N19" s="33">
        <f>'Water Heater Stock'!N7*'Device Energy Use'!$D6</f>
        <v>40156.106601839638</v>
      </c>
      <c r="O19" s="33">
        <f>'Water Heater Stock'!O7*'Device Energy Use'!$D6</f>
        <v>42126.885696414058</v>
      </c>
      <c r="P19" s="33">
        <f>'Water Heater Stock'!P7*'Device Energy Use'!$D6</f>
        <v>43951.735798040085</v>
      </c>
      <c r="Q19" s="33">
        <f>'Water Heater Stock'!Q7*'Device Energy Use'!$D6</f>
        <v>45641.132935727954</v>
      </c>
      <c r="R19" s="33">
        <f>'Water Heater Stock'!R7*'Device Energy Use'!$D6</f>
        <v>47204.805703409518</v>
      </c>
      <c r="S19" s="33">
        <f>'Water Heater Stock'!S7*'Device Energy Use'!$D6</f>
        <v>48651.788640996652</v>
      </c>
      <c r="T19" s="33">
        <f>'Water Heater Stock'!T7*'Device Energy Use'!$D6</f>
        <v>49990.471802293549</v>
      </c>
      <c r="U19" s="33">
        <f>'Water Heater Stock'!U7*'Device Energy Use'!$D6</f>
        <v>51228.646782134572</v>
      </c>
      <c r="V19" s="33">
        <f>'Water Heater Stock'!V7*'Device Energy Use'!$D6</f>
        <v>52373.549455664441</v>
      </c>
      <c r="W19" s="33">
        <f>'Water Heater Stock'!W7*'Device Energy Use'!$D6</f>
        <v>53431.899664611716</v>
      </c>
    </row>
    <row r="20" spans="1:23">
      <c r="A20" s="9" t="str">
        <f>'Device Energy Use'!A7</f>
        <v>Gas Tank</v>
      </c>
      <c r="B20" s="33">
        <f>'Water Heater Stock'!B8*'Device Energy Use'!$D7</f>
        <v>0</v>
      </c>
      <c r="C20" s="33">
        <f>'Water Heater Stock'!C8*'Device Energy Use'!$D7</f>
        <v>1.0272723939259238</v>
      </c>
      <c r="D20" s="33">
        <f>'Water Heater Stock'!D8*'Device Energy Use'!$D7</f>
        <v>1.9716136584684445</v>
      </c>
      <c r="E20" s="33">
        <f>'Water Heater Stock'!E8*'Device Energy Use'!$D7</f>
        <v>2.8390300774081649</v>
      </c>
      <c r="F20" s="33">
        <f>'Water Heater Stock'!F8*'Device Energy Use'!$D7</f>
        <v>3.6350990434121186</v>
      </c>
      <c r="G20" s="33">
        <f>'Water Heater Stock'!G8*'Device Energy Use'!$D7</f>
        <v>4.3649996671774502</v>
      </c>
      <c r="H20" s="33">
        <f>'Water Heater Stock'!H8*'Device Energy Use'!$D7</f>
        <v>5.0335412006240787</v>
      </c>
      <c r="I20" s="33">
        <f>'Water Heater Stock'!I8*'Device Energy Use'!$D7</f>
        <v>5.645189430286333</v>
      </c>
      <c r="J20" s="33">
        <f>'Water Heater Stock'!J8*'Device Energy Use'!$D7</f>
        <v>6.2040911858993155</v>
      </c>
      <c r="K20" s="33">
        <f>'Water Heater Stock'!K8*'Device Energy Use'!$D7</f>
        <v>6.714097098818181</v>
      </c>
      <c r="L20" s="33">
        <f>'Water Heater Stock'!L8*'Device Energy Use'!$D7</f>
        <v>7.1787827352907954</v>
      </c>
      <c r="M20" s="33">
        <f>'Water Heater Stock'!M8*'Device Energy Use'!$D7</f>
        <v>7.6014682206735644</v>
      </c>
      <c r="N20" s="33">
        <f>'Water Heater Stock'!N8*'Device Energy Use'!$D7</f>
        <v>7.9852364623873635</v>
      </c>
      <c r="O20" s="33">
        <f>'Water Heater Stock'!O8*'Device Energy Use'!$D7</f>
        <v>8.3329500717100569</v>
      </c>
      <c r="P20" s="33">
        <f>'Water Heater Stock'!P8*'Device Energy Use'!$D7</f>
        <v>8.6472670773517191</v>
      </c>
      <c r="Q20" s="33">
        <f>'Water Heater Stock'!Q8*'Device Energy Use'!$D7</f>
        <v>8.9306555171189306</v>
      </c>
      <c r="R20" s="33">
        <f>'Water Heater Stock'!R8*'Device Energy Use'!$D7</f>
        <v>9.1854069878092215</v>
      </c>
      <c r="S20" s="33">
        <f>'Water Heater Stock'!S8*'Device Energy Use'!$D7</f>
        <v>9.4136492277516943</v>
      </c>
      <c r="T20" s="33">
        <f>'Water Heater Stock'!T8*'Device Energy Use'!$D7</f>
        <v>9.6173578010937995</v>
      </c>
      <c r="U20" s="33">
        <f>'Water Heater Stock'!U8*'Device Energy Use'!$D7</f>
        <v>9.7983669479979678</v>
      </c>
      <c r="V20" s="33">
        <f>'Water Heater Stock'!V8*'Device Energy Use'!$D7</f>
        <v>9.9583796603280312</v>
      </c>
      <c r="W20" s="33">
        <f>'Water Heater Stock'!W8*'Device Energy Use'!$D7</f>
        <v>10.098977038149149</v>
      </c>
    </row>
    <row r="21" spans="1:23">
      <c r="A21" s="9" t="str">
        <f>'Device Energy Use'!A8</f>
        <v>Instant Gas</v>
      </c>
      <c r="B21" s="33">
        <f>'Water Heater Stock'!B9*'Device Energy Use'!$D8</f>
        <v>0</v>
      </c>
      <c r="C21" s="33">
        <f>'Water Heater Stock'!C9*'Device Energy Use'!$D8</f>
        <v>3464.6831294462577</v>
      </c>
      <c r="D21" s="33">
        <f>'Water Heater Stock'!D9*'Device Energy Use'!$D8</f>
        <v>6697.6592625261492</v>
      </c>
      <c r="E21" s="33">
        <f>'Water Heater Stock'!E9*'Device Energy Use'!$D8</f>
        <v>9715.5482632675739</v>
      </c>
      <c r="F21" s="33">
        <f>'Water Heater Stock'!F9*'Device Energy Use'!$D8</f>
        <v>12533.781396056982</v>
      </c>
      <c r="G21" s="33">
        <f>'Water Heater Stock'!G9*'Device Energy Use'!$D8</f>
        <v>15166.686184963221</v>
      </c>
      <c r="H21" s="33">
        <f>'Water Heater Stock'!H9*'Device Energy Use'!$D8</f>
        <v>17627.565211699315</v>
      </c>
      <c r="I21" s="33">
        <f>'Water Heater Stock'!I9*'Device Energy Use'!$D8</f>
        <v>19928.769285206166</v>
      </c>
      <c r="J21" s="33">
        <f>'Water Heater Stock'!J9*'Device Energy Use'!$D8</f>
        <v>22081.76538491547</v>
      </c>
      <c r="K21" s="33">
        <f>'Water Heater Stock'!K9*'Device Energy Use'!$D8</f>
        <v>24097.199751031294</v>
      </c>
      <c r="L21" s="33">
        <f>'Water Heater Stock'!L9*'Device Energy Use'!$D8</f>
        <v>25984.956468503151</v>
      </c>
      <c r="M21" s="33">
        <f>'Water Heater Stock'!M9*'Device Energy Use'!$D8</f>
        <v>27754.211866601596</v>
      </c>
      <c r="N21" s="33">
        <f>'Water Heater Stock'!N9*'Device Energy Use'!$D8</f>
        <v>29413.485033014258</v>
      </c>
      <c r="O21" s="33">
        <f>'Water Heater Stock'!O9*'Device Energy Use'!$D8</f>
        <v>30970.684720029229</v>
      </c>
      <c r="P21" s="33">
        <f>'Water Heater Stock'!P9*'Device Energy Use'!$D8</f>
        <v>32433.152900547109</v>
      </c>
      <c r="Q21" s="33">
        <f>'Water Heater Stock'!Q9*'Device Energy Use'!$D8</f>
        <v>33807.705213253103</v>
      </c>
      <c r="R21" s="33">
        <f>'Water Heater Stock'!R9*'Device Energy Use'!$D8</f>
        <v>35100.668519185929</v>
      </c>
      <c r="S21" s="33">
        <f>'Water Heater Stock'!S9*'Device Energy Use'!$D8</f>
        <v>36317.915776066402</v>
      </c>
      <c r="T21" s="33">
        <f>'Water Heater Stock'!T9*'Device Energy Use'!$D8</f>
        <v>37464.898422008686</v>
      </c>
      <c r="U21" s="33">
        <f>'Water Heater Stock'!U9*'Device Energy Use'!$D8</f>
        <v>38546.67644654998</v>
      </c>
      <c r="V21" s="33">
        <f>'Water Heater Stock'!V9*'Device Energy Use'!$D8</f>
        <v>39567.946314224886</v>
      </c>
      <c r="W21" s="33">
        <f>'Water Heater Stock'!W9*'Device Energy Use'!$D8</f>
        <v>40533.066894108895</v>
      </c>
    </row>
    <row r="22" spans="1:23">
      <c r="A22" s="9" t="str">
        <f>'Device Energy Use'!A9</f>
        <v>Condensing Gas</v>
      </c>
      <c r="B22" s="33">
        <f>'Water Heater Stock'!B10*'Device Energy Use'!$D9</f>
        <v>0</v>
      </c>
      <c r="C22" s="33">
        <f>'Water Heater Stock'!C10*'Device Energy Use'!$D9</f>
        <v>8291.3407992797329</v>
      </c>
      <c r="D22" s="33">
        <f>'Water Heater Stock'!D10*'Device Energy Use'!$D9</f>
        <v>15988.463194519742</v>
      </c>
      <c r="E22" s="33">
        <f>'Water Heater Stock'!E10*'Device Energy Use'!$D9</f>
        <v>23133.633357425751</v>
      </c>
      <c r="F22" s="33">
        <f>'Water Heater Stock'!F10*'Device Energy Use'!$D9</f>
        <v>29766.097652518703</v>
      </c>
      <c r="G22" s="33">
        <f>'Water Heater Stock'!G10*'Device Energy Use'!$D9</f>
        <v>35922.298390888784</v>
      </c>
      <c r="H22" s="33">
        <f>'Water Heater Stock'!H10*'Device Energy Use'!$D9</f>
        <v>41636.074173596586</v>
      </c>
      <c r="I22" s="33">
        <f>'Water Heater Stock'!I10*'Device Energy Use'!$D9</f>
        <v>46938.845925422291</v>
      </c>
      <c r="J22" s="33">
        <f>'Water Heater Stock'!J10*'Device Energy Use'!$D9</f>
        <v>51859.78964104133</v>
      </c>
      <c r="K22" s="33">
        <f>'Water Heater Stock'!K10*'Device Energy Use'!$D9</f>
        <v>56425.996792698192</v>
      </c>
      <c r="L22" s="33">
        <f>'Water Heater Stock'!L10*'Device Energy Use'!$D9</f>
        <v>60662.623280658925</v>
      </c>
      <c r="M22" s="33">
        <f>'Water Heater Stock'!M10*'Device Energy Use'!$D9</f>
        <v>64593.027744772924</v>
      </c>
      <c r="N22" s="33">
        <f>'Water Heater Stock'!N10*'Device Energy Use'!$D9</f>
        <v>68238.899997021945</v>
      </c>
      <c r="O22" s="33">
        <f>'Water Heater Stock'!O10*'Device Energy Use'!$D9</f>
        <v>71620.38028065674</v>
      </c>
      <c r="P22" s="33">
        <f>'Water Heater Stock'!P10*'Device Energy Use'!$D9</f>
        <v>74756.170011120528</v>
      </c>
      <c r="Q22" s="33">
        <f>'Water Heater Stock'!Q10*'Device Energy Use'!$D9</f>
        <v>77663.634607158703</v>
      </c>
      <c r="R22" s="33">
        <f>'Water Heater Stock'!R10*'Device Energy Use'!$D9</f>
        <v>80358.898977056073</v>
      </c>
      <c r="S22" s="33">
        <f>'Water Heater Stock'!S10*'Device Energy Use'!$D9</f>
        <v>82856.936184589533</v>
      </c>
      <c r="T22" s="33">
        <f>'Water Heater Stock'!T10*'Device Energy Use'!$D9</f>
        <v>85171.649781813481</v>
      </c>
      <c r="U22" s="33">
        <f>'Water Heater Stock'!U10*'Device Energy Use'!$D9</f>
        <v>87315.950261000471</v>
      </c>
      <c r="V22" s="33">
        <f>'Water Heater Stock'!V10*'Device Energy Use'!$D9</f>
        <v>89301.826045750684</v>
      </c>
      <c r="W22" s="33">
        <f>'Water Heater Stock'!W10*'Device Energy Use'!$D9</f>
        <v>91140.409411282933</v>
      </c>
    </row>
    <row r="24" spans="1:23">
      <c r="A24" s="12" t="s">
        <v>97</v>
      </c>
    </row>
    <row r="25" spans="1:23">
      <c r="A25" s="38" t="str">
        <f>'Device Energy Use'!A4</f>
        <v>Water Heat Ending</v>
      </c>
      <c r="B25" s="41">
        <f>'Water Heater Stock'!B4</f>
        <v>2014</v>
      </c>
      <c r="C25" s="41">
        <f>'Water Heater Stock'!C4</f>
        <v>2015</v>
      </c>
      <c r="D25" s="41">
        <f>'Water Heater Stock'!D4</f>
        <v>2016</v>
      </c>
      <c r="E25" s="41">
        <f>'Water Heater Stock'!E4</f>
        <v>2017</v>
      </c>
      <c r="F25" s="41">
        <f>'Water Heater Stock'!F4</f>
        <v>2018</v>
      </c>
      <c r="G25" s="41">
        <f>'Water Heater Stock'!G4</f>
        <v>2019</v>
      </c>
      <c r="H25" s="41">
        <f>'Water Heater Stock'!H4</f>
        <v>2020</v>
      </c>
      <c r="I25" s="41">
        <f>'Water Heater Stock'!I4</f>
        <v>2021</v>
      </c>
      <c r="J25" s="41">
        <f>'Water Heater Stock'!J4</f>
        <v>2022</v>
      </c>
      <c r="K25" s="41">
        <f>'Water Heater Stock'!K4</f>
        <v>2023</v>
      </c>
      <c r="L25" s="41">
        <f>'Water Heater Stock'!L4</f>
        <v>2024</v>
      </c>
      <c r="M25" s="41">
        <f>'Water Heater Stock'!M4</f>
        <v>2025</v>
      </c>
      <c r="N25" s="41">
        <f>'Water Heater Stock'!N4</f>
        <v>2026</v>
      </c>
      <c r="O25" s="41">
        <f>'Water Heater Stock'!O4</f>
        <v>2027</v>
      </c>
      <c r="P25" s="41">
        <f>'Water Heater Stock'!P4</f>
        <v>2028</v>
      </c>
      <c r="Q25" s="41">
        <f>'Water Heater Stock'!Q4</f>
        <v>2029</v>
      </c>
      <c r="R25" s="41">
        <f>'Water Heater Stock'!R4</f>
        <v>2030</v>
      </c>
      <c r="S25" s="41">
        <f>'Water Heater Stock'!S4</f>
        <v>2031</v>
      </c>
      <c r="T25" s="41">
        <f>'Water Heater Stock'!T4</f>
        <v>2032</v>
      </c>
      <c r="U25" s="41">
        <f>'Water Heater Stock'!U4</f>
        <v>2033</v>
      </c>
      <c r="V25" s="41">
        <f>'Water Heater Stock'!V4</f>
        <v>2034</v>
      </c>
      <c r="W25" s="41">
        <f>'Water Heater Stock'!W4</f>
        <v>2035</v>
      </c>
    </row>
    <row r="26" spans="1:23" ht="16.5" thickBot="1">
      <c r="A26" s="48" t="s">
        <v>44</v>
      </c>
      <c r="B26" s="49">
        <f t="shared" ref="B26:W26" si="8">SUM(B27:B31)</f>
        <v>246937.91701429631</v>
      </c>
      <c r="C26" s="49">
        <f t="shared" si="8"/>
        <v>238919.52157757251</v>
      </c>
      <c r="D26" s="49">
        <f t="shared" si="8"/>
        <v>231473.86867204326</v>
      </c>
      <c r="E26" s="49">
        <f t="shared" si="8"/>
        <v>224560.04811690899</v>
      </c>
      <c r="F26" s="49">
        <f t="shared" si="8"/>
        <v>218140.07188714144</v>
      </c>
      <c r="G26" s="49">
        <f t="shared" si="8"/>
        <v>212178.66538807159</v>
      </c>
      <c r="H26" s="49">
        <f t="shared" si="8"/>
        <v>206643.07363893528</v>
      </c>
      <c r="I26" s="49">
        <f t="shared" si="8"/>
        <v>201502.88130045153</v>
      </c>
      <c r="J26" s="49">
        <f t="shared" si="8"/>
        <v>196729.8455575738</v>
      </c>
      <c r="K26" s="49">
        <f t="shared" si="8"/>
        <v>192297.74093918735</v>
      </c>
      <c r="L26" s="49">
        <f t="shared" si="8"/>
        <v>188182.2152221142</v>
      </c>
      <c r="M26" s="49">
        <f t="shared" si="8"/>
        <v>184360.65562768915</v>
      </c>
      <c r="N26" s="49">
        <f t="shared" si="8"/>
        <v>180812.06457572302</v>
      </c>
      <c r="O26" s="49">
        <f t="shared" si="8"/>
        <v>177516.94431318308</v>
      </c>
      <c r="P26" s="49">
        <f t="shared" si="8"/>
        <v>174457.18978368165</v>
      </c>
      <c r="Q26" s="49">
        <f t="shared" si="8"/>
        <v>171615.98914914462</v>
      </c>
      <c r="R26" s="49">
        <f t="shared" si="8"/>
        <v>168977.73141707454</v>
      </c>
      <c r="S26" s="49">
        <f t="shared" si="8"/>
        <v>166527.92066586658</v>
      </c>
      <c r="T26" s="49">
        <f t="shared" si="8"/>
        <v>164253.09639688779</v>
      </c>
      <c r="U26" s="49">
        <f t="shared" si="8"/>
        <v>162140.7595756932</v>
      </c>
      <c r="V26" s="49">
        <f t="shared" si="8"/>
        <v>160179.3039560125</v>
      </c>
      <c r="W26" s="49">
        <f t="shared" si="8"/>
        <v>158357.95230916614</v>
      </c>
    </row>
    <row r="27" spans="1:23" ht="16.5" thickTop="1">
      <c r="A27" s="14" t="str">
        <f>'Device Energy Use'!A5</f>
        <v>Electric Resistance</v>
      </c>
      <c r="B27" s="33">
        <f>'Water Heater Stock'!B15*'Device Energy Use'!$D5</f>
        <v>246937.91701429631</v>
      </c>
      <c r="C27" s="33">
        <f>'Water Heater Stock'!C15*'Device Energy Use'!$D5</f>
        <v>229299.49437041799</v>
      </c>
      <c r="D27" s="33">
        <f>'Water Heater Stock'!D15*'Device Energy Use'!$D5</f>
        <v>212920.95905824527</v>
      </c>
      <c r="E27" s="33">
        <f>'Water Heater Stock'!E15*'Device Energy Use'!$D5</f>
        <v>197712.31912551346</v>
      </c>
      <c r="F27" s="33">
        <f>'Water Heater Stock'!F15*'Device Energy Use'!$D5</f>
        <v>183590.01061654821</v>
      </c>
      <c r="G27" s="33">
        <f>'Water Heater Stock'!G15*'Device Energy Use'!$D5</f>
        <v>170476.43842965193</v>
      </c>
      <c r="H27" s="33">
        <f>'Water Heater Stock'!H15*'Device Energy Use'!$D5</f>
        <v>158299.54997039106</v>
      </c>
      <c r="I27" s="33">
        <f>'Water Heater Stock'!I15*'Device Energy Use'!$D5</f>
        <v>146992.43925822026</v>
      </c>
      <c r="J27" s="33">
        <f>'Water Heater Stock'!J15*'Device Energy Use'!$D5</f>
        <v>136492.97931120452</v>
      </c>
      <c r="K27" s="33">
        <f>'Water Heater Stock'!K15*'Device Energy Use'!$D5</f>
        <v>126743.48078897563</v>
      </c>
      <c r="L27" s="33">
        <f>'Water Heater Stock'!L15*'Device Energy Use'!$D5</f>
        <v>117690.37501833453</v>
      </c>
      <c r="M27" s="33">
        <f>'Water Heater Stock'!M15*'Device Energy Use'!$D5</f>
        <v>109283.91965988207</v>
      </c>
      <c r="N27" s="33">
        <f>'Water Heater Stock'!N15*'Device Energy Use'!$D5</f>
        <v>101477.92539846193</v>
      </c>
      <c r="O27" s="33">
        <f>'Water Heater Stock'!O15*'Device Energy Use'!$D5</f>
        <v>94229.502155714654</v>
      </c>
      <c r="P27" s="33">
        <f>'Water Heater Stock'!P15*'Device Energy Use'!$D5</f>
        <v>87498.823430306453</v>
      </c>
      <c r="Q27" s="33">
        <f>'Water Heater Stock'!Q15*'Device Energy Use'!$D5</f>
        <v>81248.907470998864</v>
      </c>
      <c r="R27" s="33">
        <f>'Water Heater Stock'!R15*'Device Energy Use'!$D5</f>
        <v>75445.414080213232</v>
      </c>
      <c r="S27" s="33">
        <f>'Water Heater Stock'!S15*'Device Energy Use'!$D5</f>
        <v>70056.455931626566</v>
      </c>
      <c r="T27" s="33">
        <f>'Water Heater Stock'!T15*'Device Energy Use'!$D5</f>
        <v>65052.423365081821</v>
      </c>
      <c r="U27" s="33">
        <f>'Water Heater Stock'!U15*'Device Energy Use'!$D5</f>
        <v>60405.82169614741</v>
      </c>
      <c r="V27" s="33">
        <f>'Water Heater Stock'!V15*'Device Energy Use'!$D5</f>
        <v>56091.120146422596</v>
      </c>
      <c r="W27" s="33">
        <f>'Water Heater Stock'!W15*'Device Energy Use'!$D5</f>
        <v>52084.611564535269</v>
      </c>
    </row>
    <row r="28" spans="1:23">
      <c r="A28" s="14" t="str">
        <f>'Device Energy Use'!A6</f>
        <v>HPWH</v>
      </c>
      <c r="B28" s="33">
        <f>'Water Heater Stock'!B16*'Device Energy Use'!$D6</f>
        <v>0</v>
      </c>
      <c r="C28" s="33">
        <f>'Water Heater Stock'!C16*'Device Energy Use'!$D6</f>
        <v>9620.0272071545241</v>
      </c>
      <c r="D28" s="33">
        <f>'Water Heater Stock'!D16*'Device Energy Use'!$D6</f>
        <v>18552.909613798009</v>
      </c>
      <c r="E28" s="33">
        <f>'Water Heater Stock'!E16*'Device Energy Use'!$D6</f>
        <v>26847.728991395532</v>
      </c>
      <c r="F28" s="33">
        <f>'Water Heater Stock'!F16*'Device Energy Use'!$D6</f>
        <v>34550.061270593229</v>
      </c>
      <c r="G28" s="33">
        <f>'Water Heater Stock'!G16*'Device Energy Use'!$D6</f>
        <v>41702.226958419662</v>
      </c>
      <c r="H28" s="33">
        <f>'Water Heater Stock'!H16*'Device Energy Use'!$D6</f>
        <v>48343.523668544207</v>
      </c>
      <c r="I28" s="33">
        <f>'Water Heater Stock'!I16*'Device Energy Use'!$D6</f>
        <v>54510.442042231283</v>
      </c>
      <c r="J28" s="33">
        <f>'Water Heater Stock'!J16*'Device Energy Use'!$D6</f>
        <v>60236.866246369289</v>
      </c>
      <c r="K28" s="33">
        <f>'Water Heater Stock'!K16*'Device Energy Use'!$D6</f>
        <v>65554.260150211718</v>
      </c>
      <c r="L28" s="33">
        <f>'Water Heater Stock'!L16*'Device Energy Use'!$D6</f>
        <v>70491.840203779677</v>
      </c>
      <c r="M28" s="33">
        <f>'Water Heater Stock'!M16*'Device Energy Use'!$D6</f>
        <v>75076.735967807079</v>
      </c>
      <c r="N28" s="33">
        <f>'Water Heater Stock'!N16*'Device Energy Use'!$D6</f>
        <v>79334.139177261095</v>
      </c>
      <c r="O28" s="33">
        <f>'Water Heater Stock'!O16*'Device Energy Use'!$D6</f>
        <v>83287.442157468409</v>
      </c>
      <c r="P28" s="33">
        <f>'Water Heater Stock'!P16*'Device Energy Use'!$D6</f>
        <v>86958.366353375182</v>
      </c>
      <c r="Q28" s="33">
        <f>'Water Heater Stock'!Q16*'Device Energy Use'!$D6</f>
        <v>90367.081678145769</v>
      </c>
      <c r="R28" s="33">
        <f>'Water Heater Stock'!R16*'Device Energy Use'!$D6</f>
        <v>93532.317336861306</v>
      </c>
      <c r="S28" s="33">
        <f>'Water Heater Stock'!S16*'Device Energy Use'!$D6</f>
        <v>96471.464734240028</v>
      </c>
      <c r="T28" s="33">
        <f>'Water Heater Stock'!T16*'Device Energy Use'!$D6</f>
        <v>99200.673031805985</v>
      </c>
      <c r="U28" s="33">
        <f>'Water Heater Stock'!U16*'Device Energy Use'!$D6</f>
        <v>101734.93787954579</v>
      </c>
      <c r="V28" s="33">
        <f>'Water Heater Stock'!V16*'Device Energy Use'!$D6</f>
        <v>104088.18380958991</v>
      </c>
      <c r="W28" s="33">
        <f>'Water Heater Stock'!W16*'Device Energy Use'!$D6</f>
        <v>106273.34074463087</v>
      </c>
    </row>
    <row r="29" spans="1:23">
      <c r="A29" s="14" t="str">
        <f>'Device Energy Use'!A7</f>
        <v>Gas Tank</v>
      </c>
      <c r="B29" s="33">
        <f>'Water Heater Stock'!B17*'Device Energy Use'!$D7</f>
        <v>0</v>
      </c>
      <c r="C29" s="33">
        <f>'Water Heater Stock'!C17*'Device Energy Use'!$D7</f>
        <v>0</v>
      </c>
      <c r="D29" s="33">
        <f>'Water Heater Stock'!D17*'Device Energy Use'!$D7</f>
        <v>0</v>
      </c>
      <c r="E29" s="33">
        <f>'Water Heater Stock'!E17*'Device Energy Use'!$D7</f>
        <v>0</v>
      </c>
      <c r="F29" s="33">
        <f>'Water Heater Stock'!F17*'Device Energy Use'!$D7</f>
        <v>0</v>
      </c>
      <c r="G29" s="33">
        <f>'Water Heater Stock'!G17*'Device Energy Use'!$D7</f>
        <v>0</v>
      </c>
      <c r="H29" s="33">
        <f>'Water Heater Stock'!H17*'Device Energy Use'!$D7</f>
        <v>0</v>
      </c>
      <c r="I29" s="33">
        <f>'Water Heater Stock'!I17*'Device Energy Use'!$D7</f>
        <v>0</v>
      </c>
      <c r="J29" s="33">
        <f>'Water Heater Stock'!J17*'Device Energy Use'!$D7</f>
        <v>0</v>
      </c>
      <c r="K29" s="33">
        <f>'Water Heater Stock'!K17*'Device Energy Use'!$D7</f>
        <v>0</v>
      </c>
      <c r="L29" s="33">
        <f>'Water Heater Stock'!L17*'Device Energy Use'!$D7</f>
        <v>0</v>
      </c>
      <c r="M29" s="33">
        <f>'Water Heater Stock'!M17*'Device Energy Use'!$D7</f>
        <v>0</v>
      </c>
      <c r="N29" s="33">
        <f>'Water Heater Stock'!N17*'Device Energy Use'!$D7</f>
        <v>0</v>
      </c>
      <c r="O29" s="33">
        <f>'Water Heater Stock'!O17*'Device Energy Use'!$D7</f>
        <v>0</v>
      </c>
      <c r="P29" s="33">
        <f>'Water Heater Stock'!P17*'Device Energy Use'!$D7</f>
        <v>0</v>
      </c>
      <c r="Q29" s="33">
        <f>'Water Heater Stock'!Q17*'Device Energy Use'!$D7</f>
        <v>0</v>
      </c>
      <c r="R29" s="33">
        <f>'Water Heater Stock'!R17*'Device Energy Use'!$D7</f>
        <v>0</v>
      </c>
      <c r="S29" s="33">
        <f>'Water Heater Stock'!S17*'Device Energy Use'!$D7</f>
        <v>0</v>
      </c>
      <c r="T29" s="33">
        <f>'Water Heater Stock'!T17*'Device Energy Use'!$D7</f>
        <v>0</v>
      </c>
      <c r="U29" s="33">
        <f>'Water Heater Stock'!U17*'Device Energy Use'!$D7</f>
        <v>0</v>
      </c>
      <c r="V29" s="33">
        <f>'Water Heater Stock'!V17*'Device Energy Use'!$D7</f>
        <v>0</v>
      </c>
      <c r="W29" s="33">
        <f>'Water Heater Stock'!W17*'Device Energy Use'!$D7</f>
        <v>0</v>
      </c>
    </row>
    <row r="30" spans="1:23">
      <c r="A30" s="14" t="str">
        <f>'Device Energy Use'!A8</f>
        <v>Instant Gas</v>
      </c>
      <c r="B30" s="33">
        <f>'Water Heater Stock'!B18*'Device Energy Use'!$D8</f>
        <v>0</v>
      </c>
      <c r="C30" s="33">
        <f>'Water Heater Stock'!C18*'Device Energy Use'!$D8</f>
        <v>0</v>
      </c>
      <c r="D30" s="33">
        <f>'Water Heater Stock'!D18*'Device Energy Use'!$D8</f>
        <v>0</v>
      </c>
      <c r="E30" s="33">
        <f>'Water Heater Stock'!E18*'Device Energy Use'!$D8</f>
        <v>0</v>
      </c>
      <c r="F30" s="33">
        <f>'Water Heater Stock'!F18*'Device Energy Use'!$D8</f>
        <v>0</v>
      </c>
      <c r="G30" s="33">
        <f>'Water Heater Stock'!G18*'Device Energy Use'!$D8</f>
        <v>0</v>
      </c>
      <c r="H30" s="33">
        <f>'Water Heater Stock'!H18*'Device Energy Use'!$D8</f>
        <v>0</v>
      </c>
      <c r="I30" s="33">
        <f>'Water Heater Stock'!I18*'Device Energy Use'!$D8</f>
        <v>0</v>
      </c>
      <c r="J30" s="33">
        <f>'Water Heater Stock'!J18*'Device Energy Use'!$D8</f>
        <v>0</v>
      </c>
      <c r="K30" s="33">
        <f>'Water Heater Stock'!K18*'Device Energy Use'!$D8</f>
        <v>0</v>
      </c>
      <c r="L30" s="33">
        <f>'Water Heater Stock'!L18*'Device Energy Use'!$D8</f>
        <v>0</v>
      </c>
      <c r="M30" s="33">
        <f>'Water Heater Stock'!M18*'Device Energy Use'!$D8</f>
        <v>0</v>
      </c>
      <c r="N30" s="33">
        <f>'Water Heater Stock'!N18*'Device Energy Use'!$D8</f>
        <v>0</v>
      </c>
      <c r="O30" s="33">
        <f>'Water Heater Stock'!O18*'Device Energy Use'!$D8</f>
        <v>0</v>
      </c>
      <c r="P30" s="33">
        <f>'Water Heater Stock'!P18*'Device Energy Use'!$D8</f>
        <v>0</v>
      </c>
      <c r="Q30" s="33">
        <f>'Water Heater Stock'!Q18*'Device Energy Use'!$D8</f>
        <v>0</v>
      </c>
      <c r="R30" s="33">
        <f>'Water Heater Stock'!R18*'Device Energy Use'!$D8</f>
        <v>0</v>
      </c>
      <c r="S30" s="33">
        <f>'Water Heater Stock'!S18*'Device Energy Use'!$D8</f>
        <v>0</v>
      </c>
      <c r="T30" s="33">
        <f>'Water Heater Stock'!T18*'Device Energy Use'!$D8</f>
        <v>0</v>
      </c>
      <c r="U30" s="33">
        <f>'Water Heater Stock'!U18*'Device Energy Use'!$D8</f>
        <v>0</v>
      </c>
      <c r="V30" s="33">
        <f>'Water Heater Stock'!V18*'Device Energy Use'!$D8</f>
        <v>0</v>
      </c>
      <c r="W30" s="33">
        <f>'Water Heater Stock'!W18*'Device Energy Use'!$D8</f>
        <v>0</v>
      </c>
    </row>
    <row r="31" spans="1:23">
      <c r="A31" s="14" t="str">
        <f>'Device Energy Use'!A9</f>
        <v>Condensing Gas</v>
      </c>
      <c r="B31" s="33">
        <f>'Water Heater Stock'!B19*'Device Energy Use'!$D9</f>
        <v>0</v>
      </c>
      <c r="C31" s="33">
        <f>'Water Heater Stock'!C19*'Device Energy Use'!$D9</f>
        <v>0</v>
      </c>
      <c r="D31" s="33">
        <f>'Water Heater Stock'!D19*'Device Energy Use'!$D9</f>
        <v>0</v>
      </c>
      <c r="E31" s="33">
        <f>'Water Heater Stock'!E19*'Device Energy Use'!$D9</f>
        <v>0</v>
      </c>
      <c r="F31" s="33">
        <f>'Water Heater Stock'!F19*'Device Energy Use'!$D9</f>
        <v>0</v>
      </c>
      <c r="G31" s="33">
        <f>'Water Heater Stock'!G19*'Device Energy Use'!$D9</f>
        <v>0</v>
      </c>
      <c r="H31" s="33">
        <f>'Water Heater Stock'!H19*'Device Energy Use'!$D9</f>
        <v>0</v>
      </c>
      <c r="I31" s="33">
        <f>'Water Heater Stock'!I19*'Device Energy Use'!$D9</f>
        <v>0</v>
      </c>
      <c r="J31" s="33">
        <f>'Water Heater Stock'!J19*'Device Energy Use'!$D9</f>
        <v>0</v>
      </c>
      <c r="K31" s="33">
        <f>'Water Heater Stock'!K19*'Device Energy Use'!$D9</f>
        <v>0</v>
      </c>
      <c r="L31" s="33">
        <f>'Water Heater Stock'!L19*'Device Energy Use'!$D9</f>
        <v>0</v>
      </c>
      <c r="M31" s="33">
        <f>'Water Heater Stock'!M19*'Device Energy Use'!$D9</f>
        <v>0</v>
      </c>
      <c r="N31" s="33">
        <f>'Water Heater Stock'!N19*'Device Energy Use'!$D9</f>
        <v>0</v>
      </c>
      <c r="O31" s="33">
        <f>'Water Heater Stock'!O19*'Device Energy Use'!$D9</f>
        <v>0</v>
      </c>
      <c r="P31" s="33">
        <f>'Water Heater Stock'!P19*'Device Energy Use'!$D9</f>
        <v>0</v>
      </c>
      <c r="Q31" s="33">
        <f>'Water Heater Stock'!Q19*'Device Energy Use'!$D9</f>
        <v>0</v>
      </c>
      <c r="R31" s="33">
        <f>'Water Heater Stock'!R19*'Device Energy Use'!$D9</f>
        <v>0</v>
      </c>
      <c r="S31" s="33">
        <f>'Water Heater Stock'!S19*'Device Energy Use'!$D9</f>
        <v>0</v>
      </c>
      <c r="T31" s="33">
        <f>'Water Heater Stock'!T19*'Device Energy Use'!$D9</f>
        <v>0</v>
      </c>
      <c r="U31" s="33">
        <f>'Water Heater Stock'!U19*'Device Energy Use'!$D9</f>
        <v>0</v>
      </c>
      <c r="V31" s="33">
        <f>'Water Heater Stock'!V19*'Device Energy Use'!$D9</f>
        <v>0</v>
      </c>
      <c r="W31" s="33">
        <f>'Water Heater Stock'!W19*'Device Energy Use'!$D9</f>
        <v>0</v>
      </c>
    </row>
    <row r="34" spans="1:23">
      <c r="A34" s="12" t="s">
        <v>45</v>
      </c>
    </row>
    <row r="35" spans="1:23">
      <c r="A35" s="38" t="str">
        <f>'Device Energy Use'!A4</f>
        <v>Water Heat Ending</v>
      </c>
      <c r="B35" s="41">
        <f>'Water Heater Stock'!B4</f>
        <v>2014</v>
      </c>
      <c r="C35" s="41">
        <f>'Water Heater Stock'!C4</f>
        <v>2015</v>
      </c>
      <c r="D35" s="41">
        <f>'Water Heater Stock'!D4</f>
        <v>2016</v>
      </c>
      <c r="E35" s="41">
        <f>'Water Heater Stock'!E4</f>
        <v>2017</v>
      </c>
      <c r="F35" s="41">
        <f>'Water Heater Stock'!F4</f>
        <v>2018</v>
      </c>
      <c r="G35" s="41">
        <f>'Water Heater Stock'!G4</f>
        <v>2019</v>
      </c>
      <c r="H35" s="41">
        <f>'Water Heater Stock'!H4</f>
        <v>2020</v>
      </c>
      <c r="I35" s="41">
        <f>'Water Heater Stock'!I4</f>
        <v>2021</v>
      </c>
      <c r="J35" s="41">
        <f>'Water Heater Stock'!J4</f>
        <v>2022</v>
      </c>
      <c r="K35" s="41">
        <f>'Water Heater Stock'!K4</f>
        <v>2023</v>
      </c>
      <c r="L35" s="41">
        <f>'Water Heater Stock'!L4</f>
        <v>2024</v>
      </c>
      <c r="M35" s="41">
        <f>'Water Heater Stock'!M4</f>
        <v>2025</v>
      </c>
      <c r="N35" s="41">
        <f>'Water Heater Stock'!N4</f>
        <v>2026</v>
      </c>
      <c r="O35" s="41">
        <f>'Water Heater Stock'!O4</f>
        <v>2027</v>
      </c>
      <c r="P35" s="41">
        <f>'Water Heater Stock'!P4</f>
        <v>2028</v>
      </c>
      <c r="Q35" s="41">
        <f>'Water Heater Stock'!Q4</f>
        <v>2029</v>
      </c>
      <c r="R35" s="41">
        <f>'Water Heater Stock'!R4</f>
        <v>2030</v>
      </c>
      <c r="S35" s="41">
        <f>'Water Heater Stock'!S4</f>
        <v>2031</v>
      </c>
      <c r="T35" s="41">
        <f>'Water Heater Stock'!T4</f>
        <v>2032</v>
      </c>
      <c r="U35" s="41">
        <f>'Water Heater Stock'!U4</f>
        <v>2033</v>
      </c>
      <c r="V35" s="41">
        <f>'Water Heater Stock'!V4</f>
        <v>2034</v>
      </c>
      <c r="W35" s="41">
        <f>'Water Heater Stock'!W4</f>
        <v>2035</v>
      </c>
    </row>
    <row r="36" spans="1:23" ht="16.5" thickBot="1">
      <c r="A36" s="48" t="s">
        <v>44</v>
      </c>
      <c r="B36" s="49">
        <f t="shared" ref="B36:W36" si="9">SUM(B37:B41)</f>
        <v>72373.363720485431</v>
      </c>
      <c r="C36" s="49">
        <f t="shared" si="9"/>
        <v>68641.430392660492</v>
      </c>
      <c r="D36" s="49">
        <f t="shared" si="9"/>
        <v>65174.386166214521</v>
      </c>
      <c r="E36" s="49">
        <f t="shared" si="9"/>
        <v>61953.32266276922</v>
      </c>
      <c r="F36" s="49">
        <f t="shared" si="9"/>
        <v>58960.682372016257</v>
      </c>
      <c r="G36" s="49">
        <f t="shared" si="9"/>
        <v>56180.162159881205</v>
      </c>
      <c r="H36" s="49">
        <f t="shared" si="9"/>
        <v>53596.623668886095</v>
      </c>
      <c r="I36" s="49">
        <f t="shared" si="9"/>
        <v>51196.010118411745</v>
      </c>
      <c r="J36" s="49">
        <f t="shared" si="9"/>
        <v>48965.269047724913</v>
      </c>
      <c r="K36" s="49">
        <f t="shared" si="9"/>
        <v>46892.280577288169</v>
      </c>
      <c r="L36" s="49">
        <f t="shared" si="9"/>
        <v>44965.790794190441</v>
      </c>
      <c r="M36" s="49">
        <f t="shared" si="9"/>
        <v>43175.349895690546</v>
      </c>
      <c r="N36" s="49">
        <f t="shared" si="9"/>
        <v>41511.254751009656</v>
      </c>
      <c r="O36" s="49">
        <f t="shared" si="9"/>
        <v>39964.495565784615</v>
      </c>
      <c r="P36" s="49">
        <f t="shared" si="9"/>
        <v>38526.706356135823</v>
      </c>
      <c r="Q36" s="49">
        <f t="shared" si="9"/>
        <v>37190.118960235792</v>
      </c>
      <c r="R36" s="49">
        <f t="shared" si="9"/>
        <v>35947.520334700574</v>
      </c>
      <c r="S36" s="49">
        <f t="shared" si="9"/>
        <v>34792.212901175415</v>
      </c>
      <c r="T36" s="49">
        <f t="shared" si="9"/>
        <v>33717.977725244426</v>
      </c>
      <c r="U36" s="49">
        <f t="shared" si="9"/>
        <v>32719.04032535696</v>
      </c>
      <c r="V36" s="49">
        <f t="shared" si="9"/>
        <v>31790.038923913395</v>
      </c>
      <c r="W36" s="49">
        <f t="shared" si="9"/>
        <v>30925.994966071539</v>
      </c>
    </row>
    <row r="37" spans="1:23" ht="16.5" thickTop="1">
      <c r="A37" s="37" t="str">
        <f>'Device Energy Use'!A5</f>
        <v>Electric Resistance</v>
      </c>
      <c r="B37" s="33">
        <f>'Water Heater Stock'!B6*'Device Energy Use'!$B5/1000</f>
        <v>72373.363720485431</v>
      </c>
      <c r="C37" s="33">
        <f>'Water Heater Stock'!C6*'Device Energy Use'!$B5/1000</f>
        <v>67203.927685460294</v>
      </c>
      <c r="D37" s="33">
        <f>'Water Heater Stock'!D6*'Device Energy Use'!$B5/1000</f>
        <v>62403.736129258854</v>
      </c>
      <c r="E37" s="33">
        <f>'Water Heater Stock'!E6*'Device Energy Use'!$B5/1000</f>
        <v>57946.414460802371</v>
      </c>
      <c r="F37" s="33">
        <f>'Water Heater Stock'!F6*'Device Energy Use'!$B5/1000</f>
        <v>53807.471988180681</v>
      </c>
      <c r="G37" s="33">
        <f>'Water Heater Stock'!G6*'Device Energy Use'!$B5/1000</f>
        <v>49964.16735442754</v>
      </c>
      <c r="H37" s="33">
        <f>'Water Heater Stock'!H6*'Device Energy Use'!$B5/1000</f>
        <v>46395.383585026299</v>
      </c>
      <c r="I37" s="33">
        <f>'Water Heater Stock'!I6*'Device Energy Use'!$B5/1000</f>
        <v>43081.512060593894</v>
      </c>
      <c r="J37" s="33">
        <f>'Water Heater Stock'!J6*'Device Energy Use'!$B5/1000</f>
        <v>40004.344777230108</v>
      </c>
      <c r="K37" s="33">
        <f>'Water Heater Stock'!K6*'Device Energy Use'!$B5/1000</f>
        <v>37146.974302556337</v>
      </c>
      <c r="L37" s="33">
        <f>'Water Heater Stock'!L6*'Device Energy Use'!$B5/1000</f>
        <v>34493.700877751529</v>
      </c>
      <c r="M37" s="33">
        <f>'Water Heater Stock'!M6*'Device Energy Use'!$B5/1000</f>
        <v>32029.946155157031</v>
      </c>
      <c r="N37" s="33">
        <f>'Water Heater Stock'!N6*'Device Energy Use'!$B5/1000</f>
        <v>29742.173097481042</v>
      </c>
      <c r="O37" s="33">
        <f>'Water Heater Stock'!O6*'Device Energy Use'!$B5/1000</f>
        <v>27617.811598488584</v>
      </c>
      <c r="P37" s="33">
        <f>'Water Heater Stock'!P6*'Device Energy Use'!$B5/1000</f>
        <v>25645.189416499226</v>
      </c>
      <c r="Q37" s="33">
        <f>'Water Heater Stock'!Q6*'Device Energy Use'!$B5/1000</f>
        <v>23813.468041206499</v>
      </c>
      <c r="R37" s="33">
        <f>'Water Heater Stock'!R6*'Device Energy Use'!$B5/1000</f>
        <v>22112.583141438703</v>
      </c>
      <c r="S37" s="33">
        <f>'Water Heater Stock'!S6*'Device Energy Use'!$B5/1000</f>
        <v>20533.189266651192</v>
      </c>
      <c r="T37" s="33">
        <f>'Water Heater Stock'!T6*'Device Energy Use'!$B5/1000</f>
        <v>19066.608498311969</v>
      </c>
      <c r="U37" s="33">
        <f>'Water Heater Stock'!U6*'Device Energy Use'!$B5/1000</f>
        <v>17704.782769045541</v>
      </c>
      <c r="V37" s="33">
        <f>'Water Heater Stock'!V6*'Device Energy Use'!$B5/1000</f>
        <v>16440.229587552185</v>
      </c>
      <c r="W37" s="33">
        <f>'Water Heater Stock'!W6*'Device Energy Use'!$B5/1000</f>
        <v>15266.000926032939</v>
      </c>
    </row>
    <row r="38" spans="1:23">
      <c r="A38" s="37" t="str">
        <f>'Device Energy Use'!A6</f>
        <v>HPWH</v>
      </c>
      <c r="B38" s="33">
        <f>'Water Heater Stock'!B7*'Device Energy Use'!$B6/1000</f>
        <v>0</v>
      </c>
      <c r="C38" s="33">
        <f>'Water Heater Stock'!C7*'Device Energy Use'!$B6/1000</f>
        <v>1437.5027072001963</v>
      </c>
      <c r="D38" s="33">
        <f>'Water Heater Stock'!D7*'Device Energy Use'!$B6/1000</f>
        <v>2770.6500369556684</v>
      </c>
      <c r="E38" s="33">
        <f>'Water Heater Stock'!E7*'Device Energy Use'!$B6/1000</f>
        <v>4006.9082019668485</v>
      </c>
      <c r="F38" s="33">
        <f>'Water Heater Stock'!F7*'Device Energy Use'!$B6/1000</f>
        <v>5153.210383835577</v>
      </c>
      <c r="G38" s="33">
        <f>'Water Heater Stock'!G7*'Device Energy Use'!$B6/1000</f>
        <v>6215.9948054536681</v>
      </c>
      <c r="H38" s="33">
        <f>'Water Heater Stock'!H7*'Device Energy Use'!$B6/1000</f>
        <v>7201.2400838597941</v>
      </c>
      <c r="I38" s="33">
        <f>'Water Heater Stock'!I7*'Device Energy Use'!$B6/1000</f>
        <v>8114.4980578178538</v>
      </c>
      <c r="J38" s="33">
        <f>'Water Heater Stock'!J7*'Device Energy Use'!$B6/1000</f>
        <v>8960.9242704948065</v>
      </c>
      <c r="K38" s="33">
        <f>'Water Heater Stock'!K7*'Device Energy Use'!$B6/1000</f>
        <v>9745.3062747318363</v>
      </c>
      <c r="L38" s="33">
        <f>'Water Heater Stock'!L7*'Device Energy Use'!$B6/1000</f>
        <v>10472.089916438914</v>
      </c>
      <c r="M38" s="33">
        <f>'Water Heater Stock'!M7*'Device Energy Use'!$B6/1000</f>
        <v>11145.403740533517</v>
      </c>
      <c r="N38" s="33">
        <f>'Water Heater Stock'!N7*'Device Energy Use'!$B6/1000</f>
        <v>11769.081653528616</v>
      </c>
      <c r="O38" s="33">
        <f>'Water Heater Stock'!O7*'Device Energy Use'!$B6/1000</f>
        <v>12346.68396729603</v>
      </c>
      <c r="P38" s="33">
        <f>'Water Heater Stock'!P7*'Device Energy Use'!$B6/1000</f>
        <v>12881.5169396366</v>
      </c>
      <c r="Q38" s="33">
        <f>'Water Heater Stock'!Q7*'Device Energy Use'!$B6/1000</f>
        <v>13376.650919029293</v>
      </c>
      <c r="R38" s="33">
        <f>'Water Heater Stock'!R7*'Device Energy Use'!$B6/1000</f>
        <v>13834.937193261874</v>
      </c>
      <c r="S38" s="33">
        <f>'Water Heater Stock'!S7*'Device Energy Use'!$B6/1000</f>
        <v>14259.023634524225</v>
      </c>
      <c r="T38" s="33">
        <f>'Water Heater Stock'!T7*'Device Energy Use'!$B6/1000</f>
        <v>14651.369226932457</v>
      </c>
      <c r="U38" s="33">
        <f>'Water Heater Stock'!U7*'Device Energy Use'!$B6/1000</f>
        <v>15014.257556311419</v>
      </c>
      <c r="V38" s="33">
        <f>'Water Heater Stock'!V7*'Device Energy Use'!$B6/1000</f>
        <v>15349.809336361208</v>
      </c>
      <c r="W38" s="33">
        <f>'Water Heater Stock'!W7*'Device Energy Use'!$B6/1000</f>
        <v>15659.9940400386</v>
      </c>
    </row>
    <row r="39" spans="1:23">
      <c r="A39" s="37" t="str">
        <f>'Device Energy Use'!A7</f>
        <v>Gas Tank</v>
      </c>
      <c r="B39" s="33">
        <f>'Water Heater Stock'!B8*'Device Energy Use'!$B7/1000</f>
        <v>0</v>
      </c>
      <c r="C39" s="33">
        <f>'Water Heater Stock'!C8*'Device Energy Use'!$B7/1000</f>
        <v>0</v>
      </c>
      <c r="D39" s="33">
        <f>'Water Heater Stock'!D8*'Device Energy Use'!$B7/1000</f>
        <v>0</v>
      </c>
      <c r="E39" s="33">
        <f>'Water Heater Stock'!E8*'Device Energy Use'!$B7/1000</f>
        <v>0</v>
      </c>
      <c r="F39" s="33">
        <f>'Water Heater Stock'!F8*'Device Energy Use'!$B7/1000</f>
        <v>0</v>
      </c>
      <c r="G39" s="33">
        <f>'Water Heater Stock'!G8*'Device Energy Use'!$B7/1000</f>
        <v>0</v>
      </c>
      <c r="H39" s="33">
        <f>'Water Heater Stock'!H8*'Device Energy Use'!$B7/1000</f>
        <v>0</v>
      </c>
      <c r="I39" s="33">
        <f>'Water Heater Stock'!I8*'Device Energy Use'!$B7/1000</f>
        <v>0</v>
      </c>
      <c r="J39" s="33">
        <f>'Water Heater Stock'!J8*'Device Energy Use'!$B7/1000</f>
        <v>0</v>
      </c>
      <c r="K39" s="33">
        <f>'Water Heater Stock'!K8*'Device Energy Use'!$B7/1000</f>
        <v>0</v>
      </c>
      <c r="L39" s="33">
        <f>'Water Heater Stock'!L8*'Device Energy Use'!$B7/1000</f>
        <v>0</v>
      </c>
      <c r="M39" s="33">
        <f>'Water Heater Stock'!M8*'Device Energy Use'!$B7/1000</f>
        <v>0</v>
      </c>
      <c r="N39" s="33">
        <f>'Water Heater Stock'!N8*'Device Energy Use'!$B7/1000</f>
        <v>0</v>
      </c>
      <c r="O39" s="33">
        <f>'Water Heater Stock'!O8*'Device Energy Use'!$B7/1000</f>
        <v>0</v>
      </c>
      <c r="P39" s="33">
        <f>'Water Heater Stock'!P8*'Device Energy Use'!$B7/1000</f>
        <v>0</v>
      </c>
      <c r="Q39" s="33">
        <f>'Water Heater Stock'!Q8*'Device Energy Use'!$B7/1000</f>
        <v>0</v>
      </c>
      <c r="R39" s="33">
        <f>'Water Heater Stock'!R8*'Device Energy Use'!$B7/1000</f>
        <v>0</v>
      </c>
      <c r="S39" s="33">
        <f>'Water Heater Stock'!S8*'Device Energy Use'!$B7/1000</f>
        <v>0</v>
      </c>
      <c r="T39" s="33">
        <f>'Water Heater Stock'!T8*'Device Energy Use'!$B7/1000</f>
        <v>0</v>
      </c>
      <c r="U39" s="33">
        <f>'Water Heater Stock'!U8*'Device Energy Use'!$B7/1000</f>
        <v>0</v>
      </c>
      <c r="V39" s="33">
        <f>'Water Heater Stock'!V8*'Device Energy Use'!$B7/1000</f>
        <v>0</v>
      </c>
      <c r="W39" s="33">
        <f>'Water Heater Stock'!W8*'Device Energy Use'!$B7/1000</f>
        <v>0</v>
      </c>
    </row>
    <row r="40" spans="1:23">
      <c r="A40" s="37" t="str">
        <f>'Device Energy Use'!A8</f>
        <v>Instant Gas</v>
      </c>
      <c r="B40" s="33">
        <f>'Water Heater Stock'!B9*'Device Energy Use'!$B8/1000</f>
        <v>0</v>
      </c>
      <c r="C40" s="33">
        <f>'Water Heater Stock'!C9*'Device Energy Use'!$B8/1000</f>
        <v>0</v>
      </c>
      <c r="D40" s="33">
        <f>'Water Heater Stock'!D9*'Device Energy Use'!$B8/1000</f>
        <v>0</v>
      </c>
      <c r="E40" s="33">
        <f>'Water Heater Stock'!E9*'Device Energy Use'!$B8/1000</f>
        <v>0</v>
      </c>
      <c r="F40" s="33">
        <f>'Water Heater Stock'!F9*'Device Energy Use'!$B8/1000</f>
        <v>0</v>
      </c>
      <c r="G40" s="33">
        <f>'Water Heater Stock'!G9*'Device Energy Use'!$B8/1000</f>
        <v>0</v>
      </c>
      <c r="H40" s="33">
        <f>'Water Heater Stock'!H9*'Device Energy Use'!$B8/1000</f>
        <v>0</v>
      </c>
      <c r="I40" s="33">
        <f>'Water Heater Stock'!I9*'Device Energy Use'!$B8/1000</f>
        <v>0</v>
      </c>
      <c r="J40" s="33">
        <f>'Water Heater Stock'!J9*'Device Energy Use'!$B8/1000</f>
        <v>0</v>
      </c>
      <c r="K40" s="33">
        <f>'Water Heater Stock'!K9*'Device Energy Use'!$B8/1000</f>
        <v>0</v>
      </c>
      <c r="L40" s="33">
        <f>'Water Heater Stock'!L9*'Device Energy Use'!$B8/1000</f>
        <v>0</v>
      </c>
      <c r="M40" s="33">
        <f>'Water Heater Stock'!M9*'Device Energy Use'!$B8/1000</f>
        <v>0</v>
      </c>
      <c r="N40" s="33">
        <f>'Water Heater Stock'!N9*'Device Energy Use'!$B8/1000</f>
        <v>0</v>
      </c>
      <c r="O40" s="33">
        <f>'Water Heater Stock'!O9*'Device Energy Use'!$B8/1000</f>
        <v>0</v>
      </c>
      <c r="P40" s="33">
        <f>'Water Heater Stock'!P9*'Device Energy Use'!$B8/1000</f>
        <v>0</v>
      </c>
      <c r="Q40" s="33">
        <f>'Water Heater Stock'!Q9*'Device Energy Use'!$B8/1000</f>
        <v>0</v>
      </c>
      <c r="R40" s="33">
        <f>'Water Heater Stock'!R9*'Device Energy Use'!$B8/1000</f>
        <v>0</v>
      </c>
      <c r="S40" s="33">
        <f>'Water Heater Stock'!S9*'Device Energy Use'!$B8/1000</f>
        <v>0</v>
      </c>
      <c r="T40" s="33">
        <f>'Water Heater Stock'!T9*'Device Energy Use'!$B8/1000</f>
        <v>0</v>
      </c>
      <c r="U40" s="33">
        <f>'Water Heater Stock'!U9*'Device Energy Use'!$B8/1000</f>
        <v>0</v>
      </c>
      <c r="V40" s="33">
        <f>'Water Heater Stock'!V9*'Device Energy Use'!$B8/1000</f>
        <v>0</v>
      </c>
      <c r="W40" s="33">
        <f>'Water Heater Stock'!W9*'Device Energy Use'!$B8/1000</f>
        <v>0</v>
      </c>
    </row>
    <row r="41" spans="1:23">
      <c r="A41" s="37" t="str">
        <f>'Device Energy Use'!A9</f>
        <v>Condensing Gas</v>
      </c>
      <c r="B41" s="33">
        <f>'Water Heater Stock'!B10*'Device Energy Use'!$B9/1000</f>
        <v>0</v>
      </c>
      <c r="C41" s="33">
        <f>'Water Heater Stock'!C10*'Device Energy Use'!$B9/1000</f>
        <v>0</v>
      </c>
      <c r="D41" s="33">
        <f>'Water Heater Stock'!D10*'Device Energy Use'!$B9/1000</f>
        <v>0</v>
      </c>
      <c r="E41" s="33">
        <f>'Water Heater Stock'!E10*'Device Energy Use'!$B9/1000</f>
        <v>0</v>
      </c>
      <c r="F41" s="33">
        <f>'Water Heater Stock'!F10*'Device Energy Use'!$B9/1000</f>
        <v>0</v>
      </c>
      <c r="G41" s="33">
        <f>'Water Heater Stock'!G10*'Device Energy Use'!$B9/1000</f>
        <v>0</v>
      </c>
      <c r="H41" s="33">
        <f>'Water Heater Stock'!H10*'Device Energy Use'!$B9/1000</f>
        <v>0</v>
      </c>
      <c r="I41" s="33">
        <f>'Water Heater Stock'!I10*'Device Energy Use'!$B9/1000</f>
        <v>0</v>
      </c>
      <c r="J41" s="33">
        <f>'Water Heater Stock'!J10*'Device Energy Use'!$B9/1000</f>
        <v>0</v>
      </c>
      <c r="K41" s="33">
        <f>'Water Heater Stock'!K10*'Device Energy Use'!$B9/1000</f>
        <v>0</v>
      </c>
      <c r="L41" s="33">
        <f>'Water Heater Stock'!L10*'Device Energy Use'!$B9/1000</f>
        <v>0</v>
      </c>
      <c r="M41" s="33">
        <f>'Water Heater Stock'!M10*'Device Energy Use'!$B9/1000</f>
        <v>0</v>
      </c>
      <c r="N41" s="33">
        <f>'Water Heater Stock'!N10*'Device Energy Use'!$B9/1000</f>
        <v>0</v>
      </c>
      <c r="O41" s="33">
        <f>'Water Heater Stock'!O10*'Device Energy Use'!$B9/1000</f>
        <v>0</v>
      </c>
      <c r="P41" s="33">
        <f>'Water Heater Stock'!P10*'Device Energy Use'!$B9/1000</f>
        <v>0</v>
      </c>
      <c r="Q41" s="33">
        <f>'Water Heater Stock'!Q10*'Device Energy Use'!$B9/1000</f>
        <v>0</v>
      </c>
      <c r="R41" s="33">
        <f>'Water Heater Stock'!R10*'Device Energy Use'!$B9/1000</f>
        <v>0</v>
      </c>
      <c r="S41" s="33">
        <f>'Water Heater Stock'!S10*'Device Energy Use'!$B9/1000</f>
        <v>0</v>
      </c>
      <c r="T41" s="33">
        <f>'Water Heater Stock'!T10*'Device Energy Use'!$B9/1000</f>
        <v>0</v>
      </c>
      <c r="U41" s="33">
        <f>'Water Heater Stock'!U10*'Device Energy Use'!$B9/1000</f>
        <v>0</v>
      </c>
      <c r="V41" s="33">
        <f>'Water Heater Stock'!V10*'Device Energy Use'!$B9/1000</f>
        <v>0</v>
      </c>
      <c r="W41" s="33">
        <f>'Water Heater Stock'!W10*'Device Energy Use'!$B9/1000</f>
        <v>0</v>
      </c>
    </row>
    <row r="42" spans="1:23">
      <c r="A42" s="37"/>
    </row>
    <row r="43" spans="1:23">
      <c r="A43" s="12" t="s">
        <v>98</v>
      </c>
    </row>
    <row r="44" spans="1:23">
      <c r="A44" s="38" t="str">
        <f>'Device Energy Use'!A4</f>
        <v>Water Heat Ending</v>
      </c>
      <c r="B44" s="41">
        <f>'Water Heater Stock'!B13</f>
        <v>2014</v>
      </c>
      <c r="C44" s="41">
        <f>'Water Heater Stock'!C13</f>
        <v>2015</v>
      </c>
      <c r="D44" s="41">
        <f>'Water Heater Stock'!D13</f>
        <v>2016</v>
      </c>
      <c r="E44" s="41">
        <f>'Water Heater Stock'!E13</f>
        <v>2017</v>
      </c>
      <c r="F44" s="41">
        <f>'Water Heater Stock'!F13</f>
        <v>2018</v>
      </c>
      <c r="G44" s="41">
        <f>'Water Heater Stock'!G13</f>
        <v>2019</v>
      </c>
      <c r="H44" s="41">
        <f>'Water Heater Stock'!H13</f>
        <v>2020</v>
      </c>
      <c r="I44" s="41">
        <f>'Water Heater Stock'!I13</f>
        <v>2021</v>
      </c>
      <c r="J44" s="41">
        <f>'Water Heater Stock'!J13</f>
        <v>2022</v>
      </c>
      <c r="K44" s="41">
        <f>'Water Heater Stock'!K13</f>
        <v>2023</v>
      </c>
      <c r="L44" s="41">
        <f>'Water Heater Stock'!L13</f>
        <v>2024</v>
      </c>
      <c r="M44" s="41">
        <f>'Water Heater Stock'!M13</f>
        <v>2025</v>
      </c>
      <c r="N44" s="41">
        <f>'Water Heater Stock'!N13</f>
        <v>2026</v>
      </c>
      <c r="O44" s="41">
        <f>'Water Heater Stock'!O13</f>
        <v>2027</v>
      </c>
      <c r="P44" s="41">
        <f>'Water Heater Stock'!P13</f>
        <v>2028</v>
      </c>
      <c r="Q44" s="41">
        <f>'Water Heater Stock'!Q13</f>
        <v>2029</v>
      </c>
      <c r="R44" s="41">
        <f>'Water Heater Stock'!R13</f>
        <v>2030</v>
      </c>
      <c r="S44" s="41">
        <f>'Water Heater Stock'!S13</f>
        <v>2031</v>
      </c>
      <c r="T44" s="41">
        <f>'Water Heater Stock'!T13</f>
        <v>2032</v>
      </c>
      <c r="U44" s="41">
        <f>'Water Heater Stock'!U13</f>
        <v>2033</v>
      </c>
      <c r="V44" s="41">
        <f>'Water Heater Stock'!V13</f>
        <v>2034</v>
      </c>
      <c r="W44" s="41">
        <f>'Water Heater Stock'!W13</f>
        <v>2035</v>
      </c>
    </row>
    <row r="45" spans="1:23" ht="16.5" thickBot="1">
      <c r="A45" s="48" t="s">
        <v>44</v>
      </c>
      <c r="B45" s="49">
        <f t="shared" ref="B45:W45" si="10">SUM(B46:B50)</f>
        <v>72373.363720485431</v>
      </c>
      <c r="C45" s="49">
        <f t="shared" si="10"/>
        <v>70023.306441258057</v>
      </c>
      <c r="D45" s="49">
        <f t="shared" si="10"/>
        <v>67841.110396261211</v>
      </c>
      <c r="E45" s="49">
        <f t="shared" si="10"/>
        <v>65814.785497335572</v>
      </c>
      <c r="F45" s="49">
        <f t="shared" si="10"/>
        <v>63933.198091190337</v>
      </c>
      <c r="G45" s="49">
        <f t="shared" si="10"/>
        <v>62186.009785484057</v>
      </c>
      <c r="H45" s="49">
        <f t="shared" si="10"/>
        <v>60563.62064447107</v>
      </c>
      <c r="I45" s="49">
        <f t="shared" si="10"/>
        <v>59057.116442101862</v>
      </c>
      <c r="J45" s="49">
        <f t="shared" si="10"/>
        <v>57658.219682759023</v>
      </c>
      <c r="K45" s="49">
        <f t="shared" si="10"/>
        <v>56359.244120512114</v>
      </c>
      <c r="L45" s="49">
        <f t="shared" si="10"/>
        <v>55153.052526997126</v>
      </c>
      <c r="M45" s="49">
        <f t="shared" si="10"/>
        <v>54033.01747587607</v>
      </c>
      <c r="N45" s="49">
        <f t="shared" si="10"/>
        <v>52992.984928406513</v>
      </c>
      <c r="O45" s="49">
        <f t="shared" si="10"/>
        <v>52027.240420041926</v>
      </c>
      <c r="P45" s="49">
        <f t="shared" si="10"/>
        <v>51130.477662274803</v>
      </c>
      <c r="Q45" s="49">
        <f t="shared" si="10"/>
        <v>50297.769387205335</v>
      </c>
      <c r="R45" s="49">
        <f t="shared" si="10"/>
        <v>49524.540274640836</v>
      </c>
      <c r="S45" s="49">
        <f t="shared" si="10"/>
        <v>48806.541812973795</v>
      </c>
      <c r="T45" s="49">
        <f t="shared" si="10"/>
        <v>48139.828955711549</v>
      </c>
      <c r="U45" s="49">
        <f t="shared" si="10"/>
        <v>47520.738445396593</v>
      </c>
      <c r="V45" s="49">
        <f t="shared" si="10"/>
        <v>46945.868685818437</v>
      </c>
      <c r="W45" s="49">
        <f t="shared" si="10"/>
        <v>46412.061051924422</v>
      </c>
    </row>
    <row r="46" spans="1:23" ht="16.5" thickTop="1">
      <c r="A46" s="37" t="str">
        <f>'Device Energy Use'!A5</f>
        <v>Electric Resistance</v>
      </c>
      <c r="B46" s="33">
        <f>'Water Heater Stock'!B15*'Device Energy Use'!$B5/1000</f>
        <v>72373.363720485431</v>
      </c>
      <c r="C46" s="33">
        <f>'Water Heater Stock'!C15*'Device Energy Use'!$B5/1000</f>
        <v>67203.837740450748</v>
      </c>
      <c r="D46" s="33">
        <f>'Water Heater Stock'!D15*'Device Energy Use'!$B5/1000</f>
        <v>62403.563616132844</v>
      </c>
      <c r="E46" s="33">
        <f>'Water Heater Stock'!E15*'Device Energy Use'!$B5/1000</f>
        <v>57946.166214980491</v>
      </c>
      <c r="F46" s="33">
        <f>'Water Heater Stock'!F15*'Device Energy Use'!$B5/1000</f>
        <v>53807.154342481888</v>
      </c>
      <c r="G46" s="33">
        <f>'Water Heater Stock'!G15*'Device Energy Use'!$B5/1000</f>
        <v>49963.78617516176</v>
      </c>
      <c r="H46" s="33">
        <f>'Water Heater Stock'!H15*'Device Energy Use'!$B5/1000</f>
        <v>46394.94430550735</v>
      </c>
      <c r="I46" s="33">
        <f>'Water Heater Stock'!I15*'Device Energy Use'!$B5/1000</f>
        <v>43081.019712256821</v>
      </c>
      <c r="J46" s="33">
        <f>'Water Heater Stock'!J15*'Device Energy Use'!$B5/1000</f>
        <v>40003.804018524184</v>
      </c>
      <c r="K46" s="33">
        <f>'Water Heater Stock'!K15*'Device Energy Use'!$B5/1000</f>
        <v>37146.38944577246</v>
      </c>
      <c r="L46" s="33">
        <f>'Water Heater Stock'!L15*'Device Energy Use'!$B5/1000</f>
        <v>34493.075913931571</v>
      </c>
      <c r="M46" s="33">
        <f>'Water Heater Stock'!M15*'Device Energy Use'!$B5/1000</f>
        <v>32029.284777222179</v>
      </c>
      <c r="N46" s="33">
        <f>'Water Heater Stock'!N15*'Device Energy Use'!$B5/1000</f>
        <v>29741.478721706309</v>
      </c>
      <c r="O46" s="33">
        <f>'Water Heater Stock'!O15*'Device Energy Use'!$B5/1000</f>
        <v>27617.087384441573</v>
      </c>
      <c r="P46" s="33">
        <f>'Water Heater Stock'!P15*'Device Energy Use'!$B5/1000</f>
        <v>25644.438285552889</v>
      </c>
      <c r="Q46" s="33">
        <f>'Water Heater Stock'!Q15*'Device Energy Use'!$B5/1000</f>
        <v>23812.692693727684</v>
      </c>
      <c r="R46" s="33">
        <f>'Water Heater Stock'!R15*'Device Energy Use'!$B5/1000</f>
        <v>22111.786072747138</v>
      </c>
      <c r="S46" s="33">
        <f>'Water Heater Stock'!S15*'Device Energy Use'!$B5/1000</f>
        <v>20532.372781836628</v>
      </c>
      <c r="T46" s="33">
        <f>'Water Heater Stock'!T15*'Device Energy Use'!$B5/1000</f>
        <v>19065.774725991156</v>
      </c>
      <c r="U46" s="33">
        <f>'Water Heater Stock'!U15*'Device Energy Use'!$B5/1000</f>
        <v>17703.933674134645</v>
      </c>
      <c r="V46" s="33">
        <f>'Water Heater Stock'!V15*'Device Energy Use'!$B5/1000</f>
        <v>16439.366983125026</v>
      </c>
      <c r="W46" s="33">
        <f>'Water Heater Stock'!W15*'Device Energy Use'!$B5/1000</f>
        <v>15265.126484330382</v>
      </c>
    </row>
    <row r="47" spans="1:23">
      <c r="A47" s="37" t="str">
        <f>'Device Energy Use'!A6</f>
        <v>HPWH</v>
      </c>
      <c r="B47" s="33">
        <f>'Water Heater Stock'!B16*'Device Energy Use'!$B6/1000</f>
        <v>0</v>
      </c>
      <c r="C47" s="33">
        <f>'Water Heater Stock'!C16*'Device Energy Use'!$B6/1000</f>
        <v>2819.4687008073047</v>
      </c>
      <c r="D47" s="33">
        <f>'Water Heater Stock'!D16*'Device Energy Use'!$B6/1000</f>
        <v>5437.546780128373</v>
      </c>
      <c r="E47" s="33">
        <f>'Water Heater Stock'!E16*'Device Energy Use'!$B6/1000</f>
        <v>7868.6192823550791</v>
      </c>
      <c r="F47" s="33">
        <f>'Water Heater Stock'!F16*'Device Energy Use'!$B6/1000</f>
        <v>10126.043748708449</v>
      </c>
      <c r="G47" s="33">
        <f>'Water Heater Stock'!G16*'Device Energy Use'!$B6/1000</f>
        <v>12222.223610322293</v>
      </c>
      <c r="H47" s="33">
        <f>'Water Heater Stock'!H16*'Device Energy Use'!$B6/1000</f>
        <v>14168.676338963718</v>
      </c>
      <c r="I47" s="33">
        <f>'Water Heater Stock'!I16*'Device Energy Use'!$B6/1000</f>
        <v>15976.096729845041</v>
      </c>
      <c r="J47" s="33">
        <f>'Water Heater Stock'!J16*'Device Energy Use'!$B6/1000</f>
        <v>17654.415664234843</v>
      </c>
      <c r="K47" s="33">
        <f>'Water Heater Stock'!K16*'Device Energy Use'!$B6/1000</f>
        <v>19212.854674739658</v>
      </c>
      <c r="L47" s="33">
        <f>'Water Heater Stock'!L16*'Device Energy Use'!$B6/1000</f>
        <v>20659.976613065555</v>
      </c>
      <c r="M47" s="33">
        <f>'Water Heater Stock'!M16*'Device Energy Use'!$B6/1000</f>
        <v>22003.73269865389</v>
      </c>
      <c r="N47" s="33">
        <f>'Water Heater Stock'!N16*'Device Energy Use'!$B6/1000</f>
        <v>23251.506206700204</v>
      </c>
      <c r="O47" s="33">
        <f>'Water Heater Stock'!O16*'Device Energy Use'!$B6/1000</f>
        <v>24410.15303560035</v>
      </c>
      <c r="P47" s="33">
        <f>'Water Heater Stock'!P16*'Device Energy Use'!$B6/1000</f>
        <v>25486.039376721914</v>
      </c>
      <c r="Q47" s="33">
        <f>'Water Heater Stock'!Q16*'Device Energy Use'!$B6/1000</f>
        <v>26485.076693477655</v>
      </c>
      <c r="R47" s="33">
        <f>'Water Heater Stock'!R16*'Device Energy Use'!$B6/1000</f>
        <v>27412.754201893698</v>
      </c>
      <c r="S47" s="33">
        <f>'Water Heater Stock'!S16*'Device Energy Use'!$B6/1000</f>
        <v>28274.169031137168</v>
      </c>
      <c r="T47" s="33">
        <f>'Water Heater Stock'!T16*'Device Energy Use'!$B6/1000</f>
        <v>29074.05422972039</v>
      </c>
      <c r="U47" s="33">
        <f>'Water Heater Stock'!U16*'Device Energy Use'!$B6/1000</f>
        <v>29816.804771261952</v>
      </c>
      <c r="V47" s="33">
        <f>'Water Heater Stock'!V16*'Device Energy Use'!$B6/1000</f>
        <v>30506.501702693407</v>
      </c>
      <c r="W47" s="33">
        <f>'Water Heater Stock'!W16*'Device Energy Use'!$B6/1000</f>
        <v>31146.934567594039</v>
      </c>
    </row>
    <row r="48" spans="1:23">
      <c r="A48" s="37" t="str">
        <f>'Device Energy Use'!A7</f>
        <v>Gas Tank</v>
      </c>
      <c r="B48" s="33">
        <f>'Water Heater Stock'!B17*'Device Energy Use'!$B7/1000</f>
        <v>0</v>
      </c>
      <c r="C48" s="33">
        <f>'Water Heater Stock'!C17*'Device Energy Use'!$B7/1000</f>
        <v>0</v>
      </c>
      <c r="D48" s="33">
        <f>'Water Heater Stock'!D17*'Device Energy Use'!$B7/1000</f>
        <v>0</v>
      </c>
      <c r="E48" s="33">
        <f>'Water Heater Stock'!E17*'Device Energy Use'!$B7/1000</f>
        <v>0</v>
      </c>
      <c r="F48" s="33">
        <f>'Water Heater Stock'!F17*'Device Energy Use'!$B7/1000</f>
        <v>0</v>
      </c>
      <c r="G48" s="33">
        <f>'Water Heater Stock'!G17*'Device Energy Use'!$B7/1000</f>
        <v>0</v>
      </c>
      <c r="H48" s="33">
        <f>'Water Heater Stock'!H17*'Device Energy Use'!$B7/1000</f>
        <v>0</v>
      </c>
      <c r="I48" s="33">
        <f>'Water Heater Stock'!I17*'Device Energy Use'!$B7/1000</f>
        <v>0</v>
      </c>
      <c r="J48" s="33">
        <f>'Water Heater Stock'!J17*'Device Energy Use'!$B7/1000</f>
        <v>0</v>
      </c>
      <c r="K48" s="33">
        <f>'Water Heater Stock'!K17*'Device Energy Use'!$B7/1000</f>
        <v>0</v>
      </c>
      <c r="L48" s="33">
        <f>'Water Heater Stock'!L17*'Device Energy Use'!$B7/1000</f>
        <v>0</v>
      </c>
      <c r="M48" s="33">
        <f>'Water Heater Stock'!M17*'Device Energy Use'!$B7/1000</f>
        <v>0</v>
      </c>
      <c r="N48" s="33">
        <f>'Water Heater Stock'!N17*'Device Energy Use'!$B7/1000</f>
        <v>0</v>
      </c>
      <c r="O48" s="33">
        <f>'Water Heater Stock'!O17*'Device Energy Use'!$B7/1000</f>
        <v>0</v>
      </c>
      <c r="P48" s="33">
        <f>'Water Heater Stock'!P17*'Device Energy Use'!$B7/1000</f>
        <v>0</v>
      </c>
      <c r="Q48" s="33">
        <f>'Water Heater Stock'!Q17*'Device Energy Use'!$B7/1000</f>
        <v>0</v>
      </c>
      <c r="R48" s="33">
        <f>'Water Heater Stock'!R17*'Device Energy Use'!$B7/1000</f>
        <v>0</v>
      </c>
      <c r="S48" s="33">
        <f>'Water Heater Stock'!S17*'Device Energy Use'!$B7/1000</f>
        <v>0</v>
      </c>
      <c r="T48" s="33">
        <f>'Water Heater Stock'!T17*'Device Energy Use'!$B7/1000</f>
        <v>0</v>
      </c>
      <c r="U48" s="33">
        <f>'Water Heater Stock'!U17*'Device Energy Use'!$B7/1000</f>
        <v>0</v>
      </c>
      <c r="V48" s="33">
        <f>'Water Heater Stock'!V17*'Device Energy Use'!$B7/1000</f>
        <v>0</v>
      </c>
      <c r="W48" s="33">
        <f>'Water Heater Stock'!W17*'Device Energy Use'!$B7/1000</f>
        <v>0</v>
      </c>
    </row>
    <row r="49" spans="1:23">
      <c r="A49" s="37" t="str">
        <f>'Device Energy Use'!A8</f>
        <v>Instant Gas</v>
      </c>
      <c r="B49" s="33">
        <f>'Water Heater Stock'!B18*'Device Energy Use'!$B8/1000</f>
        <v>0</v>
      </c>
      <c r="C49" s="33">
        <f>'Water Heater Stock'!C18*'Device Energy Use'!$B8/1000</f>
        <v>0</v>
      </c>
      <c r="D49" s="33">
        <f>'Water Heater Stock'!D18*'Device Energy Use'!$B8/1000</f>
        <v>0</v>
      </c>
      <c r="E49" s="33">
        <f>'Water Heater Stock'!E18*'Device Energy Use'!$B8/1000</f>
        <v>0</v>
      </c>
      <c r="F49" s="33">
        <f>'Water Heater Stock'!F18*'Device Energy Use'!$B8/1000</f>
        <v>0</v>
      </c>
      <c r="G49" s="33">
        <f>'Water Heater Stock'!G18*'Device Energy Use'!$B8/1000</f>
        <v>0</v>
      </c>
      <c r="H49" s="33">
        <f>'Water Heater Stock'!H18*'Device Energy Use'!$B8/1000</f>
        <v>0</v>
      </c>
      <c r="I49" s="33">
        <f>'Water Heater Stock'!I18*'Device Energy Use'!$B8/1000</f>
        <v>0</v>
      </c>
      <c r="J49" s="33">
        <f>'Water Heater Stock'!J18*'Device Energy Use'!$B8/1000</f>
        <v>0</v>
      </c>
      <c r="K49" s="33">
        <f>'Water Heater Stock'!K18*'Device Energy Use'!$B8/1000</f>
        <v>0</v>
      </c>
      <c r="L49" s="33">
        <f>'Water Heater Stock'!L18*'Device Energy Use'!$B8/1000</f>
        <v>0</v>
      </c>
      <c r="M49" s="33">
        <f>'Water Heater Stock'!M18*'Device Energy Use'!$B8/1000</f>
        <v>0</v>
      </c>
      <c r="N49" s="33">
        <f>'Water Heater Stock'!N18*'Device Energy Use'!$B8/1000</f>
        <v>0</v>
      </c>
      <c r="O49" s="33">
        <f>'Water Heater Stock'!O18*'Device Energy Use'!$B8/1000</f>
        <v>0</v>
      </c>
      <c r="P49" s="33">
        <f>'Water Heater Stock'!P18*'Device Energy Use'!$B8/1000</f>
        <v>0</v>
      </c>
      <c r="Q49" s="33">
        <f>'Water Heater Stock'!Q18*'Device Energy Use'!$B8/1000</f>
        <v>0</v>
      </c>
      <c r="R49" s="33">
        <f>'Water Heater Stock'!R18*'Device Energy Use'!$B8/1000</f>
        <v>0</v>
      </c>
      <c r="S49" s="33">
        <f>'Water Heater Stock'!S18*'Device Energy Use'!$B8/1000</f>
        <v>0</v>
      </c>
      <c r="T49" s="33">
        <f>'Water Heater Stock'!T18*'Device Energy Use'!$B8/1000</f>
        <v>0</v>
      </c>
      <c r="U49" s="33">
        <f>'Water Heater Stock'!U18*'Device Energy Use'!$B8/1000</f>
        <v>0</v>
      </c>
      <c r="V49" s="33">
        <f>'Water Heater Stock'!V18*'Device Energy Use'!$B8/1000</f>
        <v>0</v>
      </c>
      <c r="W49" s="33">
        <f>'Water Heater Stock'!W18*'Device Energy Use'!$B8/1000</f>
        <v>0</v>
      </c>
    </row>
    <row r="50" spans="1:23">
      <c r="A50" s="37" t="str">
        <f>'Device Energy Use'!A9</f>
        <v>Condensing Gas</v>
      </c>
      <c r="B50" s="33">
        <f>'Water Heater Stock'!B19*'Device Energy Use'!$B9/1000</f>
        <v>0</v>
      </c>
      <c r="C50" s="33">
        <f>'Water Heater Stock'!C19*'Device Energy Use'!$B9/1000</f>
        <v>0</v>
      </c>
      <c r="D50" s="33">
        <f>'Water Heater Stock'!D19*'Device Energy Use'!$B9/1000</f>
        <v>0</v>
      </c>
      <c r="E50" s="33">
        <f>'Water Heater Stock'!E19*'Device Energy Use'!$B9/1000</f>
        <v>0</v>
      </c>
      <c r="F50" s="33">
        <f>'Water Heater Stock'!F19*'Device Energy Use'!$B9/1000</f>
        <v>0</v>
      </c>
      <c r="G50" s="33">
        <f>'Water Heater Stock'!G19*'Device Energy Use'!$B9/1000</f>
        <v>0</v>
      </c>
      <c r="H50" s="33">
        <f>'Water Heater Stock'!H19*'Device Energy Use'!$B9/1000</f>
        <v>0</v>
      </c>
      <c r="I50" s="33">
        <f>'Water Heater Stock'!I19*'Device Energy Use'!$B9/1000</f>
        <v>0</v>
      </c>
      <c r="J50" s="33">
        <f>'Water Heater Stock'!J19*'Device Energy Use'!$B9/1000</f>
        <v>0</v>
      </c>
      <c r="K50" s="33">
        <f>'Water Heater Stock'!K19*'Device Energy Use'!$B9/1000</f>
        <v>0</v>
      </c>
      <c r="L50" s="33">
        <f>'Water Heater Stock'!L19*'Device Energy Use'!$B9/1000</f>
        <v>0</v>
      </c>
      <c r="M50" s="33">
        <f>'Water Heater Stock'!M19*'Device Energy Use'!$B9/1000</f>
        <v>0</v>
      </c>
      <c r="N50" s="33">
        <f>'Water Heater Stock'!N19*'Device Energy Use'!$B9/1000</f>
        <v>0</v>
      </c>
      <c r="O50" s="33">
        <f>'Water Heater Stock'!O19*'Device Energy Use'!$B9/1000</f>
        <v>0</v>
      </c>
      <c r="P50" s="33">
        <f>'Water Heater Stock'!P19*'Device Energy Use'!$B9/1000</f>
        <v>0</v>
      </c>
      <c r="Q50" s="33">
        <f>'Water Heater Stock'!Q19*'Device Energy Use'!$B9/1000</f>
        <v>0</v>
      </c>
      <c r="R50" s="33">
        <f>'Water Heater Stock'!R19*'Device Energy Use'!$B9/1000</f>
        <v>0</v>
      </c>
      <c r="S50" s="33">
        <f>'Water Heater Stock'!S19*'Device Energy Use'!$B9/1000</f>
        <v>0</v>
      </c>
      <c r="T50" s="33">
        <f>'Water Heater Stock'!T19*'Device Energy Use'!$B9/1000</f>
        <v>0</v>
      </c>
      <c r="U50" s="33">
        <f>'Water Heater Stock'!U19*'Device Energy Use'!$B9/1000</f>
        <v>0</v>
      </c>
      <c r="V50" s="33">
        <f>'Water Heater Stock'!V19*'Device Energy Use'!$B9/1000</f>
        <v>0</v>
      </c>
      <c r="W50" s="33">
        <f>'Water Heater Stock'!W19*'Device Energy Use'!$B9/1000</f>
        <v>0</v>
      </c>
    </row>
    <row r="51" spans="1:23">
      <c r="A51" s="37"/>
    </row>
    <row r="52" spans="1:23">
      <c r="A52" s="12" t="s">
        <v>46</v>
      </c>
    </row>
    <row r="53" spans="1:23">
      <c r="A53" s="38" t="str">
        <f>'Device Energy Use'!A4</f>
        <v>Water Heat Ending</v>
      </c>
      <c r="B53" s="41">
        <f>'Water Heater Stock'!B4</f>
        <v>2014</v>
      </c>
      <c r="C53" s="41">
        <f>'Water Heater Stock'!C4</f>
        <v>2015</v>
      </c>
      <c r="D53" s="41">
        <f>'Water Heater Stock'!D4</f>
        <v>2016</v>
      </c>
      <c r="E53" s="41">
        <f>'Water Heater Stock'!E4</f>
        <v>2017</v>
      </c>
      <c r="F53" s="41">
        <f>'Water Heater Stock'!F4</f>
        <v>2018</v>
      </c>
      <c r="G53" s="41">
        <f>'Water Heater Stock'!G4</f>
        <v>2019</v>
      </c>
      <c r="H53" s="41">
        <f>'Water Heater Stock'!H4</f>
        <v>2020</v>
      </c>
      <c r="I53" s="41">
        <f>'Water Heater Stock'!I4</f>
        <v>2021</v>
      </c>
      <c r="J53" s="41">
        <f>'Water Heater Stock'!J4</f>
        <v>2022</v>
      </c>
      <c r="K53" s="41">
        <f>'Water Heater Stock'!K4</f>
        <v>2023</v>
      </c>
      <c r="L53" s="41">
        <f>'Water Heater Stock'!L4</f>
        <v>2024</v>
      </c>
      <c r="M53" s="41">
        <f>'Water Heater Stock'!M4</f>
        <v>2025</v>
      </c>
      <c r="N53" s="41">
        <f>'Water Heater Stock'!N4</f>
        <v>2026</v>
      </c>
      <c r="O53" s="41">
        <f>'Water Heater Stock'!O4</f>
        <v>2027</v>
      </c>
      <c r="P53" s="41">
        <f>'Water Heater Stock'!P4</f>
        <v>2028</v>
      </c>
      <c r="Q53" s="41">
        <f>'Water Heater Stock'!Q4</f>
        <v>2029</v>
      </c>
      <c r="R53" s="41">
        <f>'Water Heater Stock'!R4</f>
        <v>2030</v>
      </c>
      <c r="S53" s="41">
        <f>'Water Heater Stock'!S4</f>
        <v>2031</v>
      </c>
      <c r="T53" s="41">
        <f>'Water Heater Stock'!T4</f>
        <v>2032</v>
      </c>
      <c r="U53" s="41">
        <f>'Water Heater Stock'!U4</f>
        <v>2033</v>
      </c>
      <c r="V53" s="41">
        <f>'Water Heater Stock'!V4</f>
        <v>2034</v>
      </c>
      <c r="W53" s="41">
        <f>'Water Heater Stock'!W4</f>
        <v>2035</v>
      </c>
    </row>
    <row r="54" spans="1:23" ht="16.5" thickBot="1">
      <c r="A54" s="48" t="s">
        <v>44</v>
      </c>
      <c r="B54" s="49">
        <f t="shared" ref="B54:W54" si="11">SUM(B55:B59)</f>
        <v>0</v>
      </c>
      <c r="C54" s="49">
        <f t="shared" si="11"/>
        <v>11757.051201119917</v>
      </c>
      <c r="D54" s="49">
        <f t="shared" si="11"/>
        <v>22688.094070704359</v>
      </c>
      <c r="E54" s="49">
        <f t="shared" si="11"/>
        <v>32852.020650770733</v>
      </c>
      <c r="F54" s="49">
        <f t="shared" si="11"/>
        <v>42303.514147619098</v>
      </c>
      <c r="G54" s="49">
        <f t="shared" si="11"/>
        <v>51093.349575519183</v>
      </c>
      <c r="H54" s="49">
        <f t="shared" si="11"/>
        <v>59268.672926496525</v>
      </c>
      <c r="I54" s="49">
        <f t="shared" si="11"/>
        <v>66873.260400058745</v>
      </c>
      <c r="J54" s="49">
        <f t="shared" si="11"/>
        <v>73947.759117142705</v>
      </c>
      <c r="K54" s="49">
        <f t="shared" si="11"/>
        <v>80529.910640828311</v>
      </c>
      <c r="L54" s="49">
        <f t="shared" si="11"/>
        <v>86654.758531897358</v>
      </c>
      <c r="M54" s="49">
        <f t="shared" si="11"/>
        <v>92354.841079595193</v>
      </c>
      <c r="N54" s="49">
        <f t="shared" si="11"/>
        <v>97660.37026649859</v>
      </c>
      <c r="O54" s="49">
        <f t="shared" si="11"/>
        <v>102599.39795075767</v>
      </c>
      <c r="P54" s="49">
        <f t="shared" si="11"/>
        <v>107197.97017874499</v>
      </c>
      <c r="Q54" s="49">
        <f t="shared" si="11"/>
        <v>111480.27047592893</v>
      </c>
      <c r="R54" s="49">
        <f t="shared" si="11"/>
        <v>115468.75290322982</v>
      </c>
      <c r="S54" s="49">
        <f t="shared" si="11"/>
        <v>119184.26560988369</v>
      </c>
      <c r="T54" s="49">
        <f t="shared" si="11"/>
        <v>122646.16556162326</v>
      </c>
      <c r="U54" s="49">
        <f t="shared" si="11"/>
        <v>125872.42507449845</v>
      </c>
      <c r="V54" s="49">
        <f t="shared" si="11"/>
        <v>128879.7307396359</v>
      </c>
      <c r="W54" s="49">
        <f t="shared" si="11"/>
        <v>131683.57528242999</v>
      </c>
    </row>
    <row r="55" spans="1:23" ht="16.5" thickTop="1">
      <c r="A55" s="37" t="str">
        <f>'Device Energy Use'!A5</f>
        <v>Electric Resistance</v>
      </c>
      <c r="B55" s="33">
        <f>'Water Heater Stock'!B6*'Device Energy Use'!$C5</f>
        <v>0</v>
      </c>
      <c r="C55" s="33">
        <f>'Water Heater Stock'!C6*'Device Energy Use'!$C5</f>
        <v>0</v>
      </c>
      <c r="D55" s="33">
        <f>'Water Heater Stock'!D6*'Device Energy Use'!$C5</f>
        <v>0</v>
      </c>
      <c r="E55" s="33">
        <f>'Water Heater Stock'!E6*'Device Energy Use'!$C5</f>
        <v>0</v>
      </c>
      <c r="F55" s="33">
        <f>'Water Heater Stock'!F6*'Device Energy Use'!$C5</f>
        <v>0</v>
      </c>
      <c r="G55" s="33">
        <f>'Water Heater Stock'!G6*'Device Energy Use'!$C5</f>
        <v>0</v>
      </c>
      <c r="H55" s="33">
        <f>'Water Heater Stock'!H6*'Device Energy Use'!$C5</f>
        <v>0</v>
      </c>
      <c r="I55" s="33">
        <f>'Water Heater Stock'!I6*'Device Energy Use'!$C5</f>
        <v>0</v>
      </c>
      <c r="J55" s="33">
        <f>'Water Heater Stock'!J6*'Device Energy Use'!$C5</f>
        <v>0</v>
      </c>
      <c r="K55" s="33">
        <f>'Water Heater Stock'!K6*'Device Energy Use'!$C5</f>
        <v>0</v>
      </c>
      <c r="L55" s="33">
        <f>'Water Heater Stock'!L6*'Device Energy Use'!$C5</f>
        <v>0</v>
      </c>
      <c r="M55" s="33">
        <f>'Water Heater Stock'!M6*'Device Energy Use'!$C5</f>
        <v>0</v>
      </c>
      <c r="N55" s="33">
        <f>'Water Heater Stock'!N6*'Device Energy Use'!$C5</f>
        <v>0</v>
      </c>
      <c r="O55" s="33">
        <f>'Water Heater Stock'!O6*'Device Energy Use'!$C5</f>
        <v>0</v>
      </c>
      <c r="P55" s="33">
        <f>'Water Heater Stock'!P6*'Device Energy Use'!$C5</f>
        <v>0</v>
      </c>
      <c r="Q55" s="33">
        <f>'Water Heater Stock'!Q6*'Device Energy Use'!$C5</f>
        <v>0</v>
      </c>
      <c r="R55" s="33">
        <f>'Water Heater Stock'!R6*'Device Energy Use'!$C5</f>
        <v>0</v>
      </c>
      <c r="S55" s="33">
        <f>'Water Heater Stock'!S6*'Device Energy Use'!$C5</f>
        <v>0</v>
      </c>
      <c r="T55" s="33">
        <f>'Water Heater Stock'!T6*'Device Energy Use'!$C5</f>
        <v>0</v>
      </c>
      <c r="U55" s="33">
        <f>'Water Heater Stock'!U6*'Device Energy Use'!$C5</f>
        <v>0</v>
      </c>
      <c r="V55" s="33">
        <f>'Water Heater Stock'!V6*'Device Energy Use'!$C5</f>
        <v>0</v>
      </c>
      <c r="W55" s="33">
        <f>'Water Heater Stock'!W6*'Device Energy Use'!$C5</f>
        <v>0</v>
      </c>
    </row>
    <row r="56" spans="1:23">
      <c r="A56" s="37" t="str">
        <f>'Device Energy Use'!A6</f>
        <v>HPWH</v>
      </c>
      <c r="B56" s="33">
        <f>'Water Heater Stock'!B7*'Device Energy Use'!$C6</f>
        <v>0</v>
      </c>
      <c r="C56" s="33">
        <f>'Water Heater Stock'!C7*'Device Energy Use'!$C6</f>
        <v>0</v>
      </c>
      <c r="D56" s="33">
        <f>'Water Heater Stock'!D7*'Device Energy Use'!$C6</f>
        <v>0</v>
      </c>
      <c r="E56" s="33">
        <f>'Water Heater Stock'!E7*'Device Energy Use'!$C6</f>
        <v>0</v>
      </c>
      <c r="F56" s="33">
        <f>'Water Heater Stock'!F7*'Device Energy Use'!$C6</f>
        <v>0</v>
      </c>
      <c r="G56" s="33">
        <f>'Water Heater Stock'!G7*'Device Energy Use'!$C6</f>
        <v>0</v>
      </c>
      <c r="H56" s="33">
        <f>'Water Heater Stock'!H7*'Device Energy Use'!$C6</f>
        <v>0</v>
      </c>
      <c r="I56" s="33">
        <f>'Water Heater Stock'!I7*'Device Energy Use'!$C6</f>
        <v>0</v>
      </c>
      <c r="J56" s="33">
        <f>'Water Heater Stock'!J7*'Device Energy Use'!$C6</f>
        <v>0</v>
      </c>
      <c r="K56" s="33">
        <f>'Water Heater Stock'!K7*'Device Energy Use'!$C6</f>
        <v>0</v>
      </c>
      <c r="L56" s="33">
        <f>'Water Heater Stock'!L7*'Device Energy Use'!$C6</f>
        <v>0</v>
      </c>
      <c r="M56" s="33">
        <f>'Water Heater Stock'!M7*'Device Energy Use'!$C6</f>
        <v>0</v>
      </c>
      <c r="N56" s="33">
        <f>'Water Heater Stock'!N7*'Device Energy Use'!$C6</f>
        <v>0</v>
      </c>
      <c r="O56" s="33">
        <f>'Water Heater Stock'!O7*'Device Energy Use'!$C6</f>
        <v>0</v>
      </c>
      <c r="P56" s="33">
        <f>'Water Heater Stock'!P7*'Device Energy Use'!$C6</f>
        <v>0</v>
      </c>
      <c r="Q56" s="33">
        <f>'Water Heater Stock'!Q7*'Device Energy Use'!$C6</f>
        <v>0</v>
      </c>
      <c r="R56" s="33">
        <f>'Water Heater Stock'!R7*'Device Energy Use'!$C6</f>
        <v>0</v>
      </c>
      <c r="S56" s="33">
        <f>'Water Heater Stock'!S7*'Device Energy Use'!$C6</f>
        <v>0</v>
      </c>
      <c r="T56" s="33">
        <f>'Water Heater Stock'!T7*'Device Energy Use'!$C6</f>
        <v>0</v>
      </c>
      <c r="U56" s="33">
        <f>'Water Heater Stock'!U7*'Device Energy Use'!$C6</f>
        <v>0</v>
      </c>
      <c r="V56" s="33">
        <f>'Water Heater Stock'!V7*'Device Energy Use'!$C6</f>
        <v>0</v>
      </c>
      <c r="W56" s="33">
        <f>'Water Heater Stock'!W7*'Device Energy Use'!$C6</f>
        <v>0</v>
      </c>
    </row>
    <row r="57" spans="1:23">
      <c r="A57" s="37" t="str">
        <f>'Device Energy Use'!A7</f>
        <v>Gas Tank</v>
      </c>
      <c r="B57" s="33">
        <f>'Water Heater Stock'!B8*'Device Energy Use'!$C7</f>
        <v>0</v>
      </c>
      <c r="C57" s="33">
        <f>'Water Heater Stock'!C8*'Device Energy Use'!$C7</f>
        <v>1.0272723939259238</v>
      </c>
      <c r="D57" s="33">
        <f>'Water Heater Stock'!D8*'Device Energy Use'!$C7</f>
        <v>1.9716136584684445</v>
      </c>
      <c r="E57" s="33">
        <f>'Water Heater Stock'!E8*'Device Energy Use'!$C7</f>
        <v>2.8390300774081649</v>
      </c>
      <c r="F57" s="33">
        <f>'Water Heater Stock'!F8*'Device Energy Use'!$C7</f>
        <v>3.6350990434121186</v>
      </c>
      <c r="G57" s="33">
        <f>'Water Heater Stock'!G8*'Device Energy Use'!$C7</f>
        <v>4.3649996671774502</v>
      </c>
      <c r="H57" s="33">
        <f>'Water Heater Stock'!H8*'Device Energy Use'!$C7</f>
        <v>5.0335412006240787</v>
      </c>
      <c r="I57" s="33">
        <f>'Water Heater Stock'!I8*'Device Energy Use'!$C7</f>
        <v>5.645189430286333</v>
      </c>
      <c r="J57" s="33">
        <f>'Water Heater Stock'!J8*'Device Energy Use'!$C7</f>
        <v>6.2040911858993155</v>
      </c>
      <c r="K57" s="33">
        <f>'Water Heater Stock'!K8*'Device Energy Use'!$C7</f>
        <v>6.714097098818181</v>
      </c>
      <c r="L57" s="33">
        <f>'Water Heater Stock'!L8*'Device Energy Use'!$C7</f>
        <v>7.1787827352907954</v>
      </c>
      <c r="M57" s="33">
        <f>'Water Heater Stock'!M8*'Device Energy Use'!$C7</f>
        <v>7.6014682206735644</v>
      </c>
      <c r="N57" s="33">
        <f>'Water Heater Stock'!N8*'Device Energy Use'!$C7</f>
        <v>7.9852364623873635</v>
      </c>
      <c r="O57" s="33">
        <f>'Water Heater Stock'!O8*'Device Energy Use'!$C7</f>
        <v>8.3329500717100569</v>
      </c>
      <c r="P57" s="33">
        <f>'Water Heater Stock'!P8*'Device Energy Use'!$C7</f>
        <v>8.6472670773517191</v>
      </c>
      <c r="Q57" s="33">
        <f>'Water Heater Stock'!Q8*'Device Energy Use'!$C7</f>
        <v>8.9306555171189306</v>
      </c>
      <c r="R57" s="33">
        <f>'Water Heater Stock'!R8*'Device Energy Use'!$C7</f>
        <v>9.1854069878092215</v>
      </c>
      <c r="S57" s="33">
        <f>'Water Heater Stock'!S8*'Device Energy Use'!$C7</f>
        <v>9.4136492277516943</v>
      </c>
      <c r="T57" s="33">
        <f>'Water Heater Stock'!T8*'Device Energy Use'!$C7</f>
        <v>9.6173578010937995</v>
      </c>
      <c r="U57" s="33">
        <f>'Water Heater Stock'!U8*'Device Energy Use'!$C7</f>
        <v>9.7983669479979678</v>
      </c>
      <c r="V57" s="33">
        <f>'Water Heater Stock'!V8*'Device Energy Use'!$C7</f>
        <v>9.9583796603280312</v>
      </c>
      <c r="W57" s="33">
        <f>'Water Heater Stock'!W8*'Device Energy Use'!$C7</f>
        <v>10.098977038149149</v>
      </c>
    </row>
    <row r="58" spans="1:23">
      <c r="A58" s="37" t="str">
        <f>'Device Energy Use'!A8</f>
        <v>Instant Gas</v>
      </c>
      <c r="B58" s="33">
        <f>'Water Heater Stock'!B9*'Device Energy Use'!$C8</f>
        <v>0</v>
      </c>
      <c r="C58" s="33">
        <f>'Water Heater Stock'!C9*'Device Energy Use'!$C8</f>
        <v>3464.6831294462577</v>
      </c>
      <c r="D58" s="33">
        <f>'Water Heater Stock'!D9*'Device Energy Use'!$C8</f>
        <v>6697.6592625261492</v>
      </c>
      <c r="E58" s="33">
        <f>'Water Heater Stock'!E9*'Device Energy Use'!$C8</f>
        <v>9715.5482632675739</v>
      </c>
      <c r="F58" s="33">
        <f>'Water Heater Stock'!F9*'Device Energy Use'!$C8</f>
        <v>12533.781396056982</v>
      </c>
      <c r="G58" s="33">
        <f>'Water Heater Stock'!G9*'Device Energy Use'!$C8</f>
        <v>15166.686184963221</v>
      </c>
      <c r="H58" s="33">
        <f>'Water Heater Stock'!H9*'Device Energy Use'!$C8</f>
        <v>17627.565211699315</v>
      </c>
      <c r="I58" s="33">
        <f>'Water Heater Stock'!I9*'Device Energy Use'!$C8</f>
        <v>19928.769285206166</v>
      </c>
      <c r="J58" s="33">
        <f>'Water Heater Stock'!J9*'Device Energy Use'!$C8</f>
        <v>22081.76538491547</v>
      </c>
      <c r="K58" s="33">
        <f>'Water Heater Stock'!K9*'Device Energy Use'!$C8</f>
        <v>24097.199751031294</v>
      </c>
      <c r="L58" s="33">
        <f>'Water Heater Stock'!L9*'Device Energy Use'!$C8</f>
        <v>25984.956468503151</v>
      </c>
      <c r="M58" s="33">
        <f>'Water Heater Stock'!M9*'Device Energy Use'!$C8</f>
        <v>27754.211866601596</v>
      </c>
      <c r="N58" s="33">
        <f>'Water Heater Stock'!N9*'Device Energy Use'!$C8</f>
        <v>29413.485033014258</v>
      </c>
      <c r="O58" s="33">
        <f>'Water Heater Stock'!O9*'Device Energy Use'!$C8</f>
        <v>30970.684720029229</v>
      </c>
      <c r="P58" s="33">
        <f>'Water Heater Stock'!P9*'Device Energy Use'!$C8</f>
        <v>32433.152900547109</v>
      </c>
      <c r="Q58" s="33">
        <f>'Water Heater Stock'!Q9*'Device Energy Use'!$C8</f>
        <v>33807.705213253103</v>
      </c>
      <c r="R58" s="33">
        <f>'Water Heater Stock'!R9*'Device Energy Use'!$C8</f>
        <v>35100.668519185929</v>
      </c>
      <c r="S58" s="33">
        <f>'Water Heater Stock'!S9*'Device Energy Use'!$C8</f>
        <v>36317.915776066402</v>
      </c>
      <c r="T58" s="33">
        <f>'Water Heater Stock'!T9*'Device Energy Use'!$C8</f>
        <v>37464.898422008686</v>
      </c>
      <c r="U58" s="33">
        <f>'Water Heater Stock'!U9*'Device Energy Use'!$C8</f>
        <v>38546.67644654998</v>
      </c>
      <c r="V58" s="33">
        <f>'Water Heater Stock'!V9*'Device Energy Use'!$C8</f>
        <v>39567.946314224886</v>
      </c>
      <c r="W58" s="33">
        <f>'Water Heater Stock'!W9*'Device Energy Use'!$C8</f>
        <v>40533.066894108895</v>
      </c>
    </row>
    <row r="59" spans="1:23">
      <c r="A59" s="37" t="str">
        <f>'Device Energy Use'!A9</f>
        <v>Condensing Gas</v>
      </c>
      <c r="B59" s="33">
        <f>'Water Heater Stock'!B10*'Device Energy Use'!$C9</f>
        <v>0</v>
      </c>
      <c r="C59" s="33">
        <f>'Water Heater Stock'!C10*'Device Energy Use'!$C9</f>
        <v>8291.3407992797329</v>
      </c>
      <c r="D59" s="33">
        <f>'Water Heater Stock'!D10*'Device Energy Use'!$C9</f>
        <v>15988.463194519742</v>
      </c>
      <c r="E59" s="33">
        <f>'Water Heater Stock'!E10*'Device Energy Use'!$C9</f>
        <v>23133.633357425751</v>
      </c>
      <c r="F59" s="33">
        <f>'Water Heater Stock'!F10*'Device Energy Use'!$C9</f>
        <v>29766.097652518703</v>
      </c>
      <c r="G59" s="33">
        <f>'Water Heater Stock'!G10*'Device Energy Use'!$C9</f>
        <v>35922.298390888784</v>
      </c>
      <c r="H59" s="33">
        <f>'Water Heater Stock'!H10*'Device Energy Use'!$C9</f>
        <v>41636.074173596586</v>
      </c>
      <c r="I59" s="33">
        <f>'Water Heater Stock'!I10*'Device Energy Use'!$C9</f>
        <v>46938.845925422291</v>
      </c>
      <c r="J59" s="33">
        <f>'Water Heater Stock'!J10*'Device Energy Use'!$C9</f>
        <v>51859.78964104133</v>
      </c>
      <c r="K59" s="33">
        <f>'Water Heater Stock'!K10*'Device Energy Use'!$C9</f>
        <v>56425.996792698192</v>
      </c>
      <c r="L59" s="33">
        <f>'Water Heater Stock'!L10*'Device Energy Use'!$C9</f>
        <v>60662.623280658925</v>
      </c>
      <c r="M59" s="33">
        <f>'Water Heater Stock'!M10*'Device Energy Use'!$C9</f>
        <v>64593.027744772924</v>
      </c>
      <c r="N59" s="33">
        <f>'Water Heater Stock'!N10*'Device Energy Use'!$C9</f>
        <v>68238.899997021945</v>
      </c>
      <c r="O59" s="33">
        <f>'Water Heater Stock'!O10*'Device Energy Use'!$C9</f>
        <v>71620.38028065674</v>
      </c>
      <c r="P59" s="33">
        <f>'Water Heater Stock'!P10*'Device Energy Use'!$C9</f>
        <v>74756.170011120528</v>
      </c>
      <c r="Q59" s="33">
        <f>'Water Heater Stock'!Q10*'Device Energy Use'!$C9</f>
        <v>77663.634607158703</v>
      </c>
      <c r="R59" s="33">
        <f>'Water Heater Stock'!R10*'Device Energy Use'!$C9</f>
        <v>80358.898977056073</v>
      </c>
      <c r="S59" s="33">
        <f>'Water Heater Stock'!S10*'Device Energy Use'!$C9</f>
        <v>82856.936184589533</v>
      </c>
      <c r="T59" s="33">
        <f>'Water Heater Stock'!T10*'Device Energy Use'!$C9</f>
        <v>85171.649781813481</v>
      </c>
      <c r="U59" s="33">
        <f>'Water Heater Stock'!U10*'Device Energy Use'!$C9</f>
        <v>87315.950261000471</v>
      </c>
      <c r="V59" s="33">
        <f>'Water Heater Stock'!V10*'Device Energy Use'!$C9</f>
        <v>89301.826045750684</v>
      </c>
      <c r="W59" s="33">
        <f>'Water Heater Stock'!W10*'Device Energy Use'!$C9</f>
        <v>91140.409411282933</v>
      </c>
    </row>
    <row r="61" spans="1:23">
      <c r="A61" s="12" t="s">
        <v>99</v>
      </c>
    </row>
    <row r="62" spans="1:23">
      <c r="A62" s="38" t="str">
        <f>'Device Energy Use'!A4</f>
        <v>Water Heat Ending</v>
      </c>
      <c r="B62" s="41">
        <f>'Water Heater Stock'!B13</f>
        <v>2014</v>
      </c>
      <c r="C62" s="41">
        <f>'Water Heater Stock'!C13</f>
        <v>2015</v>
      </c>
      <c r="D62" s="41">
        <f>'Water Heater Stock'!D13</f>
        <v>2016</v>
      </c>
      <c r="E62" s="41">
        <f>'Water Heater Stock'!E13</f>
        <v>2017</v>
      </c>
      <c r="F62" s="41">
        <f>'Water Heater Stock'!F13</f>
        <v>2018</v>
      </c>
      <c r="G62" s="41">
        <f>'Water Heater Stock'!G13</f>
        <v>2019</v>
      </c>
      <c r="H62" s="41">
        <f>'Water Heater Stock'!H13</f>
        <v>2020</v>
      </c>
      <c r="I62" s="41">
        <f>'Water Heater Stock'!I13</f>
        <v>2021</v>
      </c>
      <c r="J62" s="41">
        <f>'Water Heater Stock'!J13</f>
        <v>2022</v>
      </c>
      <c r="K62" s="41">
        <f>'Water Heater Stock'!K13</f>
        <v>2023</v>
      </c>
      <c r="L62" s="41">
        <f>'Water Heater Stock'!L13</f>
        <v>2024</v>
      </c>
      <c r="M62" s="41">
        <f>'Water Heater Stock'!M13</f>
        <v>2025</v>
      </c>
      <c r="N62" s="41">
        <f>'Water Heater Stock'!N13</f>
        <v>2026</v>
      </c>
      <c r="O62" s="41">
        <f>'Water Heater Stock'!O13</f>
        <v>2027</v>
      </c>
      <c r="P62" s="41">
        <f>'Water Heater Stock'!P13</f>
        <v>2028</v>
      </c>
      <c r="Q62" s="41">
        <f>'Water Heater Stock'!Q13</f>
        <v>2029</v>
      </c>
      <c r="R62" s="41">
        <f>'Water Heater Stock'!R13</f>
        <v>2030</v>
      </c>
      <c r="S62" s="41">
        <f>'Water Heater Stock'!S13</f>
        <v>2031</v>
      </c>
      <c r="T62" s="41">
        <f>'Water Heater Stock'!T13</f>
        <v>2032</v>
      </c>
      <c r="U62" s="41">
        <f>'Water Heater Stock'!U13</f>
        <v>2033</v>
      </c>
      <c r="V62" s="41">
        <f>'Water Heater Stock'!V13</f>
        <v>2034</v>
      </c>
      <c r="W62" s="41">
        <f>'Water Heater Stock'!W13</f>
        <v>2035</v>
      </c>
    </row>
    <row r="63" spans="1:23" ht="16.5" thickBot="1">
      <c r="A63" s="48" t="s">
        <v>44</v>
      </c>
      <c r="B63" s="49">
        <f t="shared" ref="B63:W63" si="12">SUM(B64:B68)</f>
        <v>0</v>
      </c>
      <c r="C63" s="49">
        <f t="shared" si="12"/>
        <v>0</v>
      </c>
      <c r="D63" s="49">
        <f t="shared" si="12"/>
        <v>0</v>
      </c>
      <c r="E63" s="49">
        <f t="shared" si="12"/>
        <v>0</v>
      </c>
      <c r="F63" s="49">
        <f t="shared" si="12"/>
        <v>0</v>
      </c>
      <c r="G63" s="49">
        <f t="shared" si="12"/>
        <v>0</v>
      </c>
      <c r="H63" s="49">
        <f t="shared" si="12"/>
        <v>0</v>
      </c>
      <c r="I63" s="49">
        <f t="shared" si="12"/>
        <v>0</v>
      </c>
      <c r="J63" s="49">
        <f t="shared" si="12"/>
        <v>0</v>
      </c>
      <c r="K63" s="49">
        <f t="shared" si="12"/>
        <v>0</v>
      </c>
      <c r="L63" s="49">
        <f t="shared" si="12"/>
        <v>0</v>
      </c>
      <c r="M63" s="49">
        <f t="shared" si="12"/>
        <v>0</v>
      </c>
      <c r="N63" s="49">
        <f t="shared" si="12"/>
        <v>0</v>
      </c>
      <c r="O63" s="49">
        <f t="shared" si="12"/>
        <v>0</v>
      </c>
      <c r="P63" s="49">
        <f t="shared" si="12"/>
        <v>0</v>
      </c>
      <c r="Q63" s="49">
        <f t="shared" si="12"/>
        <v>0</v>
      </c>
      <c r="R63" s="49">
        <f t="shared" si="12"/>
        <v>0</v>
      </c>
      <c r="S63" s="49">
        <f t="shared" si="12"/>
        <v>0</v>
      </c>
      <c r="T63" s="49">
        <f t="shared" si="12"/>
        <v>0</v>
      </c>
      <c r="U63" s="49">
        <f t="shared" si="12"/>
        <v>0</v>
      </c>
      <c r="V63" s="49">
        <f t="shared" si="12"/>
        <v>0</v>
      </c>
      <c r="W63" s="49">
        <f t="shared" si="12"/>
        <v>0</v>
      </c>
    </row>
    <row r="64" spans="1:23" ht="16.5" thickTop="1">
      <c r="A64" s="37" t="str">
        <f>'Device Energy Use'!A5</f>
        <v>Electric Resistance</v>
      </c>
      <c r="B64" s="33">
        <f>'Water Heater Stock'!B15*'Device Energy Use'!$C5</f>
        <v>0</v>
      </c>
      <c r="C64" s="33">
        <f>'Water Heater Stock'!C15*'Device Energy Use'!$C5</f>
        <v>0</v>
      </c>
      <c r="D64" s="33">
        <f>'Water Heater Stock'!D15*'Device Energy Use'!$C5</f>
        <v>0</v>
      </c>
      <c r="E64" s="33">
        <f>'Water Heater Stock'!E15*'Device Energy Use'!$C5</f>
        <v>0</v>
      </c>
      <c r="F64" s="33">
        <f>'Water Heater Stock'!F15*'Device Energy Use'!$C5</f>
        <v>0</v>
      </c>
      <c r="G64" s="33">
        <f>'Water Heater Stock'!G15*'Device Energy Use'!$C5</f>
        <v>0</v>
      </c>
      <c r="H64" s="33">
        <f>'Water Heater Stock'!H15*'Device Energy Use'!$C5</f>
        <v>0</v>
      </c>
      <c r="I64" s="33">
        <f>'Water Heater Stock'!I15*'Device Energy Use'!$C5</f>
        <v>0</v>
      </c>
      <c r="J64" s="33">
        <f>'Water Heater Stock'!J15*'Device Energy Use'!$C5</f>
        <v>0</v>
      </c>
      <c r="K64" s="33">
        <f>'Water Heater Stock'!K15*'Device Energy Use'!$C5</f>
        <v>0</v>
      </c>
      <c r="L64" s="33">
        <f>'Water Heater Stock'!L15*'Device Energy Use'!$C5</f>
        <v>0</v>
      </c>
      <c r="M64" s="33">
        <f>'Water Heater Stock'!M15*'Device Energy Use'!$C5</f>
        <v>0</v>
      </c>
      <c r="N64" s="33">
        <f>'Water Heater Stock'!N15*'Device Energy Use'!$C5</f>
        <v>0</v>
      </c>
      <c r="O64" s="33">
        <f>'Water Heater Stock'!O15*'Device Energy Use'!$C5</f>
        <v>0</v>
      </c>
      <c r="P64" s="33">
        <f>'Water Heater Stock'!P15*'Device Energy Use'!$C5</f>
        <v>0</v>
      </c>
      <c r="Q64" s="33">
        <f>'Water Heater Stock'!Q15*'Device Energy Use'!$C5</f>
        <v>0</v>
      </c>
      <c r="R64" s="33">
        <f>'Water Heater Stock'!R15*'Device Energy Use'!$C5</f>
        <v>0</v>
      </c>
      <c r="S64" s="33">
        <f>'Water Heater Stock'!S15*'Device Energy Use'!$C5</f>
        <v>0</v>
      </c>
      <c r="T64" s="33">
        <f>'Water Heater Stock'!T15*'Device Energy Use'!$C5</f>
        <v>0</v>
      </c>
      <c r="U64" s="33">
        <f>'Water Heater Stock'!U15*'Device Energy Use'!$C5</f>
        <v>0</v>
      </c>
      <c r="V64" s="33">
        <f>'Water Heater Stock'!V15*'Device Energy Use'!$C5</f>
        <v>0</v>
      </c>
      <c r="W64" s="33">
        <f>'Water Heater Stock'!W15*'Device Energy Use'!$C5</f>
        <v>0</v>
      </c>
    </row>
    <row r="65" spans="1:23">
      <c r="A65" s="37" t="str">
        <f>'Device Energy Use'!A6</f>
        <v>HPWH</v>
      </c>
      <c r="B65" s="33">
        <f>'Water Heater Stock'!B16*'Device Energy Use'!$C6</f>
        <v>0</v>
      </c>
      <c r="C65" s="33">
        <f>'Water Heater Stock'!C16*'Device Energy Use'!$C6</f>
        <v>0</v>
      </c>
      <c r="D65" s="33">
        <f>'Water Heater Stock'!D16*'Device Energy Use'!$C6</f>
        <v>0</v>
      </c>
      <c r="E65" s="33">
        <f>'Water Heater Stock'!E16*'Device Energy Use'!$C6</f>
        <v>0</v>
      </c>
      <c r="F65" s="33">
        <f>'Water Heater Stock'!F16*'Device Energy Use'!$C6</f>
        <v>0</v>
      </c>
      <c r="G65" s="33">
        <f>'Water Heater Stock'!G16*'Device Energy Use'!$C6</f>
        <v>0</v>
      </c>
      <c r="H65" s="33">
        <f>'Water Heater Stock'!H16*'Device Energy Use'!$C6</f>
        <v>0</v>
      </c>
      <c r="I65" s="33">
        <f>'Water Heater Stock'!I16*'Device Energy Use'!$C6</f>
        <v>0</v>
      </c>
      <c r="J65" s="33">
        <f>'Water Heater Stock'!J16*'Device Energy Use'!$C6</f>
        <v>0</v>
      </c>
      <c r="K65" s="33">
        <f>'Water Heater Stock'!K16*'Device Energy Use'!$C6</f>
        <v>0</v>
      </c>
      <c r="L65" s="33">
        <f>'Water Heater Stock'!L16*'Device Energy Use'!$C6</f>
        <v>0</v>
      </c>
      <c r="M65" s="33">
        <f>'Water Heater Stock'!M16*'Device Energy Use'!$C6</f>
        <v>0</v>
      </c>
      <c r="N65" s="33">
        <f>'Water Heater Stock'!N16*'Device Energy Use'!$C6</f>
        <v>0</v>
      </c>
      <c r="O65" s="33">
        <f>'Water Heater Stock'!O16*'Device Energy Use'!$C6</f>
        <v>0</v>
      </c>
      <c r="P65" s="33">
        <f>'Water Heater Stock'!P16*'Device Energy Use'!$C6</f>
        <v>0</v>
      </c>
      <c r="Q65" s="33">
        <f>'Water Heater Stock'!Q16*'Device Energy Use'!$C6</f>
        <v>0</v>
      </c>
      <c r="R65" s="33">
        <f>'Water Heater Stock'!R16*'Device Energy Use'!$C6</f>
        <v>0</v>
      </c>
      <c r="S65" s="33">
        <f>'Water Heater Stock'!S16*'Device Energy Use'!$C6</f>
        <v>0</v>
      </c>
      <c r="T65" s="33">
        <f>'Water Heater Stock'!T16*'Device Energy Use'!$C6</f>
        <v>0</v>
      </c>
      <c r="U65" s="33">
        <f>'Water Heater Stock'!U16*'Device Energy Use'!$C6</f>
        <v>0</v>
      </c>
      <c r="V65" s="33">
        <f>'Water Heater Stock'!V16*'Device Energy Use'!$C6</f>
        <v>0</v>
      </c>
      <c r="W65" s="33">
        <f>'Water Heater Stock'!W16*'Device Energy Use'!$C6</f>
        <v>0</v>
      </c>
    </row>
    <row r="66" spans="1:23">
      <c r="A66" s="37" t="str">
        <f>'Device Energy Use'!A7</f>
        <v>Gas Tank</v>
      </c>
      <c r="B66" s="33">
        <f>'Water Heater Stock'!B17*'Device Energy Use'!$C7</f>
        <v>0</v>
      </c>
      <c r="C66" s="33">
        <f>'Water Heater Stock'!C17*'Device Energy Use'!$C7</f>
        <v>0</v>
      </c>
      <c r="D66" s="33">
        <f>'Water Heater Stock'!D17*'Device Energy Use'!$C7</f>
        <v>0</v>
      </c>
      <c r="E66" s="33">
        <f>'Water Heater Stock'!E17*'Device Energy Use'!$C7</f>
        <v>0</v>
      </c>
      <c r="F66" s="33">
        <f>'Water Heater Stock'!F17*'Device Energy Use'!$C7</f>
        <v>0</v>
      </c>
      <c r="G66" s="33">
        <f>'Water Heater Stock'!G17*'Device Energy Use'!$C7</f>
        <v>0</v>
      </c>
      <c r="H66" s="33">
        <f>'Water Heater Stock'!H17*'Device Energy Use'!$C7</f>
        <v>0</v>
      </c>
      <c r="I66" s="33">
        <f>'Water Heater Stock'!I17*'Device Energy Use'!$C7</f>
        <v>0</v>
      </c>
      <c r="J66" s="33">
        <f>'Water Heater Stock'!J17*'Device Energy Use'!$C7</f>
        <v>0</v>
      </c>
      <c r="K66" s="33">
        <f>'Water Heater Stock'!K17*'Device Energy Use'!$C7</f>
        <v>0</v>
      </c>
      <c r="L66" s="33">
        <f>'Water Heater Stock'!L17*'Device Energy Use'!$C7</f>
        <v>0</v>
      </c>
      <c r="M66" s="33">
        <f>'Water Heater Stock'!M17*'Device Energy Use'!$C7</f>
        <v>0</v>
      </c>
      <c r="N66" s="33">
        <f>'Water Heater Stock'!N17*'Device Energy Use'!$C7</f>
        <v>0</v>
      </c>
      <c r="O66" s="33">
        <f>'Water Heater Stock'!O17*'Device Energy Use'!$C7</f>
        <v>0</v>
      </c>
      <c r="P66" s="33">
        <f>'Water Heater Stock'!P17*'Device Energy Use'!$C7</f>
        <v>0</v>
      </c>
      <c r="Q66" s="33">
        <f>'Water Heater Stock'!Q17*'Device Energy Use'!$C7</f>
        <v>0</v>
      </c>
      <c r="R66" s="33">
        <f>'Water Heater Stock'!R17*'Device Energy Use'!$C7</f>
        <v>0</v>
      </c>
      <c r="S66" s="33">
        <f>'Water Heater Stock'!S17*'Device Energy Use'!$C7</f>
        <v>0</v>
      </c>
      <c r="T66" s="33">
        <f>'Water Heater Stock'!T17*'Device Energy Use'!$C7</f>
        <v>0</v>
      </c>
      <c r="U66" s="33">
        <f>'Water Heater Stock'!U17*'Device Energy Use'!$C7</f>
        <v>0</v>
      </c>
      <c r="V66" s="33">
        <f>'Water Heater Stock'!V17*'Device Energy Use'!$C7</f>
        <v>0</v>
      </c>
      <c r="W66" s="33">
        <f>'Water Heater Stock'!W17*'Device Energy Use'!$C7</f>
        <v>0</v>
      </c>
    </row>
    <row r="67" spans="1:23">
      <c r="A67" s="37" t="str">
        <f>'Device Energy Use'!A8</f>
        <v>Instant Gas</v>
      </c>
      <c r="B67" s="33">
        <f>'Water Heater Stock'!B18*'Device Energy Use'!$C8</f>
        <v>0</v>
      </c>
      <c r="C67" s="33">
        <f>'Water Heater Stock'!C18*'Device Energy Use'!$C8</f>
        <v>0</v>
      </c>
      <c r="D67" s="33">
        <f>'Water Heater Stock'!D18*'Device Energy Use'!$C8</f>
        <v>0</v>
      </c>
      <c r="E67" s="33">
        <f>'Water Heater Stock'!E18*'Device Energy Use'!$C8</f>
        <v>0</v>
      </c>
      <c r="F67" s="33">
        <f>'Water Heater Stock'!F18*'Device Energy Use'!$C8</f>
        <v>0</v>
      </c>
      <c r="G67" s="33">
        <f>'Water Heater Stock'!G18*'Device Energy Use'!$C8</f>
        <v>0</v>
      </c>
      <c r="H67" s="33">
        <f>'Water Heater Stock'!H18*'Device Energy Use'!$C8</f>
        <v>0</v>
      </c>
      <c r="I67" s="33">
        <f>'Water Heater Stock'!I18*'Device Energy Use'!$C8</f>
        <v>0</v>
      </c>
      <c r="J67" s="33">
        <f>'Water Heater Stock'!J18*'Device Energy Use'!$C8</f>
        <v>0</v>
      </c>
      <c r="K67" s="33">
        <f>'Water Heater Stock'!K18*'Device Energy Use'!$C8</f>
        <v>0</v>
      </c>
      <c r="L67" s="33">
        <f>'Water Heater Stock'!L18*'Device Energy Use'!$C8</f>
        <v>0</v>
      </c>
      <c r="M67" s="33">
        <f>'Water Heater Stock'!M18*'Device Energy Use'!$C8</f>
        <v>0</v>
      </c>
      <c r="N67" s="33">
        <f>'Water Heater Stock'!N18*'Device Energy Use'!$C8</f>
        <v>0</v>
      </c>
      <c r="O67" s="33">
        <f>'Water Heater Stock'!O18*'Device Energy Use'!$C8</f>
        <v>0</v>
      </c>
      <c r="P67" s="33">
        <f>'Water Heater Stock'!P18*'Device Energy Use'!$C8</f>
        <v>0</v>
      </c>
      <c r="Q67" s="33">
        <f>'Water Heater Stock'!Q18*'Device Energy Use'!$C8</f>
        <v>0</v>
      </c>
      <c r="R67" s="33">
        <f>'Water Heater Stock'!R18*'Device Energy Use'!$C8</f>
        <v>0</v>
      </c>
      <c r="S67" s="33">
        <f>'Water Heater Stock'!S18*'Device Energy Use'!$C8</f>
        <v>0</v>
      </c>
      <c r="T67" s="33">
        <f>'Water Heater Stock'!T18*'Device Energy Use'!$C8</f>
        <v>0</v>
      </c>
      <c r="U67" s="33">
        <f>'Water Heater Stock'!U18*'Device Energy Use'!$C8</f>
        <v>0</v>
      </c>
      <c r="V67" s="33">
        <f>'Water Heater Stock'!V18*'Device Energy Use'!$C8</f>
        <v>0</v>
      </c>
      <c r="W67" s="33">
        <f>'Water Heater Stock'!W18*'Device Energy Use'!$C8</f>
        <v>0</v>
      </c>
    </row>
    <row r="68" spans="1:23">
      <c r="A68" s="37" t="str">
        <f>'Device Energy Use'!A9</f>
        <v>Condensing Gas</v>
      </c>
      <c r="B68" s="33">
        <f>'Water Heater Stock'!B19*'Device Energy Use'!$C9</f>
        <v>0</v>
      </c>
      <c r="C68" s="33">
        <f>'Water Heater Stock'!C19*'Device Energy Use'!$C9</f>
        <v>0</v>
      </c>
      <c r="D68" s="33">
        <f>'Water Heater Stock'!D19*'Device Energy Use'!$C9</f>
        <v>0</v>
      </c>
      <c r="E68" s="33">
        <f>'Water Heater Stock'!E19*'Device Energy Use'!$C9</f>
        <v>0</v>
      </c>
      <c r="F68" s="33">
        <f>'Water Heater Stock'!F19*'Device Energy Use'!$C9</f>
        <v>0</v>
      </c>
      <c r="G68" s="33">
        <f>'Water Heater Stock'!G19*'Device Energy Use'!$C9</f>
        <v>0</v>
      </c>
      <c r="H68" s="33">
        <f>'Water Heater Stock'!H19*'Device Energy Use'!$C9</f>
        <v>0</v>
      </c>
      <c r="I68" s="33">
        <f>'Water Heater Stock'!I19*'Device Energy Use'!$C9</f>
        <v>0</v>
      </c>
      <c r="J68" s="33">
        <f>'Water Heater Stock'!J19*'Device Energy Use'!$C9</f>
        <v>0</v>
      </c>
      <c r="K68" s="33">
        <f>'Water Heater Stock'!K19*'Device Energy Use'!$C9</f>
        <v>0</v>
      </c>
      <c r="L68" s="33">
        <f>'Water Heater Stock'!L19*'Device Energy Use'!$C9</f>
        <v>0</v>
      </c>
      <c r="M68" s="33">
        <f>'Water Heater Stock'!M19*'Device Energy Use'!$C9</f>
        <v>0</v>
      </c>
      <c r="N68" s="33">
        <f>'Water Heater Stock'!N19*'Device Energy Use'!$C9</f>
        <v>0</v>
      </c>
      <c r="O68" s="33">
        <f>'Water Heater Stock'!O19*'Device Energy Use'!$C9</f>
        <v>0</v>
      </c>
      <c r="P68" s="33">
        <f>'Water Heater Stock'!P19*'Device Energy Use'!$C9</f>
        <v>0</v>
      </c>
      <c r="Q68" s="33">
        <f>'Water Heater Stock'!Q19*'Device Energy Use'!$C9</f>
        <v>0</v>
      </c>
      <c r="R68" s="33">
        <f>'Water Heater Stock'!R19*'Device Energy Use'!$C9</f>
        <v>0</v>
      </c>
      <c r="S68" s="33">
        <f>'Water Heater Stock'!S19*'Device Energy Use'!$C9</f>
        <v>0</v>
      </c>
      <c r="T68" s="33">
        <f>'Water Heater Stock'!T19*'Device Energy Use'!$C9</f>
        <v>0</v>
      </c>
      <c r="U68" s="33">
        <f>'Water Heater Stock'!U19*'Device Energy Use'!$C9</f>
        <v>0</v>
      </c>
      <c r="V68" s="33">
        <f>'Water Heater Stock'!V19*'Device Energy Use'!$C9</f>
        <v>0</v>
      </c>
      <c r="W68" s="33">
        <f>'Water Heater Stock'!W19*'Device Energy Use'!$C9</f>
        <v>0</v>
      </c>
    </row>
    <row r="69" spans="1:23">
      <c r="A69" s="37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/>
  <dimension ref="A1:W19"/>
  <sheetViews>
    <sheetView workbookViewId="0">
      <selection activeCell="A2" sqref="A2"/>
    </sheetView>
  </sheetViews>
  <sheetFormatPr defaultColWidth="9.140625" defaultRowHeight="15.75"/>
  <cols>
    <col min="1" max="1" width="20.7109375" style="9" customWidth="1"/>
    <col min="2" max="11" width="9.7109375" style="9" customWidth="1"/>
    <col min="12" max="16384" width="9.140625" style="9"/>
  </cols>
  <sheetData>
    <row r="1" spans="1:23">
      <c r="A1" s="147" t="str">
        <f>CONCATENATE("Segment:  ",State,", Single Family, ", SpaceHeat, ", ", TankSize,", ", StartWH, " is starting water heater")</f>
        <v>Segment:  Oregon, Single Family, Gas FAF, &gt;55 Gallons, Electric Resistance is starting water heater</v>
      </c>
    </row>
    <row r="3" spans="1:23">
      <c r="A3" s="12" t="s">
        <v>105</v>
      </c>
    </row>
    <row r="4" spans="1:23" s="23" customFormat="1">
      <c r="A4" s="40" t="str">
        <f>+'Device Energy Use'!A4</f>
        <v>Water Heat Ending</v>
      </c>
      <c r="B4" s="39">
        <v>2014</v>
      </c>
      <c r="C4" s="39">
        <v>2015</v>
      </c>
      <c r="D4" s="39">
        <v>2016</v>
      </c>
      <c r="E4" s="39">
        <v>2017</v>
      </c>
      <c r="F4" s="39">
        <v>2018</v>
      </c>
      <c r="G4" s="39">
        <v>2019</v>
      </c>
      <c r="H4" s="39">
        <v>2020</v>
      </c>
      <c r="I4" s="39">
        <v>2021</v>
      </c>
      <c r="J4" s="39">
        <v>2022</v>
      </c>
      <c r="K4" s="39">
        <v>2023</v>
      </c>
      <c r="L4" s="39">
        <v>2024</v>
      </c>
      <c r="M4" s="39">
        <v>2025</v>
      </c>
      <c r="N4" s="39">
        <v>2026</v>
      </c>
      <c r="O4" s="39">
        <v>2027</v>
      </c>
      <c r="P4" s="39">
        <v>2028</v>
      </c>
      <c r="Q4" s="39">
        <v>2029</v>
      </c>
      <c r="R4" s="39">
        <v>2030</v>
      </c>
      <c r="S4" s="39">
        <v>2031</v>
      </c>
      <c r="T4" s="39">
        <v>2032</v>
      </c>
      <c r="U4" s="39">
        <v>2033</v>
      </c>
      <c r="V4" s="39">
        <v>2034</v>
      </c>
      <c r="W4" s="39">
        <v>2035</v>
      </c>
    </row>
    <row r="5" spans="1:23" s="23" customFormat="1" ht="16.5" thickBot="1">
      <c r="A5" s="48" t="s">
        <v>44</v>
      </c>
      <c r="B5" s="49">
        <f t="shared" ref="B5:W5" si="0">SUM(B6:B10)</f>
        <v>21569</v>
      </c>
      <c r="C5" s="49">
        <f t="shared" si="0"/>
        <v>21568.999999999996</v>
      </c>
      <c r="D5" s="49">
        <f t="shared" si="0"/>
        <v>21568.999999999996</v>
      </c>
      <c r="E5" s="49">
        <f t="shared" si="0"/>
        <v>21568.999999999996</v>
      </c>
      <c r="F5" s="49">
        <f t="shared" si="0"/>
        <v>21568.999999999993</v>
      </c>
      <c r="G5" s="49">
        <f t="shared" si="0"/>
        <v>21569</v>
      </c>
      <c r="H5" s="49">
        <f t="shared" si="0"/>
        <v>21568.999999999993</v>
      </c>
      <c r="I5" s="49">
        <f t="shared" si="0"/>
        <v>21568.999999999993</v>
      </c>
      <c r="J5" s="49">
        <f t="shared" si="0"/>
        <v>21568.999999999996</v>
      </c>
      <c r="K5" s="49">
        <f t="shared" si="0"/>
        <v>21568.999999999996</v>
      </c>
      <c r="L5" s="49">
        <f t="shared" si="0"/>
        <v>21568.999999999996</v>
      </c>
      <c r="M5" s="49">
        <f t="shared" si="0"/>
        <v>21569</v>
      </c>
      <c r="N5" s="49">
        <f t="shared" si="0"/>
        <v>21569</v>
      </c>
      <c r="O5" s="49">
        <f t="shared" si="0"/>
        <v>21569</v>
      </c>
      <c r="P5" s="49">
        <f t="shared" si="0"/>
        <v>21568.999999999993</v>
      </c>
      <c r="Q5" s="49">
        <f t="shared" si="0"/>
        <v>21568.999999999996</v>
      </c>
      <c r="R5" s="49">
        <f t="shared" si="0"/>
        <v>21569</v>
      </c>
      <c r="S5" s="49">
        <f t="shared" si="0"/>
        <v>21569</v>
      </c>
      <c r="T5" s="49">
        <f t="shared" si="0"/>
        <v>21569</v>
      </c>
      <c r="U5" s="49">
        <f t="shared" si="0"/>
        <v>21568.999999999996</v>
      </c>
      <c r="V5" s="49">
        <f t="shared" si="0"/>
        <v>21568.999999999996</v>
      </c>
      <c r="W5" s="49">
        <f t="shared" si="0"/>
        <v>21568.999999999996</v>
      </c>
    </row>
    <row r="6" spans="1:23" ht="16.5" thickTop="1">
      <c r="A6" s="9" t="str">
        <f>+'Device Energy Use'!A5</f>
        <v>Electric Resistance</v>
      </c>
      <c r="B6" s="33">
        <f>Households</f>
        <v>21569</v>
      </c>
      <c r="C6" s="33">
        <f>+B6-'Water Heaters Retired'!C6+'Water Heaters Purchased'!C6</f>
        <v>20028.383948629475</v>
      </c>
      <c r="D6" s="33">
        <f>+C6-'Water Heaters Retired'!D6+'Water Heaters Purchased'!D6</f>
        <v>18597.811617135048</v>
      </c>
      <c r="E6" s="33">
        <f>+D6-'Water Heaters Retired'!E6+'Water Heaters Purchased'!E6</f>
        <v>17269.422744147992</v>
      </c>
      <c r="F6" s="33">
        <f>+E6-'Water Heaters Retired'!F6+'Water Heaters Purchased'!F6</f>
        <v>16035.918515482324</v>
      </c>
      <c r="G6" s="33">
        <f>+F6-'Water Heaters Retired'!G6+'Water Heaters Purchased'!G6</f>
        <v>14890.521460765112</v>
      </c>
      <c r="H6" s="33">
        <f>+G6-'Water Heaters Retired'!H6+'Water Heaters Purchased'!H6</f>
        <v>13826.938214593189</v>
      </c>
      <c r="I6" s="33">
        <f>+H6-'Water Heaters Retired'!I6+'Water Heaters Purchased'!I6</f>
        <v>12839.324937607267</v>
      </c>
      <c r="J6" s="33">
        <f>+I6-'Water Heaters Retired'!J6+'Water Heaters Purchased'!J6</f>
        <v>11922.255207489321</v>
      </c>
      <c r="K6" s="33">
        <f>+J6-'Water Heaters Retired'!K6+'Water Heaters Purchased'!K6</f>
        <v>11070.690203460168</v>
      </c>
      <c r="L6" s="33">
        <f>+K6-'Water Heaters Retired'!L6+'Water Heaters Purchased'!L6</f>
        <v>10279.951020455797</v>
      </c>
      <c r="M6" s="33">
        <f>+L6-'Water Heaters Retired'!M6+'Water Heaters Purchased'!M6</f>
        <v>9545.6929608625378</v>
      </c>
      <c r="N6" s="33">
        <f>+M6-'Water Heaters Retired'!N6+'Water Heaters Purchased'!N6</f>
        <v>8863.8816625568579</v>
      </c>
      <c r="O6" s="33">
        <f>+N6-'Water Heaters Retired'!O6+'Water Heaters Purchased'!O6</f>
        <v>8230.7709320851882</v>
      </c>
      <c r="P6" s="33">
        <f>+O6-'Water Heaters Retired'!P6+'Water Heaters Purchased'!P6</f>
        <v>7642.8821611880403</v>
      </c>
      <c r="Q6" s="33">
        <f>+P6-'Water Heaters Retired'!Q6+'Water Heaters Purchased'!Q6</f>
        <v>7096.9852135724086</v>
      </c>
      <c r="R6" s="33">
        <f>+Q6-'Water Heaters Retired'!R6+'Water Heaters Purchased'!R6</f>
        <v>6590.0806769147139</v>
      </c>
      <c r="S6" s="33">
        <f>+R6-'Water Heaters Retired'!S6+'Water Heaters Purchased'!S6</f>
        <v>6119.3833825778274</v>
      </c>
      <c r="T6" s="33">
        <f>+S6-'Water Heaters Retired'!T6+'Water Heaters Purchased'!T6</f>
        <v>5682.307102491166</v>
      </c>
      <c r="U6" s="33">
        <f>+T6-'Water Heaters Retired'!U6+'Water Heaters Purchased'!U6</f>
        <v>5276.4503391107819</v>
      </c>
      <c r="V6" s="33">
        <f>+U6-'Water Heaters Retired'!V6+'Water Heaters Purchased'!V6</f>
        <v>4899.5831303823034</v>
      </c>
      <c r="W6" s="33">
        <f>+V6-'Water Heaters Retired'!W6+'Water Heaters Purchased'!W6</f>
        <v>4549.6347972065196</v>
      </c>
    </row>
    <row r="7" spans="1:23">
      <c r="A7" s="9" t="str">
        <f>+'Device Energy Use'!A6</f>
        <v>HPWH</v>
      </c>
      <c r="B7" s="33">
        <v>0</v>
      </c>
      <c r="C7" s="33">
        <f>+B7-'Water Heaters Retired'!C7+'Water Heaters Purchased'!C7</f>
        <v>785.49489743843185</v>
      </c>
      <c r="D7" s="33">
        <f>+C7-'Water Heaters Retired'!D7+'Water Heaters Purchased'!D7</f>
        <v>1513.9668646990519</v>
      </c>
      <c r="E7" s="33">
        <f>+D7-'Water Heaters Retired'!E7+'Water Heaters Purchased'!E7</f>
        <v>2189.4956659103059</v>
      </c>
      <c r="F7" s="33">
        <f>+E7-'Water Heaters Retired'!F7+'Water Heaters Purchased'!F7</f>
        <v>2815.8698009087379</v>
      </c>
      <c r="G7" s="33">
        <f>+F7-'Water Heaters Retired'!G7+'Water Heaters Purchased'!G7</f>
        <v>3396.6073091420385</v>
      </c>
      <c r="H7" s="33">
        <f>+G7-'Water Heaters Retired'!H7+'Water Heaters Purchased'!H7</f>
        <v>3934.975087537839</v>
      </c>
      <c r="I7" s="33">
        <f>+H7-'Water Heaters Retired'!I7+'Water Heaters Purchased'!I7</f>
        <v>4434.0068284840581</v>
      </c>
      <c r="J7" s="33">
        <f>+I7-'Water Heaters Retired'!J7+'Water Heaters Purchased'!J7</f>
        <v>4896.5196764847606</v>
      </c>
      <c r="K7" s="33">
        <f>+J7-'Water Heaters Retired'!K7+'Water Heaters Purchased'!K7</f>
        <v>5325.1296950152591</v>
      </c>
      <c r="L7" s="33">
        <f>+K7-'Water Heaters Retired'!L7+'Water Heaters Purchased'!L7</f>
        <v>5722.2662285627566</v>
      </c>
      <c r="M7" s="33">
        <f>+L7-'Water Heaters Retired'!M7+'Water Heaters Purchased'!M7</f>
        <v>6090.1852387684276</v>
      </c>
      <c r="N7" s="33">
        <f>+M7-'Water Heaters Retired'!N7+'Water Heaters Purchased'!N7</f>
        <v>6430.981687949984</v>
      </c>
      <c r="O7" s="33">
        <f>+N7-'Water Heaters Retired'!O7+'Water Heaters Purchased'!O7</f>
        <v>6746.60103804958</v>
      </c>
      <c r="P7" s="33">
        <f>+O7-'Water Heaters Retired'!P7+'Water Heaters Purchased'!P7</f>
        <v>7038.8499281915592</v>
      </c>
      <c r="Q7" s="33">
        <f>+P7-'Water Heaters Retired'!Q7+'Water Heaters Purchased'!Q7</f>
        <v>7309.4060895214052</v>
      </c>
      <c r="R7" s="33">
        <f>+Q7-'Water Heaters Retired'!R7+'Water Heaters Purchased'!R7</f>
        <v>7559.8275518064347</v>
      </c>
      <c r="S7" s="33">
        <f>+R7-'Water Heaters Retired'!S7+'Water Heaters Purchased'!S7</f>
        <v>7791.561192387333</v>
      </c>
      <c r="T7" s="33">
        <f>+S7-'Water Heaters Retired'!T7+'Water Heaters Purchased'!T7</f>
        <v>8005.9506744561177</v>
      </c>
      <c r="U7" s="33">
        <f>+T7-'Water Heaters Retired'!U7+'Water Heaters Purchased'!U7</f>
        <v>8204.24381828074</v>
      </c>
      <c r="V7" s="33">
        <f>+U7-'Water Heaters Retired'!V7+'Water Heaters Purchased'!V7</f>
        <v>8387.5994458808091</v>
      </c>
      <c r="W7" s="33">
        <f>+V7-'Water Heaters Retired'!W7+'Water Heaters Purchased'!W7</f>
        <v>8557.0937367657261</v>
      </c>
    </row>
    <row r="8" spans="1:23">
      <c r="A8" s="9" t="str">
        <f>+'Device Energy Use'!A7</f>
        <v>Gas Tank</v>
      </c>
      <c r="B8" s="33">
        <v>0</v>
      </c>
      <c r="C8" s="33">
        <f>+B8-'Water Heaters Retired'!C8+'Water Heaters Purchased'!C8</f>
        <v>5.9220460881192316E-2</v>
      </c>
      <c r="D8" s="33">
        <f>+C8-'Water Heaters Retired'!D8+'Water Heaters Purchased'!D8</f>
        <v>0.11366008687134495</v>
      </c>
      <c r="E8" s="33">
        <f>+D8-'Water Heaters Retired'!E8+'Water Heaters Purchased'!E8</f>
        <v>0.16366512974922046</v>
      </c>
      <c r="F8" s="33">
        <f>+E8-'Water Heaters Retired'!F8+'Water Heaters Purchased'!F8</f>
        <v>0.20955711646931513</v>
      </c>
      <c r="G8" s="33">
        <f>+F8-'Water Heaters Retired'!G8+'Water Heaters Purchased'!G8</f>
        <v>0.25163461372557805</v>
      </c>
      <c r="H8" s="33">
        <f>+G8-'Water Heaters Retired'!H8+'Water Heaters Purchased'!H8</f>
        <v>0.29017486649886859</v>
      </c>
      <c r="I8" s="33">
        <f>+H8-'Water Heaters Retired'!I8+'Water Heaters Purchased'!I8</f>
        <v>0.32543531958992672</v>
      </c>
      <c r="J8" s="33">
        <f>+I8-'Water Heaters Retired'!J8+'Water Heaters Purchased'!J8</f>
        <v>0.35765503049660868</v>
      </c>
      <c r="K8" s="33">
        <f>+J8-'Water Heaters Retired'!K8+'Water Heaters Purchased'!K8</f>
        <v>0.38705598139704372</v>
      </c>
      <c r="L8" s="33">
        <f>+K8-'Water Heaters Retired'!L8+'Water Heaters Purchased'!L8</f>
        <v>0.41384429744592488</v>
      </c>
      <c r="M8" s="33">
        <f>+L8-'Water Heaters Retired'!M8+'Water Heaters Purchased'!M8</f>
        <v>0.43821137807630645</v>
      </c>
      <c r="N8" s="33">
        <f>+M8-'Water Heaters Retired'!N8+'Water Heaters Purchased'!N8</f>
        <v>0.4603349475212134</v>
      </c>
      <c r="O8" s="33">
        <f>+N8-'Water Heaters Retired'!O8+'Water Heaters Purchased'!O8</f>
        <v>0.48038003032545123</v>
      </c>
      <c r="P8" s="33">
        <f>+O8-'Water Heaters Retired'!P8+'Water Heaters Purchased'!P8</f>
        <v>0.49849985720579643</v>
      </c>
      <c r="Q8" s="33">
        <f>+P8-'Water Heaters Retired'!Q8+'Water Heaters Purchased'!Q8</f>
        <v>0.51483670623498046</v>
      </c>
      <c r="R8" s="33">
        <f>+Q8-'Water Heaters Retired'!R8+'Water Heaters Purchased'!R8</f>
        <v>0.52952268396945901</v>
      </c>
      <c r="S8" s="33">
        <f>+R8-'Water Heaters Retired'!S8+'Water Heaters Purchased'!S8</f>
        <v>0.54268045081092209</v>
      </c>
      <c r="T8" s="33">
        <f>+S8-'Water Heaters Retired'!T8+'Water Heaters Purchased'!T8</f>
        <v>0.55442389458503716</v>
      </c>
      <c r="U8" s="33">
        <f>+T8-'Water Heaters Retired'!U8+'Water Heaters Purchased'!U8</f>
        <v>0.56485875603635072</v>
      </c>
      <c r="V8" s="33">
        <f>+U8-'Water Heaters Retired'!V8+'Water Heaters Purchased'!V8</f>
        <v>0.57408320967402859</v>
      </c>
      <c r="W8" s="33">
        <f>+V8-'Water Heaters Retired'!W8+'Water Heaters Purchased'!W8</f>
        <v>0.58218840315774845</v>
      </c>
    </row>
    <row r="9" spans="1:23">
      <c r="A9" s="9" t="str">
        <f>+'Device Energy Use'!A8</f>
        <v>Instant Gas</v>
      </c>
      <c r="B9" s="33">
        <v>0</v>
      </c>
      <c r="C9" s="33">
        <f>+B9-'Water Heaters Retired'!C9+'Water Heaters Purchased'!C9</f>
        <v>229.05152667369811</v>
      </c>
      <c r="D9" s="33">
        <f>+C9-'Water Heaters Retired'!D9+'Water Heaters Purchased'!D9</f>
        <v>442.78481520676269</v>
      </c>
      <c r="E9" s="33">
        <f>+D9-'Water Heaters Retired'!E9+'Water Heaters Purchased'!E9</f>
        <v>642.29861116595157</v>
      </c>
      <c r="F9" s="33">
        <f>+E9-'Water Heaters Retired'!F9+'Water Heaters Purchased'!F9</f>
        <v>828.61308134117439</v>
      </c>
      <c r="G9" s="33">
        <f>+F9-'Water Heaters Retired'!G9+'Water Heaters Purchased'!G9</f>
        <v>1002.6754238278452</v>
      </c>
      <c r="H9" s="33">
        <f>+G9-'Water Heaters Retired'!H9+'Water Heaters Purchased'!H9</f>
        <v>1165.3650773902693</v>
      </c>
      <c r="I9" s="33">
        <f>+H9-'Water Heaters Retired'!I9+'Water Heaters Purchased'!I9</f>
        <v>1317.4985587308038</v>
      </c>
      <c r="J9" s="33">
        <f>+I9-'Water Heaters Retired'!J9+'Water Heaters Purchased'!J9</f>
        <v>1459.833954244953</v>
      </c>
      <c r="K9" s="33">
        <f>+J9-'Water Heaters Retired'!K9+'Water Heaters Purchased'!K9</f>
        <v>1593.0750909440103</v>
      </c>
      <c r="L9" s="33">
        <f>+K9-'Water Heaters Retired'!L9+'Water Heaters Purchased'!L9</f>
        <v>1717.8754094639221</v>
      </c>
      <c r="M9" s="33">
        <f>+L9-'Water Heaters Retired'!M9+'Water Heaters Purchased'!M9</f>
        <v>1834.8415604420347</v>
      </c>
      <c r="N9" s="33">
        <f>+M9-'Water Heaters Retired'!N9+'Water Heaters Purchased'!N9</f>
        <v>1944.5367440233003</v>
      </c>
      <c r="O9" s="33">
        <f>+N9-'Water Heaters Retired'!O9+'Water Heaters Purchased'!O9</f>
        <v>2047.4838108460001</v>
      </c>
      <c r="P9" s="33">
        <f>+O9-'Water Heaters Retired'!P9+'Water Heaters Purchased'!P9</f>
        <v>2144.1681415463559</v>
      </c>
      <c r="Q9" s="33">
        <f>+P9-'Water Heaters Retired'!Q9+'Water Heaters Purchased'!Q9</f>
        <v>2235.0403206043266</v>
      </c>
      <c r="R9" s="33">
        <f>+Q9-'Water Heaters Retired'!R9+'Water Heaters Purchased'!R9</f>
        <v>2320.5186192227397</v>
      </c>
      <c r="S9" s="33">
        <f>+R9-'Water Heaters Retired'!S9+'Water Heaters Purchased'!S9</f>
        <v>2400.9913008824924</v>
      </c>
      <c r="T9" s="33">
        <f>+S9-'Water Heaters Retired'!T9+'Water Heaters Purchased'!T9</f>
        <v>2476.8187622420846</v>
      </c>
      <c r="U9" s="33">
        <f>+T9-'Water Heaters Retired'!U9+'Water Heaters Purchased'!U9</f>
        <v>2548.3355211448943</v>
      </c>
      <c r="V9" s="33">
        <f>+U9-'Water Heaters Retired'!V9+'Water Heaters Purchased'!V9</f>
        <v>2615.8520626573559</v>
      </c>
      <c r="W9" s="33">
        <f>+V9-'Water Heaters Retired'!W9+'Water Heaters Purchased'!W9</f>
        <v>2679.6565532809959</v>
      </c>
    </row>
    <row r="10" spans="1:23">
      <c r="A10" s="9" t="str">
        <f>+'Device Energy Use'!A9</f>
        <v>Condensing Gas</v>
      </c>
      <c r="B10" s="33">
        <v>0</v>
      </c>
      <c r="C10" s="33">
        <f>+B10-'Water Heaters Retired'!C10+'Water Heaters Purchased'!C10</f>
        <v>526.01040679751077</v>
      </c>
      <c r="D10" s="33">
        <f>+C10-'Water Heaters Retired'!D10+'Water Heaters Purchased'!D10</f>
        <v>1014.3230428722628</v>
      </c>
      <c r="E10" s="33">
        <f>+D10-'Water Heaters Retired'!E10+'Water Heaters Purchased'!E10</f>
        <v>1467.6193136459983</v>
      </c>
      <c r="F10" s="33">
        <f>+E10-'Water Heaters Retired'!F10+'Water Heaters Purchased'!F10</f>
        <v>1888.3890451512907</v>
      </c>
      <c r="G10" s="33">
        <f>+F10-'Water Heaters Retired'!G10+'Water Heaters Purchased'!G10</f>
        <v>2278.9441716512756</v>
      </c>
      <c r="H10" s="33">
        <f>+G10-'Water Heaters Retired'!H10+'Water Heaters Purchased'!H10</f>
        <v>2641.4314456121992</v>
      </c>
      <c r="I10" s="33">
        <f>+H10-'Water Heaters Retired'!I10+'Water Heaters Purchased'!I10</f>
        <v>2977.8442398582756</v>
      </c>
      <c r="J10" s="33">
        <f>+I10-'Water Heaters Retired'!J10+'Water Heaters Purchased'!J10</f>
        <v>3290.0335067504629</v>
      </c>
      <c r="K10" s="33">
        <f>+J10-'Water Heaters Retired'!K10+'Water Heaters Purchased'!K10</f>
        <v>3579.7179545991607</v>
      </c>
      <c r="L10" s="33">
        <f>+K10-'Water Heaters Retired'!L10+'Water Heaters Purchased'!L10</f>
        <v>3848.4934972200749</v>
      </c>
      <c r="M10" s="33">
        <f>+L10-'Water Heaters Retired'!M10+'Water Heaters Purchased'!M10</f>
        <v>4097.8420285489228</v>
      </c>
      <c r="N10" s="33">
        <f>+M10-'Water Heaters Retired'!N10+'Water Heaters Purchased'!N10</f>
        <v>4329.1395705223349</v>
      </c>
      <c r="O10" s="33">
        <f>+N10-'Water Heaters Retired'!O10+'Water Heaters Purchased'!O10</f>
        <v>4543.6638389889031</v>
      </c>
      <c r="P10" s="33">
        <f>+O10-'Water Heaters Retired'!P10+'Water Heaters Purchased'!P10</f>
        <v>4742.6012692168351</v>
      </c>
      <c r="Q10" s="33">
        <f>+P10-'Water Heaters Retired'!Q10+'Water Heaters Purchased'!Q10</f>
        <v>4927.0535395956204</v>
      </c>
      <c r="R10" s="33">
        <f>+Q10-'Water Heaters Retired'!R10+'Water Heaters Purchased'!R10</f>
        <v>5098.0436293721386</v>
      </c>
      <c r="S10" s="33">
        <f>+R10-'Water Heaters Retired'!S10+'Water Heaters Purchased'!S10</f>
        <v>5256.5214437015338</v>
      </c>
      <c r="T10" s="33">
        <f>+S10-'Water Heaters Retired'!T10+'Water Heaters Purchased'!T10</f>
        <v>5403.369036916044</v>
      </c>
      <c r="U10" s="33">
        <f>+T10-'Water Heaters Retired'!U10+'Water Heaters Purchased'!U10</f>
        <v>5539.4054627075429</v>
      </c>
      <c r="V10" s="33">
        <f>+U10-'Water Heaters Retired'!V10+'Water Heaters Purchased'!V10</f>
        <v>5665.3912778698541</v>
      </c>
      <c r="W10" s="33">
        <f>+V10-'Water Heaters Retired'!W10+'Water Heaters Purchased'!W10</f>
        <v>5782.0327243435977</v>
      </c>
    </row>
    <row r="11" spans="1:23">
      <c r="A11" s="37"/>
    </row>
    <row r="12" spans="1:23">
      <c r="A12" s="101" t="s">
        <v>106</v>
      </c>
    </row>
    <row r="13" spans="1:23" s="23" customFormat="1">
      <c r="A13" s="40" t="str">
        <f>+'Device Energy Use'!A4</f>
        <v>Water Heat Ending</v>
      </c>
      <c r="B13" s="39">
        <v>2014</v>
      </c>
      <c r="C13" s="39">
        <v>2015</v>
      </c>
      <c r="D13" s="39">
        <v>2016</v>
      </c>
      <c r="E13" s="39">
        <v>2017</v>
      </c>
      <c r="F13" s="39">
        <v>2018</v>
      </c>
      <c r="G13" s="39">
        <v>2019</v>
      </c>
      <c r="H13" s="39">
        <v>2020</v>
      </c>
      <c r="I13" s="39">
        <v>2021</v>
      </c>
      <c r="J13" s="39">
        <v>2022</v>
      </c>
      <c r="K13" s="39">
        <v>2023</v>
      </c>
      <c r="L13" s="39">
        <v>2024</v>
      </c>
      <c r="M13" s="39">
        <v>2025</v>
      </c>
      <c r="N13" s="39">
        <v>2026</v>
      </c>
      <c r="O13" s="39">
        <v>2027</v>
      </c>
      <c r="P13" s="39">
        <v>2028</v>
      </c>
      <c r="Q13" s="39">
        <v>2029</v>
      </c>
      <c r="R13" s="39">
        <v>2030</v>
      </c>
      <c r="S13" s="39">
        <v>2031</v>
      </c>
      <c r="T13" s="39">
        <v>2032</v>
      </c>
      <c r="U13" s="39">
        <v>2033</v>
      </c>
      <c r="V13" s="39">
        <v>2034</v>
      </c>
      <c r="W13" s="39">
        <v>2035</v>
      </c>
    </row>
    <row r="14" spans="1:23" s="23" customFormat="1" ht="16.5" thickBot="1">
      <c r="A14" s="48" t="s">
        <v>44</v>
      </c>
      <c r="B14" s="49">
        <f t="shared" ref="B14:W14" si="1">SUM(B15:B19)</f>
        <v>21569</v>
      </c>
      <c r="C14" s="49">
        <f t="shared" si="1"/>
        <v>21569</v>
      </c>
      <c r="D14" s="49">
        <f t="shared" si="1"/>
        <v>21569</v>
      </c>
      <c r="E14" s="49">
        <f t="shared" si="1"/>
        <v>21568.999999999996</v>
      </c>
      <c r="F14" s="49">
        <f t="shared" si="1"/>
        <v>21569</v>
      </c>
      <c r="G14" s="49">
        <f t="shared" si="1"/>
        <v>21569</v>
      </c>
      <c r="H14" s="49">
        <f t="shared" si="1"/>
        <v>21568.999999999996</v>
      </c>
      <c r="I14" s="49">
        <f t="shared" si="1"/>
        <v>21568.999999999996</v>
      </c>
      <c r="J14" s="49">
        <f t="shared" si="1"/>
        <v>21568.999999999996</v>
      </c>
      <c r="K14" s="49">
        <f t="shared" si="1"/>
        <v>21568.999999999996</v>
      </c>
      <c r="L14" s="49">
        <f t="shared" si="1"/>
        <v>21568.999999999996</v>
      </c>
      <c r="M14" s="49">
        <f t="shared" si="1"/>
        <v>21568.999999999996</v>
      </c>
      <c r="N14" s="49">
        <f t="shared" si="1"/>
        <v>21568.999999999996</v>
      </c>
      <c r="O14" s="49">
        <f t="shared" si="1"/>
        <v>21569</v>
      </c>
      <c r="P14" s="49">
        <f t="shared" si="1"/>
        <v>21568.999999999996</v>
      </c>
      <c r="Q14" s="49">
        <f t="shared" si="1"/>
        <v>21569</v>
      </c>
      <c r="R14" s="49">
        <f t="shared" si="1"/>
        <v>21569</v>
      </c>
      <c r="S14" s="49">
        <f t="shared" si="1"/>
        <v>21569</v>
      </c>
      <c r="T14" s="49">
        <f t="shared" si="1"/>
        <v>21569</v>
      </c>
      <c r="U14" s="49">
        <f t="shared" si="1"/>
        <v>21569</v>
      </c>
      <c r="V14" s="49">
        <f t="shared" si="1"/>
        <v>21569.000000000004</v>
      </c>
      <c r="W14" s="49">
        <f t="shared" si="1"/>
        <v>21569</v>
      </c>
    </row>
    <row r="15" spans="1:23" ht="16.5" thickTop="1">
      <c r="A15" s="9" t="str">
        <f>+'Device Energy Use'!A5</f>
        <v>Electric Resistance</v>
      </c>
      <c r="B15" s="33">
        <f>Households</f>
        <v>21569</v>
      </c>
      <c r="C15" s="33">
        <f>+B15-'Water Heaters Retired'!C15+'Water Heaters Purchased'!C15</f>
        <v>20028.357142857141</v>
      </c>
      <c r="D15" s="33">
        <f>+C15-'Water Heaters Retired'!D15+'Water Heaters Purchased'!D15</f>
        <v>18597.760204081631</v>
      </c>
      <c r="E15" s="33">
        <f>+D15-'Water Heaters Retired'!E15+'Water Heaters Purchased'!E15</f>
        <v>17269.348760932942</v>
      </c>
      <c r="F15" s="33">
        <f>+E15-'Water Heaters Retired'!F15+'Water Heaters Purchased'!F15</f>
        <v>16035.823849437733</v>
      </c>
      <c r="G15" s="33">
        <f>+F15-'Water Heaters Retired'!G15+'Water Heaters Purchased'!G15</f>
        <v>14890.407860192181</v>
      </c>
      <c r="H15" s="33">
        <f>+G15-'Water Heaters Retired'!H15+'Water Heaters Purchased'!H15</f>
        <v>13826.807298749882</v>
      </c>
      <c r="I15" s="33">
        <f>+H15-'Water Heaters Retired'!I15+'Water Heaters Purchased'!I15</f>
        <v>12839.178205982033</v>
      </c>
      <c r="J15" s="33">
        <f>+I15-'Water Heaters Retired'!J15+'Water Heaters Purchased'!J15</f>
        <v>11922.094048411887</v>
      </c>
      <c r="K15" s="33">
        <f>+J15-'Water Heaters Retired'!K15+'Water Heaters Purchased'!K15</f>
        <v>11070.515902096753</v>
      </c>
      <c r="L15" s="33">
        <f>+K15-'Water Heaters Retired'!L15+'Water Heaters Purchased'!L15</f>
        <v>10279.7647662327</v>
      </c>
      <c r="M15" s="33">
        <f>+L15-'Water Heaters Retired'!M15+'Water Heaters Purchased'!M15</f>
        <v>9545.4958543589364</v>
      </c>
      <c r="N15" s="33">
        <f>+M15-'Water Heaters Retired'!N15+'Water Heaters Purchased'!N15</f>
        <v>8863.6747219047265</v>
      </c>
      <c r="O15" s="33">
        <f>+N15-'Water Heaters Retired'!O15+'Water Heaters Purchased'!O15</f>
        <v>8230.5550989115327</v>
      </c>
      <c r="P15" s="33">
        <f>+O15-'Water Heaters Retired'!P15+'Water Heaters Purchased'!P15</f>
        <v>7642.6583061321371</v>
      </c>
      <c r="Q15" s="33">
        <f>+P15-'Water Heaters Retired'!Q15+'Water Heaters Purchased'!Q15</f>
        <v>7096.7541414084135</v>
      </c>
      <c r="R15" s="33">
        <f>+Q15-'Water Heaters Retired'!R15+'Water Heaters Purchased'!R15</f>
        <v>6589.8431313078127</v>
      </c>
      <c r="S15" s="33">
        <f>+R15-'Water Heaters Retired'!S15+'Water Heaters Purchased'!S15</f>
        <v>6119.140050500112</v>
      </c>
      <c r="T15" s="33">
        <f>+S15-'Water Heaters Retired'!T15+'Water Heaters Purchased'!T15</f>
        <v>5682.0586183215328</v>
      </c>
      <c r="U15" s="33">
        <f>+T15-'Water Heaters Retired'!U15+'Water Heaters Purchased'!U15</f>
        <v>5276.1972884414236</v>
      </c>
      <c r="V15" s="33">
        <f>+U15-'Water Heaters Retired'!V15+'Water Heaters Purchased'!V15</f>
        <v>4899.3260535527506</v>
      </c>
      <c r="W15" s="33">
        <f>+V15-'Water Heaters Retired'!W15+'Water Heaters Purchased'!W15</f>
        <v>4549.3741925846971</v>
      </c>
    </row>
    <row r="16" spans="1:23">
      <c r="A16" s="9" t="str">
        <f>+'Device Energy Use'!A6</f>
        <v>HPWH</v>
      </c>
      <c r="B16" s="33">
        <v>0</v>
      </c>
      <c r="C16" s="33">
        <f>+B16-'Water Heaters Retired'!C16+'Water Heaters Purchased'!C16</f>
        <v>1540.6428571428571</v>
      </c>
      <c r="D16" s="33">
        <f>+C16-'Water Heaters Retired'!D16+'Water Heaters Purchased'!D16</f>
        <v>2971.2397959183672</v>
      </c>
      <c r="E16" s="33">
        <f>+D16-'Water Heaters Retired'!E16+'Water Heaters Purchased'!E16</f>
        <v>4299.651239067055</v>
      </c>
      <c r="F16" s="33">
        <f>+E16-'Water Heaters Retired'!F16+'Water Heaters Purchased'!F16</f>
        <v>5533.1761505622653</v>
      </c>
      <c r="G16" s="33">
        <f>+F16-'Water Heaters Retired'!G16+'Water Heaters Purchased'!G16</f>
        <v>6678.5921398078171</v>
      </c>
      <c r="H16" s="33">
        <f>+G16-'Water Heaters Retired'!H16+'Water Heaters Purchased'!H16</f>
        <v>7742.1927012501155</v>
      </c>
      <c r="I16" s="33">
        <f>+H16-'Water Heaters Retired'!I16+'Water Heaters Purchased'!I16</f>
        <v>8729.8217940179638</v>
      </c>
      <c r="J16" s="33">
        <f>+I16-'Water Heaters Retired'!J16+'Water Heaters Purchased'!J16</f>
        <v>9646.905951588109</v>
      </c>
      <c r="K16" s="33">
        <f>+J16-'Water Heaters Retired'!K16+'Water Heaters Purchased'!K16</f>
        <v>10498.484097903243</v>
      </c>
      <c r="L16" s="33">
        <f>+K16-'Water Heaters Retired'!L16+'Water Heaters Purchased'!L16</f>
        <v>11289.235233767296</v>
      </c>
      <c r="M16" s="33">
        <f>+L16-'Water Heaters Retired'!M16+'Water Heaters Purchased'!M16</f>
        <v>12023.50414564106</v>
      </c>
      <c r="N16" s="33">
        <f>+M16-'Water Heaters Retired'!N16+'Water Heaters Purchased'!N16</f>
        <v>12705.32527809527</v>
      </c>
      <c r="O16" s="33">
        <f>+N16-'Water Heaters Retired'!O16+'Water Heaters Purchased'!O16</f>
        <v>13338.444901088465</v>
      </c>
      <c r="P16" s="33">
        <f>+O16-'Water Heaters Retired'!P16+'Water Heaters Purchased'!P16</f>
        <v>13926.34169386786</v>
      </c>
      <c r="Q16" s="33">
        <f>+P16-'Water Heaters Retired'!Q16+'Water Heaters Purchased'!Q16</f>
        <v>14472.245858591585</v>
      </c>
      <c r="R16" s="33">
        <f>+Q16-'Water Heaters Retired'!R16+'Water Heaters Purchased'!R16</f>
        <v>14979.156868692186</v>
      </c>
      <c r="S16" s="33">
        <f>+R16-'Water Heaters Retired'!S16+'Water Heaters Purchased'!S16</f>
        <v>15449.859949499887</v>
      </c>
      <c r="T16" s="33">
        <f>+S16-'Water Heaters Retired'!T16+'Water Heaters Purchased'!T16</f>
        <v>15886.941381678467</v>
      </c>
      <c r="U16" s="33">
        <f>+T16-'Water Heaters Retired'!U16+'Water Heaters Purchased'!U16</f>
        <v>16292.802711558577</v>
      </c>
      <c r="V16" s="33">
        <f>+U16-'Water Heaters Retired'!V16+'Water Heaters Purchased'!V16</f>
        <v>16669.673946447252</v>
      </c>
      <c r="W16" s="33">
        <f>+V16-'Water Heaters Retired'!W16+'Water Heaters Purchased'!W16</f>
        <v>17019.625807415305</v>
      </c>
    </row>
    <row r="17" spans="1:23">
      <c r="A17" s="9" t="str">
        <f>+'Device Energy Use'!A7</f>
        <v>Gas Tank</v>
      </c>
      <c r="B17" s="33">
        <v>0</v>
      </c>
      <c r="C17" s="33">
        <f>+B17-'Water Heaters Retired'!C17+'Water Heaters Purchased'!C17</f>
        <v>0</v>
      </c>
      <c r="D17" s="33">
        <f>+C17-'Water Heaters Retired'!D17+'Water Heaters Purchased'!D17</f>
        <v>0</v>
      </c>
      <c r="E17" s="33">
        <f>+D17-'Water Heaters Retired'!E17+'Water Heaters Purchased'!E17</f>
        <v>0</v>
      </c>
      <c r="F17" s="33">
        <f>+E17-'Water Heaters Retired'!F17+'Water Heaters Purchased'!F17</f>
        <v>0</v>
      </c>
      <c r="G17" s="33">
        <f>+F17-'Water Heaters Retired'!G17+'Water Heaters Purchased'!G17</f>
        <v>0</v>
      </c>
      <c r="H17" s="33">
        <f>+G17-'Water Heaters Retired'!H17+'Water Heaters Purchased'!H17</f>
        <v>0</v>
      </c>
      <c r="I17" s="33">
        <f>+H17-'Water Heaters Retired'!I17+'Water Heaters Purchased'!I17</f>
        <v>0</v>
      </c>
      <c r="J17" s="33">
        <f>+I17-'Water Heaters Retired'!J17+'Water Heaters Purchased'!J17</f>
        <v>0</v>
      </c>
      <c r="K17" s="33">
        <f>+J17-'Water Heaters Retired'!K17+'Water Heaters Purchased'!K17</f>
        <v>0</v>
      </c>
      <c r="L17" s="33">
        <f>+K17-'Water Heaters Retired'!L17+'Water Heaters Purchased'!L17</f>
        <v>0</v>
      </c>
      <c r="M17" s="33">
        <f>+L17-'Water Heaters Retired'!M17+'Water Heaters Purchased'!M17</f>
        <v>0</v>
      </c>
      <c r="N17" s="33">
        <f>+M17-'Water Heaters Retired'!N17+'Water Heaters Purchased'!N17</f>
        <v>0</v>
      </c>
      <c r="O17" s="33">
        <f>+N17-'Water Heaters Retired'!O17+'Water Heaters Purchased'!O17</f>
        <v>0</v>
      </c>
      <c r="P17" s="33">
        <f>+O17-'Water Heaters Retired'!P17+'Water Heaters Purchased'!P17</f>
        <v>0</v>
      </c>
      <c r="Q17" s="33">
        <f>+P17-'Water Heaters Retired'!Q17+'Water Heaters Purchased'!Q17</f>
        <v>0</v>
      </c>
      <c r="R17" s="33">
        <f>+Q17-'Water Heaters Retired'!R17+'Water Heaters Purchased'!R17</f>
        <v>0</v>
      </c>
      <c r="S17" s="33">
        <f>+R17-'Water Heaters Retired'!S17+'Water Heaters Purchased'!S17</f>
        <v>0</v>
      </c>
      <c r="T17" s="33">
        <f>+S17-'Water Heaters Retired'!T17+'Water Heaters Purchased'!T17</f>
        <v>0</v>
      </c>
      <c r="U17" s="33">
        <f>+T17-'Water Heaters Retired'!U17+'Water Heaters Purchased'!U17</f>
        <v>0</v>
      </c>
      <c r="V17" s="33">
        <f>+U17-'Water Heaters Retired'!V17+'Water Heaters Purchased'!V17</f>
        <v>0</v>
      </c>
      <c r="W17" s="33">
        <f>+V17-'Water Heaters Retired'!W17+'Water Heaters Purchased'!W17</f>
        <v>0</v>
      </c>
    </row>
    <row r="18" spans="1:23">
      <c r="A18" s="9" t="str">
        <f>+'Device Energy Use'!A8</f>
        <v>Instant Gas</v>
      </c>
      <c r="B18" s="33">
        <v>0</v>
      </c>
      <c r="C18" s="33">
        <f>+B18-'Water Heaters Retired'!C18+'Water Heaters Purchased'!C18</f>
        <v>0</v>
      </c>
      <c r="D18" s="33">
        <f>+C18-'Water Heaters Retired'!D18+'Water Heaters Purchased'!D18</f>
        <v>0</v>
      </c>
      <c r="E18" s="33">
        <f>+D18-'Water Heaters Retired'!E18+'Water Heaters Purchased'!E18</f>
        <v>0</v>
      </c>
      <c r="F18" s="33">
        <f>+E18-'Water Heaters Retired'!F18+'Water Heaters Purchased'!F18</f>
        <v>0</v>
      </c>
      <c r="G18" s="33">
        <f>+F18-'Water Heaters Retired'!G18+'Water Heaters Purchased'!G18</f>
        <v>0</v>
      </c>
      <c r="H18" s="33">
        <f>+G18-'Water Heaters Retired'!H18+'Water Heaters Purchased'!H18</f>
        <v>0</v>
      </c>
      <c r="I18" s="33">
        <f>+H18-'Water Heaters Retired'!I18+'Water Heaters Purchased'!I18</f>
        <v>0</v>
      </c>
      <c r="J18" s="33">
        <f>+I18-'Water Heaters Retired'!J18+'Water Heaters Purchased'!J18</f>
        <v>0</v>
      </c>
      <c r="K18" s="33">
        <f>+J18-'Water Heaters Retired'!K18+'Water Heaters Purchased'!K18</f>
        <v>0</v>
      </c>
      <c r="L18" s="33">
        <f>+K18-'Water Heaters Retired'!L18+'Water Heaters Purchased'!L18</f>
        <v>0</v>
      </c>
      <c r="M18" s="33">
        <f>+L18-'Water Heaters Retired'!M18+'Water Heaters Purchased'!M18</f>
        <v>0</v>
      </c>
      <c r="N18" s="33">
        <f>+M18-'Water Heaters Retired'!N18+'Water Heaters Purchased'!N18</f>
        <v>0</v>
      </c>
      <c r="O18" s="33">
        <f>+N18-'Water Heaters Retired'!O18+'Water Heaters Purchased'!O18</f>
        <v>0</v>
      </c>
      <c r="P18" s="33">
        <f>+O18-'Water Heaters Retired'!P18+'Water Heaters Purchased'!P18</f>
        <v>0</v>
      </c>
      <c r="Q18" s="33">
        <f>+P18-'Water Heaters Retired'!Q18+'Water Heaters Purchased'!Q18</f>
        <v>0</v>
      </c>
      <c r="R18" s="33">
        <f>+Q18-'Water Heaters Retired'!R18+'Water Heaters Purchased'!R18</f>
        <v>0</v>
      </c>
      <c r="S18" s="33">
        <f>+R18-'Water Heaters Retired'!S18+'Water Heaters Purchased'!S18</f>
        <v>0</v>
      </c>
      <c r="T18" s="33">
        <f>+S18-'Water Heaters Retired'!T18+'Water Heaters Purchased'!T18</f>
        <v>0</v>
      </c>
      <c r="U18" s="33">
        <f>+T18-'Water Heaters Retired'!U18+'Water Heaters Purchased'!U18</f>
        <v>0</v>
      </c>
      <c r="V18" s="33">
        <f>+U18-'Water Heaters Retired'!V18+'Water Heaters Purchased'!V18</f>
        <v>0</v>
      </c>
      <c r="W18" s="33">
        <f>+V18-'Water Heaters Retired'!W18+'Water Heaters Purchased'!W18</f>
        <v>0</v>
      </c>
    </row>
    <row r="19" spans="1:23">
      <c r="A19" s="9" t="str">
        <f>+'Device Energy Use'!A9</f>
        <v>Condensing Gas</v>
      </c>
      <c r="B19" s="33">
        <v>0</v>
      </c>
      <c r="C19" s="33">
        <f>+B19-'Water Heaters Retired'!C19+'Water Heaters Purchased'!C19</f>
        <v>0</v>
      </c>
      <c r="D19" s="33">
        <f>+C19-'Water Heaters Retired'!D19+'Water Heaters Purchased'!D19</f>
        <v>0</v>
      </c>
      <c r="E19" s="33">
        <f>+D19-'Water Heaters Retired'!E19+'Water Heaters Purchased'!E19</f>
        <v>0</v>
      </c>
      <c r="F19" s="33">
        <f>+E19-'Water Heaters Retired'!F19+'Water Heaters Purchased'!F19</f>
        <v>0</v>
      </c>
      <c r="G19" s="33">
        <f>+F19-'Water Heaters Retired'!G19+'Water Heaters Purchased'!G19</f>
        <v>0</v>
      </c>
      <c r="H19" s="33">
        <f>+G19-'Water Heaters Retired'!H19+'Water Heaters Purchased'!H19</f>
        <v>0</v>
      </c>
      <c r="I19" s="33">
        <f>+H19-'Water Heaters Retired'!I19+'Water Heaters Purchased'!I19</f>
        <v>0</v>
      </c>
      <c r="J19" s="33">
        <f>+I19-'Water Heaters Retired'!J19+'Water Heaters Purchased'!J19</f>
        <v>0</v>
      </c>
      <c r="K19" s="33">
        <f>+J19-'Water Heaters Retired'!K19+'Water Heaters Purchased'!K19</f>
        <v>0</v>
      </c>
      <c r="L19" s="33">
        <f>+K19-'Water Heaters Retired'!L19+'Water Heaters Purchased'!L19</f>
        <v>0</v>
      </c>
      <c r="M19" s="33">
        <f>+L19-'Water Heaters Retired'!M19+'Water Heaters Purchased'!M19</f>
        <v>0</v>
      </c>
      <c r="N19" s="33">
        <f>+M19-'Water Heaters Retired'!N19+'Water Heaters Purchased'!N19</f>
        <v>0</v>
      </c>
      <c r="O19" s="33">
        <f>+N19-'Water Heaters Retired'!O19+'Water Heaters Purchased'!O19</f>
        <v>0</v>
      </c>
      <c r="P19" s="33">
        <f>+O19-'Water Heaters Retired'!P19+'Water Heaters Purchased'!P19</f>
        <v>0</v>
      </c>
      <c r="Q19" s="33">
        <f>+P19-'Water Heaters Retired'!Q19+'Water Heaters Purchased'!Q19</f>
        <v>0</v>
      </c>
      <c r="R19" s="33">
        <f>+Q19-'Water Heaters Retired'!R19+'Water Heaters Purchased'!R19</f>
        <v>0</v>
      </c>
      <c r="S19" s="33">
        <f>+R19-'Water Heaters Retired'!S19+'Water Heaters Purchased'!S19</f>
        <v>0</v>
      </c>
      <c r="T19" s="33">
        <f>+S19-'Water Heaters Retired'!T19+'Water Heaters Purchased'!T19</f>
        <v>0</v>
      </c>
      <c r="U19" s="33">
        <f>+T19-'Water Heaters Retired'!U19+'Water Heaters Purchased'!U19</f>
        <v>0</v>
      </c>
      <c r="V19" s="33">
        <f>+U19-'Water Heaters Retired'!V19+'Water Heaters Purchased'!V19</f>
        <v>0</v>
      </c>
      <c r="W19" s="33">
        <f>+V19-'Water Heaters Retired'!W19+'Water Heaters Purchased'!W19</f>
        <v>0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4"/>
  <dimension ref="A1:W19"/>
  <sheetViews>
    <sheetView workbookViewId="0"/>
  </sheetViews>
  <sheetFormatPr defaultColWidth="9.140625" defaultRowHeight="15.75"/>
  <cols>
    <col min="1" max="1" width="20.7109375" style="9" customWidth="1"/>
    <col min="2" max="10" width="9.7109375" style="9" customWidth="1"/>
    <col min="11" max="16384" width="9.140625" style="9"/>
  </cols>
  <sheetData>
    <row r="1" spans="1:23">
      <c r="A1" s="147" t="str">
        <f>CONCATENATE("Segment:  ",State,", Single Family, ", SpaceHeat, ", ", TankSize,", ", StartWH, " is starting water heater")</f>
        <v>Segment:  Oregon, Single Family, Gas FAF, &gt;55 Gallons, Electric Resistance is starting water heater</v>
      </c>
    </row>
    <row r="3" spans="1:23">
      <c r="A3" s="12" t="s">
        <v>103</v>
      </c>
      <c r="D3" s="12"/>
    </row>
    <row r="4" spans="1:23">
      <c r="A4" s="38" t="str">
        <f>'Device Energy Use'!A4</f>
        <v>Water Heat Ending</v>
      </c>
      <c r="B4" s="39">
        <f>'Water Heater Stock'!B4</f>
        <v>2014</v>
      </c>
      <c r="C4" s="39">
        <f>'Water Heater Stock'!C4</f>
        <v>2015</v>
      </c>
      <c r="D4" s="39">
        <f>'Water Heater Stock'!D4</f>
        <v>2016</v>
      </c>
      <c r="E4" s="39">
        <f>'Water Heater Stock'!E4</f>
        <v>2017</v>
      </c>
      <c r="F4" s="39">
        <f>'Water Heater Stock'!F4</f>
        <v>2018</v>
      </c>
      <c r="G4" s="39">
        <f>'Water Heater Stock'!G4</f>
        <v>2019</v>
      </c>
      <c r="H4" s="39">
        <f>'Water Heater Stock'!H4</f>
        <v>2020</v>
      </c>
      <c r="I4" s="39">
        <f>'Water Heater Stock'!I4</f>
        <v>2021</v>
      </c>
      <c r="J4" s="39">
        <f>'Water Heater Stock'!J4</f>
        <v>2022</v>
      </c>
      <c r="K4" s="39">
        <f>'Water Heater Stock'!K4</f>
        <v>2023</v>
      </c>
      <c r="L4" s="39">
        <f>'Water Heater Stock'!L4</f>
        <v>2024</v>
      </c>
      <c r="M4" s="39">
        <f>'Water Heater Stock'!M4</f>
        <v>2025</v>
      </c>
      <c r="N4" s="39">
        <f>'Water Heater Stock'!N4</f>
        <v>2026</v>
      </c>
      <c r="O4" s="39">
        <f>'Water Heater Stock'!O4</f>
        <v>2027</v>
      </c>
      <c r="P4" s="39">
        <f>'Water Heater Stock'!P4</f>
        <v>2028</v>
      </c>
      <c r="Q4" s="39">
        <f>'Water Heater Stock'!Q4</f>
        <v>2029</v>
      </c>
      <c r="R4" s="39">
        <f>'Water Heater Stock'!R4</f>
        <v>2030</v>
      </c>
      <c r="S4" s="39">
        <f>'Water Heater Stock'!S4</f>
        <v>2031</v>
      </c>
      <c r="T4" s="39">
        <f>'Water Heater Stock'!T4</f>
        <v>2032</v>
      </c>
      <c r="U4" s="39">
        <f>'Water Heater Stock'!U4</f>
        <v>2033</v>
      </c>
      <c r="V4" s="39">
        <f>'Water Heater Stock'!V4</f>
        <v>2034</v>
      </c>
      <c r="W4" s="39">
        <f>'Water Heater Stock'!W4</f>
        <v>2035</v>
      </c>
    </row>
    <row r="5" spans="1:23" ht="16.5" thickBot="1">
      <c r="A5" s="48" t="s">
        <v>44</v>
      </c>
      <c r="B5" s="49">
        <f t="shared" ref="B5:W5" si="0">SUM(B6:B10)</f>
        <v>0</v>
      </c>
      <c r="C5" s="49">
        <f t="shared" si="0"/>
        <v>1540.6428571428571</v>
      </c>
      <c r="D5" s="49">
        <f t="shared" si="0"/>
        <v>1540.6428571428567</v>
      </c>
      <c r="E5" s="49">
        <f t="shared" si="0"/>
        <v>1540.6428571428569</v>
      </c>
      <c r="F5" s="49">
        <f t="shared" si="0"/>
        <v>1540.6428571428571</v>
      </c>
      <c r="G5" s="49">
        <f t="shared" si="0"/>
        <v>1540.6428571428567</v>
      </c>
      <c r="H5" s="49">
        <f t="shared" si="0"/>
        <v>1540.6428571428569</v>
      </c>
      <c r="I5" s="49">
        <f t="shared" si="0"/>
        <v>1540.6428571428567</v>
      </c>
      <c r="J5" s="49">
        <f t="shared" si="0"/>
        <v>1540.6428571428567</v>
      </c>
      <c r="K5" s="49">
        <f t="shared" si="0"/>
        <v>1540.6428571428569</v>
      </c>
      <c r="L5" s="49">
        <f t="shared" si="0"/>
        <v>1540.6428571428569</v>
      </c>
      <c r="M5" s="49">
        <f t="shared" si="0"/>
        <v>1540.6428571428569</v>
      </c>
      <c r="N5" s="49">
        <f t="shared" si="0"/>
        <v>1540.6428571428571</v>
      </c>
      <c r="O5" s="49">
        <f t="shared" si="0"/>
        <v>1540.6428571428569</v>
      </c>
      <c r="P5" s="49">
        <f t="shared" si="0"/>
        <v>1540.6428571428571</v>
      </c>
      <c r="Q5" s="49">
        <f t="shared" si="0"/>
        <v>1540.6428571428569</v>
      </c>
      <c r="R5" s="49">
        <f t="shared" si="0"/>
        <v>1540.6428571428567</v>
      </c>
      <c r="S5" s="49">
        <f t="shared" si="0"/>
        <v>1540.6428571428569</v>
      </c>
      <c r="T5" s="49">
        <f t="shared" si="0"/>
        <v>1540.6428571428569</v>
      </c>
      <c r="U5" s="49">
        <f t="shared" si="0"/>
        <v>1540.6428571428569</v>
      </c>
      <c r="V5" s="49">
        <f t="shared" si="0"/>
        <v>1540.6428571428569</v>
      </c>
      <c r="W5" s="49">
        <f t="shared" si="0"/>
        <v>1540.6428571428569</v>
      </c>
    </row>
    <row r="6" spans="1:23" ht="16.5" thickTop="1">
      <c r="A6" s="9" t="str">
        <f>+'Water Heater Stock'!A6</f>
        <v>Electric Resistance</v>
      </c>
      <c r="B6" s="33">
        <v>0</v>
      </c>
      <c r="C6" s="33">
        <f>'Water Heater Stock'!B6/Lifetime</f>
        <v>1540.6428571428571</v>
      </c>
      <c r="D6" s="33">
        <f>'Water Heater Stock'!C6/Lifetime</f>
        <v>1430.5988534735338</v>
      </c>
      <c r="E6" s="33">
        <f>'Water Heater Stock'!D6/Lifetime</f>
        <v>1328.4151155096463</v>
      </c>
      <c r="F6" s="33">
        <f>'Water Heater Stock'!E6/Lifetime</f>
        <v>1233.530196010571</v>
      </c>
      <c r="G6" s="33">
        <f>'Water Heater Stock'!F6/Lifetime</f>
        <v>1145.4227511058803</v>
      </c>
      <c r="H6" s="33">
        <f>'Water Heater Stock'!G6/Lifetime</f>
        <v>1063.6086757689366</v>
      </c>
      <c r="I6" s="33">
        <f>'Water Heater Stock'!H6/Lifetime</f>
        <v>987.6384438995135</v>
      </c>
      <c r="J6" s="33">
        <f>'Water Heater Stock'!I6/Lifetime</f>
        <v>917.0946384005191</v>
      </c>
      <c r="K6" s="33">
        <f>'Water Heater Stock'!J6/Lifetime</f>
        <v>851.58965767780865</v>
      </c>
      <c r="L6" s="33">
        <f>'Water Heater Stock'!K6/Lifetime</f>
        <v>790.76358596144053</v>
      </c>
      <c r="M6" s="33">
        <f>'Water Heater Stock'!L6/Lifetime</f>
        <v>734.28221574684267</v>
      </c>
      <c r="N6" s="33">
        <f>'Water Heater Stock'!M6/Lifetime</f>
        <v>681.83521149018122</v>
      </c>
      <c r="O6" s="33">
        <f>'Water Heater Stock'!N6/Lifetime</f>
        <v>633.13440446834704</v>
      </c>
      <c r="P6" s="33">
        <f>'Water Heater Stock'!O6/Lifetime</f>
        <v>587.91220943465635</v>
      </c>
      <c r="Q6" s="33">
        <f>'Water Heater Stock'!P6/Lifetime</f>
        <v>545.92015437057432</v>
      </c>
      <c r="R6" s="33">
        <f>'Water Heater Stock'!Q6/Lifetime</f>
        <v>506.92751525517207</v>
      </c>
      <c r="S6" s="33">
        <f>'Water Heater Stock'!R6/Lifetime</f>
        <v>470.72004835105099</v>
      </c>
      <c r="T6" s="33">
        <f>'Water Heater Stock'!S6/Lifetime</f>
        <v>437.09881304127339</v>
      </c>
      <c r="U6" s="33">
        <f>'Water Heater Stock'!T6/Lifetime</f>
        <v>405.879078749369</v>
      </c>
      <c r="V6" s="33">
        <f>'Water Heater Stock'!U6/Lifetime</f>
        <v>376.88930993648444</v>
      </c>
      <c r="W6" s="33">
        <f>'Water Heater Stock'!V6/Lifetime</f>
        <v>349.97022359873597</v>
      </c>
    </row>
    <row r="7" spans="1:23">
      <c r="A7" s="9" t="str">
        <f>+'Water Heater Stock'!A7</f>
        <v>HPWH</v>
      </c>
      <c r="B7" s="33">
        <v>0</v>
      </c>
      <c r="C7" s="33">
        <f>'Water Heater Stock'!B7/Lifetime</f>
        <v>0</v>
      </c>
      <c r="D7" s="33">
        <f>'Water Heater Stock'!C7/Lifetime</f>
        <v>56.106778388459418</v>
      </c>
      <c r="E7" s="33">
        <f>'Water Heater Stock'!D7/Lifetime</f>
        <v>108.14049033564656</v>
      </c>
      <c r="F7" s="33">
        <f>'Water Heater Stock'!E7/Lifetime</f>
        <v>156.39254756502186</v>
      </c>
      <c r="G7" s="33">
        <f>'Water Heater Stock'!F7/Lifetime</f>
        <v>201.13355720776698</v>
      </c>
      <c r="H7" s="33">
        <f>'Water Heater Stock'!G7/Lifetime</f>
        <v>242.61480779585989</v>
      </c>
      <c r="I7" s="33">
        <f>'Water Heater Stock'!H7/Lifetime</f>
        <v>281.06964910984567</v>
      </c>
      <c r="J7" s="33">
        <f>'Water Heater Stock'!I7/Lifetime</f>
        <v>316.71477346314703</v>
      </c>
      <c r="K7" s="33">
        <f>'Water Heater Stock'!J7/Lifetime</f>
        <v>349.75140546319716</v>
      </c>
      <c r="L7" s="33">
        <f>'Water Heater Stock'!K7/Lifetime</f>
        <v>380.36640678680425</v>
      </c>
      <c r="M7" s="33">
        <f>'Water Heater Stock'!L7/Lifetime</f>
        <v>408.73330204019692</v>
      </c>
      <c r="N7" s="33">
        <f>'Water Heater Stock'!M7/Lifetime</f>
        <v>435.01323134060198</v>
      </c>
      <c r="O7" s="33">
        <f>'Water Heater Stock'!N7/Lifetime</f>
        <v>459.35583485357029</v>
      </c>
      <c r="P7" s="33">
        <f>'Water Heater Stock'!O7/Lifetime</f>
        <v>481.90007414639859</v>
      </c>
      <c r="Q7" s="33">
        <f>'Water Heater Stock'!P7/Lifetime</f>
        <v>502.77499487082565</v>
      </c>
      <c r="R7" s="33">
        <f>'Water Heater Stock'!Q7/Lifetime</f>
        <v>522.10043496581466</v>
      </c>
      <c r="S7" s="33">
        <f>'Water Heater Stock'!R7/Lifetime</f>
        <v>539.98768227188816</v>
      </c>
      <c r="T7" s="33">
        <f>'Water Heater Stock'!S7/Lifetime</f>
        <v>556.54008517052375</v>
      </c>
      <c r="U7" s="33">
        <f>'Water Heater Stock'!T7/Lifetime</f>
        <v>571.85361960400837</v>
      </c>
      <c r="V7" s="33">
        <f>'Water Heater Stock'!U7/Lifetime</f>
        <v>586.01741559148138</v>
      </c>
      <c r="W7" s="33">
        <f>'Water Heater Stock'!V7/Lifetime</f>
        <v>599.11424613434349</v>
      </c>
    </row>
    <row r="8" spans="1:23">
      <c r="A8" s="9" t="str">
        <f>+'Water Heater Stock'!A8</f>
        <v>Gas Tank</v>
      </c>
      <c r="B8" s="33">
        <v>0</v>
      </c>
      <c r="C8" s="33">
        <f>'Water Heater Stock'!B8/Lifetime</f>
        <v>0</v>
      </c>
      <c r="D8" s="33">
        <f>'Water Heater Stock'!C8/Lifetime</f>
        <v>4.2300329200851651E-3</v>
      </c>
      <c r="E8" s="33">
        <f>'Water Heater Stock'!D8/Lifetime</f>
        <v>8.118577633667497E-3</v>
      </c>
      <c r="F8" s="33">
        <f>'Water Heater Stock'!E8/Lifetime</f>
        <v>1.1690366410658603E-2</v>
      </c>
      <c r="G8" s="33">
        <f>'Water Heater Stock'!F8/Lifetime</f>
        <v>1.4968365462093939E-2</v>
      </c>
      <c r="H8" s="33">
        <f>'Water Heater Stock'!G8/Lifetime</f>
        <v>1.7973900980398434E-2</v>
      </c>
      <c r="I8" s="33">
        <f>'Water Heater Stock'!H8/Lifetime</f>
        <v>2.0726776178490613E-2</v>
      </c>
      <c r="J8" s="33">
        <f>'Water Heater Stock'!I8/Lifetime</f>
        <v>2.3245379970709051E-2</v>
      </c>
      <c r="K8" s="33">
        <f>'Water Heater Stock'!J8/Lifetime</f>
        <v>2.5546787892614907E-2</v>
      </c>
      <c r="L8" s="33">
        <f>'Water Heater Stock'!K8/Lifetime</f>
        <v>2.7646855814074552E-2</v>
      </c>
      <c r="M8" s="33">
        <f>'Water Heater Stock'!L8/Lifetime</f>
        <v>2.9560306960423204E-2</v>
      </c>
      <c r="N8" s="33">
        <f>'Water Heater Stock'!M8/Lifetime</f>
        <v>3.1300812719736178E-2</v>
      </c>
      <c r="O8" s="33">
        <f>'Water Heater Stock'!N8/Lifetime</f>
        <v>3.2881067680086674E-2</v>
      </c>
      <c r="P8" s="33">
        <f>'Water Heater Stock'!O8/Lifetime</f>
        <v>3.4312859308960802E-2</v>
      </c>
      <c r="Q8" s="33">
        <f>'Water Heater Stock'!P8/Lifetime</f>
        <v>3.5607132657556891E-2</v>
      </c>
      <c r="R8" s="33">
        <f>'Water Heater Stock'!Q8/Lifetime</f>
        <v>3.6774050445355748E-2</v>
      </c>
      <c r="S8" s="33">
        <f>'Water Heater Stock'!R8/Lifetime</f>
        <v>3.7823048854961357E-2</v>
      </c>
      <c r="T8" s="33">
        <f>'Water Heater Stock'!S8/Lifetime</f>
        <v>3.8762889343637294E-2</v>
      </c>
      <c r="U8" s="33">
        <f>'Water Heater Stock'!T8/Lifetime</f>
        <v>3.9601706756074086E-2</v>
      </c>
      <c r="V8" s="33">
        <f>'Water Heater Stock'!U8/Lifetime</f>
        <v>4.0347054002596479E-2</v>
      </c>
      <c r="W8" s="33">
        <f>'Water Heater Stock'!V8/Lifetime</f>
        <v>4.1005943548144901E-2</v>
      </c>
    </row>
    <row r="9" spans="1:23">
      <c r="A9" s="9" t="str">
        <f>+'Water Heater Stock'!A9</f>
        <v>Instant Gas</v>
      </c>
      <c r="B9" s="33">
        <v>0</v>
      </c>
      <c r="C9" s="33">
        <f>'Water Heater Stock'!B9/Lifetime</f>
        <v>0</v>
      </c>
      <c r="D9" s="33">
        <f>'Water Heater Stock'!C9/Lifetime</f>
        <v>16.36082333383558</v>
      </c>
      <c r="E9" s="33">
        <f>'Water Heater Stock'!D9/Lifetime</f>
        <v>31.627486800483048</v>
      </c>
      <c r="F9" s="33">
        <f>'Water Heater Stock'!E9/Lifetime</f>
        <v>45.878472226139401</v>
      </c>
      <c r="G9" s="33">
        <f>'Water Heater Stock'!F9/Lifetime</f>
        <v>59.186648667226741</v>
      </c>
      <c r="H9" s="33">
        <f>'Water Heater Stock'!G9/Lifetime</f>
        <v>71.619673130560372</v>
      </c>
      <c r="I9" s="33">
        <f>'Water Heater Stock'!H9/Lifetime</f>
        <v>83.240362670733518</v>
      </c>
      <c r="J9" s="33">
        <f>'Water Heater Stock'!I9/Lifetime</f>
        <v>94.107039909343129</v>
      </c>
      <c r="K9" s="33">
        <f>'Water Heater Stock'!J9/Lifetime</f>
        <v>104.2738538746395</v>
      </c>
      <c r="L9" s="33">
        <f>'Water Heater Stock'!K9/Lifetime</f>
        <v>113.79107792457216</v>
      </c>
      <c r="M9" s="33">
        <f>'Water Heater Stock'!L9/Lifetime</f>
        <v>122.70538639028015</v>
      </c>
      <c r="N9" s="33">
        <f>'Water Heater Stock'!M9/Lifetime</f>
        <v>131.06011146014535</v>
      </c>
      <c r="O9" s="33">
        <f>'Water Heater Stock'!N9/Lifetime</f>
        <v>138.89548171595001</v>
      </c>
      <c r="P9" s="33">
        <f>'Water Heater Stock'!O9/Lifetime</f>
        <v>146.24884363185714</v>
      </c>
      <c r="Q9" s="33">
        <f>'Water Heater Stock'!P9/Lifetime</f>
        <v>153.15486725331112</v>
      </c>
      <c r="R9" s="33">
        <f>'Water Heater Stock'!Q9/Lifetime</f>
        <v>159.64573718602333</v>
      </c>
      <c r="S9" s="33">
        <f>'Water Heater Stock'!R9/Lifetime</f>
        <v>165.7513299444814</v>
      </c>
      <c r="T9" s="33">
        <f>'Water Heater Stock'!S9/Lifetime</f>
        <v>171.49937863446374</v>
      </c>
      <c r="U9" s="33">
        <f>'Water Heater Stock'!T9/Lifetime</f>
        <v>176.91562587443462</v>
      </c>
      <c r="V9" s="33">
        <f>'Water Heater Stock'!U9/Lifetime</f>
        <v>182.02396579606389</v>
      </c>
      <c r="W9" s="33">
        <f>'Water Heater Stock'!V9/Lifetime</f>
        <v>186.84657590409685</v>
      </c>
    </row>
    <row r="10" spans="1:23">
      <c r="A10" s="9" t="str">
        <f>+'Water Heater Stock'!A10</f>
        <v>Condensing Gas</v>
      </c>
      <c r="B10" s="33">
        <v>0</v>
      </c>
      <c r="C10" s="33">
        <f>'Water Heater Stock'!B10/Lifetime</f>
        <v>0</v>
      </c>
      <c r="D10" s="33">
        <f>'Water Heater Stock'!C10/Lifetime</f>
        <v>37.572171914107912</v>
      </c>
      <c r="E10" s="33">
        <f>'Water Heater Stock'!D10/Lifetime</f>
        <v>72.451645919447344</v>
      </c>
      <c r="F10" s="33">
        <f>'Water Heater Stock'!E10/Lifetime</f>
        <v>104.82995097471417</v>
      </c>
      <c r="G10" s="33">
        <f>'Water Heater Stock'!F10/Lifetime</f>
        <v>134.88493179652076</v>
      </c>
      <c r="H10" s="33">
        <f>'Water Heater Stock'!G10/Lifetime</f>
        <v>162.78172654651968</v>
      </c>
      <c r="I10" s="33">
        <f>'Water Heater Stock'!H10/Lifetime</f>
        <v>188.67367468658566</v>
      </c>
      <c r="J10" s="33">
        <f>'Water Heater Stock'!I10/Lifetime</f>
        <v>212.70315998987684</v>
      </c>
      <c r="K10" s="33">
        <f>'Water Heater Stock'!J10/Lifetime</f>
        <v>235.00239333931879</v>
      </c>
      <c r="L10" s="33">
        <f>'Water Heater Stock'!K10/Lifetime</f>
        <v>255.69413961422578</v>
      </c>
      <c r="M10" s="33">
        <f>'Water Heater Stock'!L10/Lifetime</f>
        <v>274.8923926585768</v>
      </c>
      <c r="N10" s="33">
        <f>'Water Heater Stock'!M10/Lifetime</f>
        <v>292.7030020392088</v>
      </c>
      <c r="O10" s="33">
        <f>'Water Heater Stock'!N10/Lifetime</f>
        <v>309.22425503730966</v>
      </c>
      <c r="P10" s="33">
        <f>'Water Heater Stock'!O10/Lifetime</f>
        <v>324.54741707063596</v>
      </c>
      <c r="Q10" s="33">
        <f>'Water Heater Stock'!P10/Lifetime</f>
        <v>338.75723351548822</v>
      </c>
      <c r="R10" s="33">
        <f>'Water Heater Stock'!Q10/Lifetime</f>
        <v>351.93239568540145</v>
      </c>
      <c r="S10" s="33">
        <f>'Water Heater Stock'!R10/Lifetime</f>
        <v>364.14597352658132</v>
      </c>
      <c r="T10" s="33">
        <f>'Water Heater Stock'!S10/Lifetime</f>
        <v>375.46581740725242</v>
      </c>
      <c r="U10" s="33">
        <f>'Water Heater Stock'!T10/Lifetime</f>
        <v>385.95493120828888</v>
      </c>
      <c r="V10" s="33">
        <f>'Water Heater Stock'!U10/Lifetime</f>
        <v>395.67181876482448</v>
      </c>
      <c r="W10" s="33">
        <f>'Water Heater Stock'!V10/Lifetime</f>
        <v>404.67080556213244</v>
      </c>
    </row>
    <row r="12" spans="1:23">
      <c r="A12" s="12" t="s">
        <v>104</v>
      </c>
      <c r="D12" s="12"/>
    </row>
    <row r="13" spans="1:23">
      <c r="A13" s="38" t="str">
        <f>'Device Energy Use'!A4</f>
        <v>Water Heat Ending</v>
      </c>
      <c r="B13" s="39">
        <f>+'Water Heater Stock'!B13</f>
        <v>2014</v>
      </c>
      <c r="C13" s="39">
        <f>+'Water Heater Stock'!C13</f>
        <v>2015</v>
      </c>
      <c r="D13" s="39">
        <f>+'Water Heater Stock'!D13</f>
        <v>2016</v>
      </c>
      <c r="E13" s="39">
        <f>+'Water Heater Stock'!E13</f>
        <v>2017</v>
      </c>
      <c r="F13" s="39">
        <f>+'Water Heater Stock'!F13</f>
        <v>2018</v>
      </c>
      <c r="G13" s="39">
        <f>+'Water Heater Stock'!G13</f>
        <v>2019</v>
      </c>
      <c r="H13" s="39">
        <f>+'Water Heater Stock'!H13</f>
        <v>2020</v>
      </c>
      <c r="I13" s="39">
        <f>+'Water Heater Stock'!I13</f>
        <v>2021</v>
      </c>
      <c r="J13" s="39">
        <f>+'Water Heater Stock'!J13</f>
        <v>2022</v>
      </c>
      <c r="K13" s="39">
        <f>+'Water Heater Stock'!K13</f>
        <v>2023</v>
      </c>
      <c r="L13" s="39">
        <f>+'Water Heater Stock'!L13</f>
        <v>2024</v>
      </c>
      <c r="M13" s="39">
        <f>+'Water Heater Stock'!M13</f>
        <v>2025</v>
      </c>
      <c r="N13" s="39">
        <f>+'Water Heater Stock'!N13</f>
        <v>2026</v>
      </c>
      <c r="O13" s="39">
        <f>+'Water Heater Stock'!O13</f>
        <v>2027</v>
      </c>
      <c r="P13" s="39">
        <f>+'Water Heater Stock'!P13</f>
        <v>2028</v>
      </c>
      <c r="Q13" s="39">
        <f>+'Water Heater Stock'!Q13</f>
        <v>2029</v>
      </c>
      <c r="R13" s="39">
        <f>+'Water Heater Stock'!R13</f>
        <v>2030</v>
      </c>
      <c r="S13" s="39">
        <f>+'Water Heater Stock'!S13</f>
        <v>2031</v>
      </c>
      <c r="T13" s="39">
        <f>+'Water Heater Stock'!T13</f>
        <v>2032</v>
      </c>
      <c r="U13" s="39">
        <f>+'Water Heater Stock'!U13</f>
        <v>2033</v>
      </c>
      <c r="V13" s="39">
        <f>+'Water Heater Stock'!V13</f>
        <v>2034</v>
      </c>
      <c r="W13" s="39">
        <f>+'Water Heater Stock'!W13</f>
        <v>2035</v>
      </c>
    </row>
    <row r="14" spans="1:23" ht="16.5" thickBot="1">
      <c r="A14" s="48" t="s">
        <v>44</v>
      </c>
      <c r="B14" s="49">
        <f t="shared" ref="B14:W14" si="1">SUM(B15:B19)</f>
        <v>0</v>
      </c>
      <c r="C14" s="49">
        <f t="shared" si="1"/>
        <v>1540.6428571428571</v>
      </c>
      <c r="D14" s="49">
        <f t="shared" si="1"/>
        <v>1540.6428571428571</v>
      </c>
      <c r="E14" s="49">
        <f t="shared" si="1"/>
        <v>1540.6428571428571</v>
      </c>
      <c r="F14" s="49">
        <f t="shared" si="1"/>
        <v>1540.6428571428569</v>
      </c>
      <c r="G14" s="49">
        <f t="shared" si="1"/>
        <v>1540.6428571428569</v>
      </c>
      <c r="H14" s="49">
        <f t="shared" si="1"/>
        <v>1540.6428571428569</v>
      </c>
      <c r="I14" s="49">
        <f t="shared" si="1"/>
        <v>1540.6428571428569</v>
      </c>
      <c r="J14" s="49">
        <f t="shared" si="1"/>
        <v>1540.6428571428569</v>
      </c>
      <c r="K14" s="49">
        <f t="shared" si="1"/>
        <v>1540.6428571428569</v>
      </c>
      <c r="L14" s="49">
        <f t="shared" si="1"/>
        <v>1540.6428571428569</v>
      </c>
      <c r="M14" s="49">
        <f t="shared" si="1"/>
        <v>1540.6428571428569</v>
      </c>
      <c r="N14" s="49">
        <f t="shared" si="1"/>
        <v>1540.6428571428569</v>
      </c>
      <c r="O14" s="49">
        <f t="shared" si="1"/>
        <v>1540.6428571428569</v>
      </c>
      <c r="P14" s="49">
        <f t="shared" si="1"/>
        <v>1540.6428571428571</v>
      </c>
      <c r="Q14" s="49">
        <f t="shared" si="1"/>
        <v>1540.6428571428569</v>
      </c>
      <c r="R14" s="49">
        <f t="shared" si="1"/>
        <v>1540.6428571428569</v>
      </c>
      <c r="S14" s="49">
        <f t="shared" si="1"/>
        <v>1540.6428571428569</v>
      </c>
      <c r="T14" s="49">
        <f t="shared" si="1"/>
        <v>1540.6428571428571</v>
      </c>
      <c r="U14" s="49">
        <f t="shared" si="1"/>
        <v>1540.6428571428571</v>
      </c>
      <c r="V14" s="49">
        <f t="shared" si="1"/>
        <v>1540.6428571428573</v>
      </c>
      <c r="W14" s="49">
        <f t="shared" si="1"/>
        <v>1540.6428571428573</v>
      </c>
    </row>
    <row r="15" spans="1:23" ht="16.5" thickTop="1">
      <c r="A15" s="9" t="str">
        <f>+'Water Heater Stock'!A15</f>
        <v>Electric Resistance</v>
      </c>
      <c r="B15" s="33">
        <v>0</v>
      </c>
      <c r="C15" s="33">
        <f>'Water Heater Stock'!B15/Lifetime</f>
        <v>1540.6428571428571</v>
      </c>
      <c r="D15" s="33">
        <f>'Water Heater Stock'!C15/Lifetime</f>
        <v>1430.5969387755101</v>
      </c>
      <c r="E15" s="33">
        <f>'Water Heater Stock'!D15/Lifetime</f>
        <v>1328.411443148688</v>
      </c>
      <c r="F15" s="33">
        <f>'Water Heater Stock'!E15/Lifetime</f>
        <v>1233.5249114952101</v>
      </c>
      <c r="G15" s="33">
        <f>'Water Heater Stock'!F15/Lifetime</f>
        <v>1145.4159892455523</v>
      </c>
      <c r="H15" s="33">
        <f>'Water Heater Stock'!G15/Lifetime</f>
        <v>1063.6005614422986</v>
      </c>
      <c r="I15" s="33">
        <f>'Water Heater Stock'!H15/Lifetime</f>
        <v>987.62909276784865</v>
      </c>
      <c r="J15" s="33">
        <f>'Water Heater Stock'!I15/Lifetime</f>
        <v>917.08415757014518</v>
      </c>
      <c r="K15" s="33">
        <f>'Water Heater Stock'!J15/Lifetime</f>
        <v>851.57814631513486</v>
      </c>
      <c r="L15" s="33">
        <f>'Water Heater Stock'!K15/Lifetime</f>
        <v>790.75113586405382</v>
      </c>
      <c r="M15" s="33">
        <f>'Water Heater Stock'!L15/Lifetime</f>
        <v>734.2689118737643</v>
      </c>
      <c r="N15" s="33">
        <f>'Water Heater Stock'!M15/Lifetime</f>
        <v>681.82113245420976</v>
      </c>
      <c r="O15" s="33">
        <f>'Water Heater Stock'!N15/Lifetime</f>
        <v>633.11962299319475</v>
      </c>
      <c r="P15" s="33">
        <f>'Water Heater Stock'!O15/Lifetime</f>
        <v>587.89679277939524</v>
      </c>
      <c r="Q15" s="33">
        <f>'Water Heater Stock'!P15/Lifetime</f>
        <v>545.90416472372408</v>
      </c>
      <c r="R15" s="33">
        <f>'Water Heater Stock'!Q15/Lifetime</f>
        <v>506.91101010060095</v>
      </c>
      <c r="S15" s="33">
        <f>'Water Heater Stock'!R15/Lifetime</f>
        <v>470.70308080770093</v>
      </c>
      <c r="T15" s="33">
        <f>'Water Heater Stock'!S15/Lifetime</f>
        <v>437.0814321785794</v>
      </c>
      <c r="U15" s="33">
        <f>'Water Heater Stock'!T15/Lifetime</f>
        <v>405.86132988010951</v>
      </c>
      <c r="V15" s="33">
        <f>'Water Heater Stock'!U15/Lifetime</f>
        <v>376.87123488867309</v>
      </c>
      <c r="W15" s="33">
        <f>'Water Heater Stock'!V15/Lifetime</f>
        <v>349.95186096805361</v>
      </c>
    </row>
    <row r="16" spans="1:23">
      <c r="A16" s="9" t="str">
        <f>+'Water Heater Stock'!A16</f>
        <v>HPWH</v>
      </c>
      <c r="B16" s="33">
        <v>0</v>
      </c>
      <c r="C16" s="33">
        <f>'Water Heater Stock'!B16/Lifetime</f>
        <v>0</v>
      </c>
      <c r="D16" s="33">
        <f>'Water Heater Stock'!C16/Lifetime</f>
        <v>110.04591836734694</v>
      </c>
      <c r="E16" s="33">
        <f>'Water Heater Stock'!D16/Lifetime</f>
        <v>212.23141399416909</v>
      </c>
      <c r="F16" s="33">
        <f>'Water Heater Stock'!E16/Lifetime</f>
        <v>307.11794564764676</v>
      </c>
      <c r="G16" s="33">
        <f>'Water Heater Stock'!F16/Lifetime</f>
        <v>395.22686789730466</v>
      </c>
      <c r="H16" s="33">
        <f>'Water Heater Stock'!G16/Lifetime</f>
        <v>477.04229570055838</v>
      </c>
      <c r="I16" s="33">
        <f>'Water Heater Stock'!H16/Lifetime</f>
        <v>553.01376437500824</v>
      </c>
      <c r="J16" s="33">
        <f>'Water Heater Stock'!I16/Lifetime</f>
        <v>623.5586995727117</v>
      </c>
      <c r="K16" s="33">
        <f>'Water Heater Stock'!J16/Lifetime</f>
        <v>689.06471082772202</v>
      </c>
      <c r="L16" s="33">
        <f>'Water Heater Stock'!K16/Lifetime</f>
        <v>749.89172127880306</v>
      </c>
      <c r="M16" s="33">
        <f>'Water Heater Stock'!L16/Lifetime</f>
        <v>806.37394526909259</v>
      </c>
      <c r="N16" s="33">
        <f>'Water Heater Stock'!M16/Lifetime</f>
        <v>858.82172468864712</v>
      </c>
      <c r="O16" s="33">
        <f>'Water Heater Stock'!N16/Lifetime</f>
        <v>907.52323414966213</v>
      </c>
      <c r="P16" s="33">
        <f>'Water Heater Stock'!O16/Lifetime</f>
        <v>952.74606436346187</v>
      </c>
      <c r="Q16" s="33">
        <f>'Water Heater Stock'!P16/Lifetime</f>
        <v>994.73869241913292</v>
      </c>
      <c r="R16" s="33">
        <f>'Water Heater Stock'!Q16/Lifetime</f>
        <v>1033.731847042256</v>
      </c>
      <c r="S16" s="33">
        <f>'Water Heater Stock'!R16/Lifetime</f>
        <v>1069.939776335156</v>
      </c>
      <c r="T16" s="33">
        <f>'Water Heater Stock'!S16/Lifetime</f>
        <v>1103.5614249642776</v>
      </c>
      <c r="U16" s="33">
        <f>'Water Heater Stock'!T16/Lifetime</f>
        <v>1134.7815272627477</v>
      </c>
      <c r="V16" s="33">
        <f>'Water Heater Stock'!U16/Lifetime</f>
        <v>1163.7716222541842</v>
      </c>
      <c r="W16" s="33">
        <f>'Water Heater Stock'!V16/Lifetime</f>
        <v>1190.6909961748038</v>
      </c>
    </row>
    <row r="17" spans="1:23">
      <c r="A17" s="9" t="str">
        <f>+'Water Heater Stock'!A17</f>
        <v>Gas Tank</v>
      </c>
      <c r="B17" s="33">
        <v>0</v>
      </c>
      <c r="C17" s="33">
        <f>'Water Heater Stock'!B17/Lifetime</f>
        <v>0</v>
      </c>
      <c r="D17" s="33">
        <f>'Water Heater Stock'!C17/Lifetime</f>
        <v>0</v>
      </c>
      <c r="E17" s="33">
        <f>'Water Heater Stock'!D17/Lifetime</f>
        <v>0</v>
      </c>
      <c r="F17" s="33">
        <f>'Water Heater Stock'!E17/Lifetime</f>
        <v>0</v>
      </c>
      <c r="G17" s="33">
        <f>'Water Heater Stock'!F17/Lifetime</f>
        <v>0</v>
      </c>
      <c r="H17" s="33">
        <f>'Water Heater Stock'!G17/Lifetime</f>
        <v>0</v>
      </c>
      <c r="I17" s="33">
        <f>'Water Heater Stock'!H17/Lifetime</f>
        <v>0</v>
      </c>
      <c r="J17" s="33">
        <f>'Water Heater Stock'!I17/Lifetime</f>
        <v>0</v>
      </c>
      <c r="K17" s="33">
        <f>'Water Heater Stock'!J17/Lifetime</f>
        <v>0</v>
      </c>
      <c r="L17" s="33">
        <f>'Water Heater Stock'!K17/Lifetime</f>
        <v>0</v>
      </c>
      <c r="M17" s="33">
        <f>'Water Heater Stock'!L17/Lifetime</f>
        <v>0</v>
      </c>
      <c r="N17" s="33">
        <f>'Water Heater Stock'!M17/Lifetime</f>
        <v>0</v>
      </c>
      <c r="O17" s="33">
        <f>'Water Heater Stock'!N17/Lifetime</f>
        <v>0</v>
      </c>
      <c r="P17" s="33">
        <f>'Water Heater Stock'!O17/Lifetime</f>
        <v>0</v>
      </c>
      <c r="Q17" s="33">
        <f>'Water Heater Stock'!P17/Lifetime</f>
        <v>0</v>
      </c>
      <c r="R17" s="33">
        <f>'Water Heater Stock'!Q17/Lifetime</f>
        <v>0</v>
      </c>
      <c r="S17" s="33">
        <f>'Water Heater Stock'!R17/Lifetime</f>
        <v>0</v>
      </c>
      <c r="T17" s="33">
        <f>'Water Heater Stock'!S17/Lifetime</f>
        <v>0</v>
      </c>
      <c r="U17" s="33">
        <f>'Water Heater Stock'!T17/Lifetime</f>
        <v>0</v>
      </c>
      <c r="V17" s="33">
        <f>'Water Heater Stock'!U17/Lifetime</f>
        <v>0</v>
      </c>
      <c r="W17" s="33">
        <f>'Water Heater Stock'!V17/Lifetime</f>
        <v>0</v>
      </c>
    </row>
    <row r="18" spans="1:23">
      <c r="A18" s="9" t="str">
        <f>+'Water Heater Stock'!A18</f>
        <v>Instant Gas</v>
      </c>
      <c r="B18" s="33">
        <v>0</v>
      </c>
      <c r="C18" s="33">
        <f>'Water Heater Stock'!B18/Lifetime</f>
        <v>0</v>
      </c>
      <c r="D18" s="33">
        <f>'Water Heater Stock'!C18/Lifetime</f>
        <v>0</v>
      </c>
      <c r="E18" s="33">
        <f>'Water Heater Stock'!D18/Lifetime</f>
        <v>0</v>
      </c>
      <c r="F18" s="33">
        <f>'Water Heater Stock'!E18/Lifetime</f>
        <v>0</v>
      </c>
      <c r="G18" s="33">
        <f>'Water Heater Stock'!F18/Lifetime</f>
        <v>0</v>
      </c>
      <c r="H18" s="33">
        <f>'Water Heater Stock'!G18/Lifetime</f>
        <v>0</v>
      </c>
      <c r="I18" s="33">
        <f>'Water Heater Stock'!H18/Lifetime</f>
        <v>0</v>
      </c>
      <c r="J18" s="33">
        <f>'Water Heater Stock'!I18/Lifetime</f>
        <v>0</v>
      </c>
      <c r="K18" s="33">
        <f>'Water Heater Stock'!J18/Lifetime</f>
        <v>0</v>
      </c>
      <c r="L18" s="33">
        <f>'Water Heater Stock'!K18/Lifetime</f>
        <v>0</v>
      </c>
      <c r="M18" s="33">
        <f>'Water Heater Stock'!L18/Lifetime</f>
        <v>0</v>
      </c>
      <c r="N18" s="33">
        <f>'Water Heater Stock'!M18/Lifetime</f>
        <v>0</v>
      </c>
      <c r="O18" s="33">
        <f>'Water Heater Stock'!N18/Lifetime</f>
        <v>0</v>
      </c>
      <c r="P18" s="33">
        <f>'Water Heater Stock'!O18/Lifetime</f>
        <v>0</v>
      </c>
      <c r="Q18" s="33">
        <f>'Water Heater Stock'!P18/Lifetime</f>
        <v>0</v>
      </c>
      <c r="R18" s="33">
        <f>'Water Heater Stock'!Q18/Lifetime</f>
        <v>0</v>
      </c>
      <c r="S18" s="33">
        <f>'Water Heater Stock'!R18/Lifetime</f>
        <v>0</v>
      </c>
      <c r="T18" s="33">
        <f>'Water Heater Stock'!S18/Lifetime</f>
        <v>0</v>
      </c>
      <c r="U18" s="33">
        <f>'Water Heater Stock'!T18/Lifetime</f>
        <v>0</v>
      </c>
      <c r="V18" s="33">
        <f>'Water Heater Stock'!U18/Lifetime</f>
        <v>0</v>
      </c>
      <c r="W18" s="33">
        <f>'Water Heater Stock'!V18/Lifetime</f>
        <v>0</v>
      </c>
    </row>
    <row r="19" spans="1:23">
      <c r="A19" s="9" t="str">
        <f>+'Water Heater Stock'!A19</f>
        <v>Condensing Gas</v>
      </c>
      <c r="B19" s="33">
        <v>0</v>
      </c>
      <c r="C19" s="33">
        <f>'Water Heater Stock'!B19/Lifetime</f>
        <v>0</v>
      </c>
      <c r="D19" s="33">
        <f>'Water Heater Stock'!C19/Lifetime</f>
        <v>0</v>
      </c>
      <c r="E19" s="33">
        <f>'Water Heater Stock'!D19/Lifetime</f>
        <v>0</v>
      </c>
      <c r="F19" s="33">
        <f>'Water Heater Stock'!E19/Lifetime</f>
        <v>0</v>
      </c>
      <c r="G19" s="33">
        <f>'Water Heater Stock'!F19/Lifetime</f>
        <v>0</v>
      </c>
      <c r="H19" s="33">
        <f>'Water Heater Stock'!G19/Lifetime</f>
        <v>0</v>
      </c>
      <c r="I19" s="33">
        <f>'Water Heater Stock'!H19/Lifetime</f>
        <v>0</v>
      </c>
      <c r="J19" s="33">
        <f>'Water Heater Stock'!I19/Lifetime</f>
        <v>0</v>
      </c>
      <c r="K19" s="33">
        <f>'Water Heater Stock'!J19/Lifetime</f>
        <v>0</v>
      </c>
      <c r="L19" s="33">
        <f>'Water Heater Stock'!K19/Lifetime</f>
        <v>0</v>
      </c>
      <c r="M19" s="33">
        <f>'Water Heater Stock'!L19/Lifetime</f>
        <v>0</v>
      </c>
      <c r="N19" s="33">
        <f>'Water Heater Stock'!M19/Lifetime</f>
        <v>0</v>
      </c>
      <c r="O19" s="33">
        <f>'Water Heater Stock'!N19/Lifetime</f>
        <v>0</v>
      </c>
      <c r="P19" s="33">
        <f>'Water Heater Stock'!O19/Lifetime</f>
        <v>0</v>
      </c>
      <c r="Q19" s="33">
        <f>'Water Heater Stock'!P19/Lifetime</f>
        <v>0</v>
      </c>
      <c r="R19" s="33">
        <f>'Water Heater Stock'!Q19/Lifetime</f>
        <v>0</v>
      </c>
      <c r="S19" s="33">
        <f>'Water Heater Stock'!R19/Lifetime</f>
        <v>0</v>
      </c>
      <c r="T19" s="33">
        <f>'Water Heater Stock'!S19/Lifetime</f>
        <v>0</v>
      </c>
      <c r="U19" s="33">
        <f>'Water Heater Stock'!T19/Lifetime</f>
        <v>0</v>
      </c>
      <c r="V19" s="33">
        <f>'Water Heater Stock'!U19/Lifetime</f>
        <v>0</v>
      </c>
      <c r="W19" s="33">
        <f>'Water Heater Stock'!V19/Lifetime</f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5"/>
  <dimension ref="A1:W19"/>
  <sheetViews>
    <sheetView workbookViewId="0"/>
  </sheetViews>
  <sheetFormatPr defaultColWidth="9.140625" defaultRowHeight="15.75"/>
  <cols>
    <col min="1" max="1" width="20.7109375" style="9" customWidth="1"/>
    <col min="2" max="13" width="9.7109375" style="9" customWidth="1"/>
    <col min="14" max="16384" width="9.140625" style="9"/>
  </cols>
  <sheetData>
    <row r="1" spans="1:23">
      <c r="A1" s="147" t="str">
        <f>CONCATENATE("Segment:  ",State,", Single Family, ", SpaceHeat, ", ", TankSize,", ", StartWH, " is starting water heater")</f>
        <v>Segment:  Oregon, Single Family, Gas FAF, &gt;55 Gallons, Electric Resistance is starting water heater</v>
      </c>
    </row>
    <row r="3" spans="1:23">
      <c r="A3" s="12" t="s">
        <v>101</v>
      </c>
    </row>
    <row r="4" spans="1:23">
      <c r="A4" s="38" t="str">
        <f>'Device Energy Use'!A4</f>
        <v>Water Heat Ending</v>
      </c>
      <c r="B4" s="39">
        <f>+'Water Heater Stock'!B4</f>
        <v>2014</v>
      </c>
      <c r="C4" s="39">
        <f>+'Water Heater Stock'!C4</f>
        <v>2015</v>
      </c>
      <c r="D4" s="39">
        <f>+'Water Heater Stock'!D4</f>
        <v>2016</v>
      </c>
      <c r="E4" s="39">
        <f>+'Water Heater Stock'!E4</f>
        <v>2017</v>
      </c>
      <c r="F4" s="39">
        <f>+'Water Heater Stock'!F4</f>
        <v>2018</v>
      </c>
      <c r="G4" s="39">
        <f>+'Water Heater Stock'!G4</f>
        <v>2019</v>
      </c>
      <c r="H4" s="39">
        <f>+'Water Heater Stock'!H4</f>
        <v>2020</v>
      </c>
      <c r="I4" s="39">
        <f>+'Water Heater Stock'!I4</f>
        <v>2021</v>
      </c>
      <c r="J4" s="39">
        <f>+'Water Heater Stock'!J4</f>
        <v>2022</v>
      </c>
      <c r="K4" s="39">
        <f>+'Water Heater Stock'!K4</f>
        <v>2023</v>
      </c>
      <c r="L4" s="39">
        <f>+'Water Heater Stock'!L4</f>
        <v>2024</v>
      </c>
      <c r="M4" s="39">
        <f>+'Water Heater Stock'!M4</f>
        <v>2025</v>
      </c>
      <c r="N4" s="39">
        <f>+'Water Heater Stock'!N4</f>
        <v>2026</v>
      </c>
      <c r="O4" s="39">
        <f>+'Water Heater Stock'!O4</f>
        <v>2027</v>
      </c>
      <c r="P4" s="39">
        <f>+'Water Heater Stock'!P4</f>
        <v>2028</v>
      </c>
      <c r="Q4" s="39">
        <f>+'Water Heater Stock'!Q4</f>
        <v>2029</v>
      </c>
      <c r="R4" s="39">
        <f>+'Water Heater Stock'!R4</f>
        <v>2030</v>
      </c>
      <c r="S4" s="39">
        <f>+'Water Heater Stock'!S4</f>
        <v>2031</v>
      </c>
      <c r="T4" s="39">
        <f>+'Water Heater Stock'!T4</f>
        <v>2032</v>
      </c>
      <c r="U4" s="39">
        <f>+'Water Heater Stock'!U4</f>
        <v>2033</v>
      </c>
      <c r="V4" s="39">
        <f>+'Water Heater Stock'!V4</f>
        <v>2034</v>
      </c>
      <c r="W4" s="39">
        <f>+'Water Heater Stock'!W4</f>
        <v>2035</v>
      </c>
    </row>
    <row r="5" spans="1:23" s="28" customFormat="1" ht="16.5" thickBot="1">
      <c r="A5" s="48" t="s">
        <v>44</v>
      </c>
      <c r="B5" s="49">
        <f t="shared" ref="B5:W5" si="0">SUM(B6:B10)</f>
        <v>0</v>
      </c>
      <c r="C5" s="49">
        <f t="shared" ref="C5" si="1">SUM(C6:C10)</f>
        <v>1540.6428571428571</v>
      </c>
      <c r="D5" s="49">
        <f t="shared" si="0"/>
        <v>1540.6428571428564</v>
      </c>
      <c r="E5" s="49">
        <f t="shared" si="0"/>
        <v>1540.6428571428573</v>
      </c>
      <c r="F5" s="49">
        <f t="shared" si="0"/>
        <v>1540.6428571428573</v>
      </c>
      <c r="G5" s="49">
        <f t="shared" si="0"/>
        <v>1540.6428571428564</v>
      </c>
      <c r="H5" s="49">
        <f t="shared" si="0"/>
        <v>1540.6428571428569</v>
      </c>
      <c r="I5" s="49">
        <f t="shared" si="0"/>
        <v>1540.6428571428567</v>
      </c>
      <c r="J5" s="49">
        <f t="shared" si="0"/>
        <v>1540.6428571428564</v>
      </c>
      <c r="K5" s="49">
        <f t="shared" si="0"/>
        <v>1540.6428571428569</v>
      </c>
      <c r="L5" s="49">
        <f t="shared" si="0"/>
        <v>1540.6428571428569</v>
      </c>
      <c r="M5" s="49">
        <f t="shared" si="0"/>
        <v>1540.6428571428571</v>
      </c>
      <c r="N5" s="49">
        <f t="shared" si="0"/>
        <v>1540.6428571428569</v>
      </c>
      <c r="O5" s="49">
        <f t="shared" si="0"/>
        <v>1540.6428571428569</v>
      </c>
      <c r="P5" s="49">
        <f t="shared" si="0"/>
        <v>1540.6428571428569</v>
      </c>
      <c r="Q5" s="49">
        <f t="shared" si="0"/>
        <v>1540.6428571428569</v>
      </c>
      <c r="R5" s="49">
        <f t="shared" si="0"/>
        <v>1540.6428571428567</v>
      </c>
      <c r="S5" s="49">
        <f t="shared" si="0"/>
        <v>1540.6428571428571</v>
      </c>
      <c r="T5" s="49">
        <f t="shared" si="0"/>
        <v>1540.6428571428567</v>
      </c>
      <c r="U5" s="49">
        <f t="shared" si="0"/>
        <v>1540.6428571428569</v>
      </c>
      <c r="V5" s="49">
        <f t="shared" si="0"/>
        <v>1540.6428571428569</v>
      </c>
      <c r="W5" s="49">
        <f t="shared" si="0"/>
        <v>1540.6428571428569</v>
      </c>
    </row>
    <row r="6" spans="1:23" ht="16.5" thickTop="1">
      <c r="A6" s="9" t="str">
        <f>+'Water Heater Stock'!A6</f>
        <v>Electric Resistance</v>
      </c>
      <c r="B6" s="33">
        <v>0</v>
      </c>
      <c r="C6" s="33">
        <f>SUM('Water Heaters Retired'!C$6:C$10)*'Marginal Market Share'!C5</f>
        <v>2.6805772335128517E-2</v>
      </c>
      <c r="D6" s="33">
        <f>SUM('Water Heaters Retired'!D$6:D$10)*'Marginal Market Share'!D5</f>
        <v>2.6521979106607883E-2</v>
      </c>
      <c r="E6" s="33">
        <f>SUM('Water Heaters Retired'!E$6:E$10)*'Marginal Market Share'!E5</f>
        <v>2.6242522590526687E-2</v>
      </c>
      <c r="F6" s="33">
        <f>SUM('Water Heaters Retired'!F$6:F$10)*'Marginal Market Share'!F5</f>
        <v>2.5967344903815331E-2</v>
      </c>
      <c r="G6" s="33">
        <f>SUM('Water Heaters Retired'!G$6:G$10)*'Marginal Market Share'!G5</f>
        <v>2.5696388667725074E-2</v>
      </c>
      <c r="H6" s="33">
        <f>SUM('Water Heaters Retired'!H$6:H$10)*'Marginal Market Share'!H5</f>
        <v>2.5429597014293846E-2</v>
      </c>
      <c r="I6" s="33">
        <f>SUM('Water Heaters Retired'!I$6:I$10)*'Marginal Market Share'!I5</f>
        <v>2.5166913592347285E-2</v>
      </c>
      <c r="J6" s="33">
        <f>SUM('Water Heaters Retired'!J$6:J$10)*'Marginal Market Share'!J5</f>
        <v>2.4908282573046E-2</v>
      </c>
      <c r="K6" s="33">
        <f>SUM('Water Heaters Retired'!K$6:K$10)*'Marginal Market Share'!K5</f>
        <v>2.465364865499026E-2</v>
      </c>
      <c r="L6" s="33">
        <f>SUM('Water Heaters Retired'!L$6:L$10)*'Marginal Market Share'!L5</f>
        <v>2.4402957068893113E-2</v>
      </c>
      <c r="M6" s="33">
        <f>SUM('Water Heaters Retired'!M$6:M$10)*'Marginal Market Share'!M5</f>
        <v>2.4156153581833085E-2</v>
      </c>
      <c r="N6" s="33">
        <f>SUM('Water Heaters Retired'!N$6:N$10)*'Marginal Market Share'!N5</f>
        <v>2.3913184501097501E-2</v>
      </c>
      <c r="O6" s="33">
        <f>SUM('Water Heaters Retired'!O$6:O$10)*'Marginal Market Share'!O5</f>
        <v>2.3673996677627401E-2</v>
      </c>
      <c r="P6" s="33">
        <f>SUM('Water Heaters Retired'!P$6:P$10)*'Marginal Market Share'!P5</f>
        <v>2.3438537509075343E-2</v>
      </c>
      <c r="Q6" s="33">
        <f>SUM('Water Heaters Retired'!Q$6:Q$10)*'Marginal Market Share'!Q5</f>
        <v>2.3206754942486463E-2</v>
      </c>
      <c r="R6" s="33">
        <f>SUM('Water Heaters Retired'!R$6:R$10)*'Marginal Market Share'!R5</f>
        <v>2.2978597476614369E-2</v>
      </c>
      <c r="S6" s="33">
        <f>SUM('Water Heaters Retired'!S$6:S$10)*'Marginal Market Share'!S5</f>
        <v>2.2754014163882001E-2</v>
      </c>
      <c r="T6" s="33">
        <f>SUM('Water Heaters Retired'!T$6:T$10)*'Marginal Market Share'!T5</f>
        <v>2.253295461199863E-2</v>
      </c>
      <c r="U6" s="33">
        <f>SUM('Water Heaters Retired'!U$6:U$10)*'Marginal Market Share'!U5</f>
        <v>2.2315368985243434E-2</v>
      </c>
      <c r="V6" s="33">
        <f>SUM('Water Heaters Retired'!V$6:V$10)*'Marginal Market Share'!V5</f>
        <v>2.2101208005426139E-2</v>
      </c>
      <c r="W6" s="33">
        <f>SUM('Water Heaters Retired'!W$6:W$10)*'Marginal Market Share'!W5</f>
        <v>2.1890422952535248E-2</v>
      </c>
    </row>
    <row r="7" spans="1:23">
      <c r="A7" s="9" t="str">
        <f>+'Water Heater Stock'!A7</f>
        <v>HPWH</v>
      </c>
      <c r="B7" s="33">
        <v>0</v>
      </c>
      <c r="C7" s="33">
        <f>SUM('Water Heaters Retired'!C$6:C$10)*'Marginal Market Share'!C6</f>
        <v>785.49489743843185</v>
      </c>
      <c r="D7" s="33">
        <f>SUM('Water Heaters Retired'!D$6:D$10)*'Marginal Market Share'!D6</f>
        <v>784.57874564907956</v>
      </c>
      <c r="E7" s="33">
        <f>SUM('Water Heaters Retired'!E$6:E$10)*'Marginal Market Share'!E6</f>
        <v>783.66929154690047</v>
      </c>
      <c r="F7" s="33">
        <f>SUM('Water Heaters Retired'!F$6:F$10)*'Marginal Market Share'!F6</f>
        <v>782.76668256345397</v>
      </c>
      <c r="G7" s="33">
        <f>SUM('Water Heaters Retired'!G$6:G$10)*'Marginal Market Share'!G6</f>
        <v>781.87106544106723</v>
      </c>
      <c r="H7" s="33">
        <f>SUM('Water Heaters Retired'!H$6:H$10)*'Marginal Market Share'!H6</f>
        <v>780.98258619166074</v>
      </c>
      <c r="I7" s="33">
        <f>SUM('Water Heaters Retired'!I$6:I$10)*'Marginal Market Share'!I6</f>
        <v>780.10139005606436</v>
      </c>
      <c r="J7" s="33">
        <f>SUM('Water Heaters Retired'!J$6:J$10)*'Marginal Market Share'!J6</f>
        <v>779.22762146384957</v>
      </c>
      <c r="K7" s="33">
        <f>SUM('Water Heaters Retired'!K$6:K$10)*'Marginal Market Share'!K6</f>
        <v>778.36142399369555</v>
      </c>
      <c r="L7" s="33">
        <f>SUM('Water Heaters Retired'!L$6:L$10)*'Marginal Market Share'!L6</f>
        <v>777.50294033430112</v>
      </c>
      <c r="M7" s="33">
        <f>SUM('Water Heaters Retired'!M$6:M$10)*'Marginal Market Share'!M6</f>
        <v>776.65231224586728</v>
      </c>
      <c r="N7" s="33">
        <f>SUM('Water Heaters Retired'!N$6:N$10)*'Marginal Market Share'!N6</f>
        <v>775.80968052215871</v>
      </c>
      <c r="O7" s="33">
        <f>SUM('Water Heaters Retired'!O$6:O$10)*'Marginal Market Share'!O6</f>
        <v>774.97518495316672</v>
      </c>
      <c r="P7" s="33">
        <f>SUM('Water Heaters Retired'!P$6:P$10)*'Marginal Market Share'!P6</f>
        <v>774.14896428837847</v>
      </c>
      <c r="Q7" s="33">
        <f>SUM('Water Heaters Retired'!Q$6:Q$10)*'Marginal Market Share'!Q6</f>
        <v>773.33115620067201</v>
      </c>
      <c r="R7" s="33">
        <f>SUM('Water Heaters Retired'!R$6:R$10)*'Marginal Market Share'!R6</f>
        <v>772.52189725084452</v>
      </c>
      <c r="S7" s="33">
        <f>SUM('Water Heaters Retired'!S$6:S$10)*'Marginal Market Share'!S6</f>
        <v>771.72132285278633</v>
      </c>
      <c r="T7" s="33">
        <f>SUM('Water Heaters Retired'!T$6:T$10)*'Marginal Market Share'!T6</f>
        <v>770.92956723930797</v>
      </c>
      <c r="U7" s="33">
        <f>SUM('Water Heaters Retired'!U$6:U$10)*'Marginal Market Share'!U6</f>
        <v>770.14676342863163</v>
      </c>
      <c r="V7" s="33">
        <f>SUM('Water Heaters Retired'!V$6:V$10)*'Marginal Market Share'!V6</f>
        <v>769.3730431915493</v>
      </c>
      <c r="W7" s="33">
        <f>SUM('Water Heaters Retired'!W$6:W$10)*'Marginal Market Share'!W6</f>
        <v>768.60853701925998</v>
      </c>
    </row>
    <row r="8" spans="1:23">
      <c r="A8" s="9" t="str">
        <f>+'Water Heater Stock'!A8</f>
        <v>Gas Tank</v>
      </c>
      <c r="B8" s="33">
        <v>0</v>
      </c>
      <c r="C8" s="33">
        <f>SUM('Water Heaters Retired'!C$6:C$10)*'Marginal Market Share'!C7</f>
        <v>5.9220460881192316E-2</v>
      </c>
      <c r="D8" s="33">
        <f>SUM('Water Heaters Retired'!D$6:D$10)*'Marginal Market Share'!D7</f>
        <v>5.8669658910237794E-2</v>
      </c>
      <c r="E8" s="33">
        <f>SUM('Water Heaters Retired'!E$6:E$10)*'Marginal Market Share'!E7</f>
        <v>5.812362051154301E-2</v>
      </c>
      <c r="F8" s="33">
        <f>SUM('Water Heaters Retired'!F$6:F$10)*'Marginal Market Share'!F7</f>
        <v>5.7582353130753286E-2</v>
      </c>
      <c r="G8" s="33">
        <f>SUM('Water Heaters Retired'!G$6:G$10)*'Marginal Market Share'!G7</f>
        <v>5.7045862718356863E-2</v>
      </c>
      <c r="H8" s="33">
        <f>SUM('Water Heaters Retired'!H$6:H$10)*'Marginal Market Share'!H7</f>
        <v>5.6514153753688977E-2</v>
      </c>
      <c r="I8" s="33">
        <f>SUM('Water Heaters Retired'!I$6:I$10)*'Marginal Market Share'!I7</f>
        <v>5.5987229269548723E-2</v>
      </c>
      <c r="J8" s="33">
        <f>SUM('Water Heaters Retired'!J$6:J$10)*'Marginal Market Share'!J7</f>
        <v>5.5465090877390988E-2</v>
      </c>
      <c r="K8" s="33">
        <f>SUM('Water Heaters Retired'!K$6:K$10)*'Marginal Market Share'!K7</f>
        <v>5.4947738793049927E-2</v>
      </c>
      <c r="L8" s="33">
        <f>SUM('Water Heaters Retired'!L$6:L$10)*'Marginal Market Share'!L7</f>
        <v>5.443517186295569E-2</v>
      </c>
      <c r="M8" s="33">
        <f>SUM('Water Heaters Retired'!M$6:M$10)*'Marginal Market Share'!M7</f>
        <v>5.3927387590804773E-2</v>
      </c>
      <c r="N8" s="33">
        <f>SUM('Water Heaters Retired'!N$6:N$10)*'Marginal Market Share'!N7</f>
        <v>5.3424382164643097E-2</v>
      </c>
      <c r="O8" s="33">
        <f>SUM('Water Heaters Retired'!O$6:O$10)*'Marginal Market Share'!O7</f>
        <v>5.2926150484324537E-2</v>
      </c>
      <c r="P8" s="33">
        <f>SUM('Water Heaters Retired'!P$6:P$10)*'Marginal Market Share'!P7</f>
        <v>5.2432686189306042E-2</v>
      </c>
      <c r="Q8" s="33">
        <f>SUM('Water Heaters Retired'!Q$6:Q$10)*'Marginal Market Share'!Q7</f>
        <v>5.1943981686740887E-2</v>
      </c>
      <c r="R8" s="33">
        <f>SUM('Water Heaters Retired'!R$6:R$10)*'Marginal Market Share'!R7</f>
        <v>5.1460028179834333E-2</v>
      </c>
      <c r="S8" s="33">
        <f>SUM('Water Heaters Retired'!S$6:S$10)*'Marginal Market Share'!S7</f>
        <v>5.0980815696424465E-2</v>
      </c>
      <c r="T8" s="33">
        <f>SUM('Water Heaters Retired'!T$6:T$10)*'Marginal Market Share'!T7</f>
        <v>5.0506333117752322E-2</v>
      </c>
      <c r="U8" s="33">
        <f>SUM('Water Heaters Retired'!U$6:U$10)*'Marginal Market Share'!U7</f>
        <v>5.0036568207387666E-2</v>
      </c>
      <c r="V8" s="33">
        <f>SUM('Water Heaters Retired'!V$6:V$10)*'Marginal Market Share'!V7</f>
        <v>4.9571507640274362E-2</v>
      </c>
      <c r="W8" s="33">
        <f>SUM('Water Heaters Retired'!W$6:W$10)*'Marginal Market Share'!W7</f>
        <v>4.9111137031864704E-2</v>
      </c>
    </row>
    <row r="9" spans="1:23">
      <c r="A9" s="9" t="str">
        <f>+'Water Heater Stock'!A9</f>
        <v>Instant Gas</v>
      </c>
      <c r="B9" s="33">
        <v>0</v>
      </c>
      <c r="C9" s="33">
        <f>SUM('Water Heaters Retired'!C$6:C$10)*'Marginal Market Share'!C8</f>
        <v>229.05152667369811</v>
      </c>
      <c r="D9" s="33">
        <f>SUM('Water Heaters Retired'!D$6:D$10)*'Marginal Market Share'!D8</f>
        <v>230.09411186690016</v>
      </c>
      <c r="E9" s="33">
        <f>SUM('Water Heaters Retired'!E$6:E$10)*'Marginal Market Share'!E8</f>
        <v>231.14128275967192</v>
      </c>
      <c r="F9" s="33">
        <f>SUM('Water Heaters Retired'!F$6:F$10)*'Marginal Market Share'!F8</f>
        <v>232.19294240136222</v>
      </c>
      <c r="G9" s="33">
        <f>SUM('Water Heaters Retired'!G$6:G$10)*'Marginal Market Share'!G8</f>
        <v>233.24899115389761</v>
      </c>
      <c r="H9" s="33">
        <f>SUM('Water Heaters Retired'!H$6:H$10)*'Marginal Market Share'!H8</f>
        <v>234.30932669298454</v>
      </c>
      <c r="I9" s="33">
        <f>SUM('Water Heaters Retired'!I$6:I$10)*'Marginal Market Share'!I8</f>
        <v>235.37384401126792</v>
      </c>
      <c r="J9" s="33">
        <f>SUM('Water Heaters Retired'!J$6:J$10)*'Marginal Market Share'!J8</f>
        <v>236.44243542349227</v>
      </c>
      <c r="K9" s="33">
        <f>SUM('Water Heaters Retired'!K$6:K$10)*'Marginal Market Share'!K8</f>
        <v>237.51499057369685</v>
      </c>
      <c r="L9" s="33">
        <f>SUM('Water Heaters Retired'!L$6:L$10)*'Marginal Market Share'!L8</f>
        <v>238.59139644448391</v>
      </c>
      <c r="M9" s="33">
        <f>SUM('Water Heaters Retired'!M$6:M$10)*'Marginal Market Share'!M8</f>
        <v>239.67153736839276</v>
      </c>
      <c r="N9" s="33">
        <f>SUM('Water Heaters Retired'!N$6:N$10)*'Marginal Market Share'!N8</f>
        <v>240.75529504141102</v>
      </c>
      <c r="O9" s="33">
        <f>SUM('Water Heaters Retired'!O$6:O$10)*'Marginal Market Share'!O8</f>
        <v>241.84254853864965</v>
      </c>
      <c r="P9" s="33">
        <f>SUM('Water Heaters Retired'!P$6:P$10)*'Marginal Market Share'!P8</f>
        <v>242.93317433221299</v>
      </c>
      <c r="Q9" s="33">
        <f>SUM('Water Heaters Retired'!Q$6:Q$10)*'Marginal Market Share'!Q8</f>
        <v>244.02704631128179</v>
      </c>
      <c r="R9" s="33">
        <f>SUM('Water Heaters Retired'!R$6:R$10)*'Marginal Market Share'!R8</f>
        <v>245.1240358044364</v>
      </c>
      <c r="S9" s="33">
        <f>SUM('Water Heaters Retired'!S$6:S$10)*'Marginal Market Share'!S8</f>
        <v>246.22401160423379</v>
      </c>
      <c r="T9" s="33">
        <f>SUM('Water Heaters Retired'!T$6:T$10)*'Marginal Market Share'!T8</f>
        <v>247.32683999405629</v>
      </c>
      <c r="U9" s="33">
        <f>SUM('Water Heaters Retired'!U$6:U$10)*'Marginal Market Share'!U8</f>
        <v>248.43238477724455</v>
      </c>
      <c r="V9" s="33">
        <f>SUM('Water Heaters Retired'!V$6:V$10)*'Marginal Market Share'!V8</f>
        <v>249.54050730852535</v>
      </c>
      <c r="W9" s="33">
        <f>SUM('Water Heaters Retired'!W$6:W$10)*'Marginal Market Share'!W8</f>
        <v>250.6510665277369</v>
      </c>
    </row>
    <row r="10" spans="1:23">
      <c r="A10" s="9" t="str">
        <f>+'Water Heater Stock'!A10</f>
        <v>Condensing Gas</v>
      </c>
      <c r="B10" s="33">
        <v>0</v>
      </c>
      <c r="C10" s="33">
        <f>SUM('Water Heaters Retired'!C$6:C$10)*'Marginal Market Share'!C9</f>
        <v>526.01040679751077</v>
      </c>
      <c r="D10" s="33">
        <f>SUM('Water Heaters Retired'!D$6:D$10)*'Marginal Market Share'!D9</f>
        <v>525.88480798885996</v>
      </c>
      <c r="E10" s="33">
        <f>SUM('Water Heaters Retired'!E$6:E$10)*'Marginal Market Share'!E9</f>
        <v>525.74791669318267</v>
      </c>
      <c r="F10" s="33">
        <f>SUM('Water Heaters Retired'!F$6:F$10)*'Marginal Market Share'!F9</f>
        <v>525.59968248000644</v>
      </c>
      <c r="G10" s="33">
        <f>SUM('Water Heaters Retired'!G$6:G$10)*'Marginal Market Share'!G9</f>
        <v>525.44005829650553</v>
      </c>
      <c r="H10" s="33">
        <f>SUM('Water Heaters Retired'!H$6:H$10)*'Marginal Market Share'!H9</f>
        <v>525.26900050744348</v>
      </c>
      <c r="I10" s="33">
        <f>SUM('Water Heaters Retired'!I$6:I$10)*'Marginal Market Share'!I9</f>
        <v>525.08646893266246</v>
      </c>
      <c r="J10" s="33">
        <f>SUM('Water Heaters Retired'!J$6:J$10)*'Marginal Market Share'!J9</f>
        <v>524.89242688206411</v>
      </c>
      <c r="K10" s="33">
        <f>SUM('Water Heaters Retired'!K$6:K$10)*'Marginal Market Share'!K9</f>
        <v>524.68684118801639</v>
      </c>
      <c r="L10" s="33">
        <f>SUM('Water Heaters Retired'!L$6:L$10)*'Marginal Market Share'!L9</f>
        <v>524.46968223513989</v>
      </c>
      <c r="M10" s="33">
        <f>SUM('Water Heaters Retired'!M$6:M$10)*'Marginal Market Share'!M9</f>
        <v>524.24092398742437</v>
      </c>
      <c r="N10" s="33">
        <f>SUM('Water Heaters Retired'!N$6:N$10)*'Marginal Market Share'!N9</f>
        <v>524.0005440126215</v>
      </c>
      <c r="O10" s="33">
        <f>SUM('Water Heaters Retired'!O$6:O$10)*'Marginal Market Share'!O9</f>
        <v>523.74852350387846</v>
      </c>
      <c r="P10" s="33">
        <f>SUM('Water Heaters Retired'!P$6:P$10)*'Marginal Market Share'!P9</f>
        <v>523.48484729856727</v>
      </c>
      <c r="Q10" s="33">
        <f>SUM('Water Heaters Retired'!Q$6:Q$10)*'Marginal Market Share'!Q9</f>
        <v>523.20950389427378</v>
      </c>
      <c r="R10" s="33">
        <f>SUM('Water Heaters Retired'!R$6:R$10)*'Marginal Market Share'!R9</f>
        <v>522.92248546191934</v>
      </c>
      <c r="S10" s="33">
        <f>SUM('Water Heaters Retired'!S$6:S$10)*'Marginal Market Share'!S9</f>
        <v>522.62378785597662</v>
      </c>
      <c r="T10" s="33">
        <f>SUM('Water Heaters Retired'!T$6:T$10)*'Marginal Market Share'!T9</f>
        <v>522.31341062176273</v>
      </c>
      <c r="U10" s="33">
        <f>SUM('Water Heaters Retired'!U$6:U$10)*'Marginal Market Share'!U9</f>
        <v>521.99135699978797</v>
      </c>
      <c r="V10" s="33">
        <f>SUM('Water Heaters Retired'!V$6:V$10)*'Marginal Market Share'!V9</f>
        <v>521.65763392713643</v>
      </c>
      <c r="W10" s="33">
        <f>SUM('Water Heaters Retired'!W$6:W$10)*'Marginal Market Share'!W9</f>
        <v>521.31225203587553</v>
      </c>
    </row>
    <row r="11" spans="1:23">
      <c r="D11" s="12"/>
    </row>
    <row r="12" spans="1:23">
      <c r="A12" s="12" t="s">
        <v>102</v>
      </c>
    </row>
    <row r="13" spans="1:23">
      <c r="A13" s="38" t="str">
        <f>'Device Energy Use'!A4</f>
        <v>Water Heat Ending</v>
      </c>
      <c r="B13" s="39">
        <f>+'Water Heater Stock'!B13</f>
        <v>2014</v>
      </c>
      <c r="C13" s="39">
        <f>+'Water Heater Stock'!C13</f>
        <v>2015</v>
      </c>
      <c r="D13" s="39">
        <f>+'Water Heater Stock'!D13</f>
        <v>2016</v>
      </c>
      <c r="E13" s="39">
        <f>+'Water Heater Stock'!E13</f>
        <v>2017</v>
      </c>
      <c r="F13" s="39">
        <f>+'Water Heater Stock'!F13</f>
        <v>2018</v>
      </c>
      <c r="G13" s="39">
        <f>+'Water Heater Stock'!G13</f>
        <v>2019</v>
      </c>
      <c r="H13" s="39">
        <f>+'Water Heater Stock'!H13</f>
        <v>2020</v>
      </c>
      <c r="I13" s="39">
        <f>+'Water Heater Stock'!I13</f>
        <v>2021</v>
      </c>
      <c r="J13" s="39">
        <f>+'Water Heater Stock'!J13</f>
        <v>2022</v>
      </c>
      <c r="K13" s="39">
        <f>+'Water Heater Stock'!K13</f>
        <v>2023</v>
      </c>
      <c r="L13" s="39">
        <f>+'Water Heater Stock'!L13</f>
        <v>2024</v>
      </c>
      <c r="M13" s="39">
        <f>+'Water Heater Stock'!M13</f>
        <v>2025</v>
      </c>
      <c r="N13" s="39">
        <f>+'Water Heater Stock'!N13</f>
        <v>2026</v>
      </c>
      <c r="O13" s="39">
        <f>+'Water Heater Stock'!O13</f>
        <v>2027</v>
      </c>
      <c r="P13" s="39">
        <f>+'Water Heater Stock'!P13</f>
        <v>2028</v>
      </c>
      <c r="Q13" s="39">
        <f>+'Water Heater Stock'!Q13</f>
        <v>2029</v>
      </c>
      <c r="R13" s="39">
        <f>+'Water Heater Stock'!R13</f>
        <v>2030</v>
      </c>
      <c r="S13" s="39">
        <f>+'Water Heater Stock'!S13</f>
        <v>2031</v>
      </c>
      <c r="T13" s="39">
        <f>+'Water Heater Stock'!T13</f>
        <v>2032</v>
      </c>
      <c r="U13" s="39">
        <f>+'Water Heater Stock'!U13</f>
        <v>2033</v>
      </c>
      <c r="V13" s="39">
        <f>+'Water Heater Stock'!V13</f>
        <v>2034</v>
      </c>
      <c r="W13" s="39">
        <f>+'Water Heater Stock'!W13</f>
        <v>2035</v>
      </c>
    </row>
    <row r="14" spans="1:23" ht="16.5" thickBot="1">
      <c r="A14" s="48" t="s">
        <v>44</v>
      </c>
      <c r="B14" s="49">
        <f t="shared" ref="B14:W14" si="2">SUM(B15:B19)</f>
        <v>0</v>
      </c>
      <c r="C14" s="49">
        <f t="shared" ref="C14" si="3">SUM(C15:C19)</f>
        <v>1540.6428571428571</v>
      </c>
      <c r="D14" s="49">
        <f t="shared" si="2"/>
        <v>1540.6428571428571</v>
      </c>
      <c r="E14" s="49">
        <f t="shared" si="2"/>
        <v>1540.6428571428571</v>
      </c>
      <c r="F14" s="49">
        <f t="shared" si="2"/>
        <v>1540.6428571428569</v>
      </c>
      <c r="G14" s="49">
        <f t="shared" si="2"/>
        <v>1540.6428571428569</v>
      </c>
      <c r="H14" s="49">
        <f t="shared" si="2"/>
        <v>1540.6428571428569</v>
      </c>
      <c r="I14" s="49">
        <f t="shared" si="2"/>
        <v>1540.6428571428569</v>
      </c>
      <c r="J14" s="49">
        <f t="shared" si="2"/>
        <v>1540.6428571428569</v>
      </c>
      <c r="K14" s="49">
        <f t="shared" si="2"/>
        <v>1540.6428571428569</v>
      </c>
      <c r="L14" s="49">
        <f t="shared" si="2"/>
        <v>1540.6428571428569</v>
      </c>
      <c r="M14" s="49">
        <f t="shared" si="2"/>
        <v>1540.6428571428569</v>
      </c>
      <c r="N14" s="49">
        <f t="shared" si="2"/>
        <v>1540.6428571428569</v>
      </c>
      <c r="O14" s="49">
        <f t="shared" si="2"/>
        <v>1540.6428571428569</v>
      </c>
      <c r="P14" s="49">
        <f t="shared" si="2"/>
        <v>1540.6428571428571</v>
      </c>
      <c r="Q14" s="49">
        <f t="shared" si="2"/>
        <v>1540.6428571428569</v>
      </c>
      <c r="R14" s="49">
        <f t="shared" si="2"/>
        <v>1540.6428571428569</v>
      </c>
      <c r="S14" s="49">
        <f t="shared" si="2"/>
        <v>1540.6428571428569</v>
      </c>
      <c r="T14" s="49">
        <f t="shared" si="2"/>
        <v>1540.6428571428571</v>
      </c>
      <c r="U14" s="49">
        <f t="shared" si="2"/>
        <v>1540.6428571428571</v>
      </c>
      <c r="V14" s="49">
        <f t="shared" si="2"/>
        <v>1540.6428571428573</v>
      </c>
      <c r="W14" s="49">
        <f t="shared" si="2"/>
        <v>1540.6428571428573</v>
      </c>
    </row>
    <row r="15" spans="1:23" ht="16.5" thickTop="1">
      <c r="A15" s="9" t="str">
        <f>+'Water Heater Stock'!A15</f>
        <v>Electric Resistance</v>
      </c>
      <c r="B15" s="33">
        <v>0</v>
      </c>
      <c r="C15" s="33">
        <f>SUM('Water Heaters Retired'!C$15:C$19)*'Marginal Market Share'!C13</f>
        <v>0</v>
      </c>
      <c r="D15" s="33">
        <f>SUM('Water Heaters Retired'!D$15:D$19)*'Marginal Market Share'!D13</f>
        <v>0</v>
      </c>
      <c r="E15" s="33">
        <f>SUM('Water Heaters Retired'!E$15:E$19)*'Marginal Market Share'!E13</f>
        <v>0</v>
      </c>
      <c r="F15" s="33">
        <f>SUM('Water Heaters Retired'!F$15:F$19)*'Marginal Market Share'!F13</f>
        <v>0</v>
      </c>
      <c r="G15" s="33">
        <f>SUM('Water Heaters Retired'!G$15:G$19)*'Marginal Market Share'!G13</f>
        <v>0</v>
      </c>
      <c r="H15" s="33">
        <f>SUM('Water Heaters Retired'!H$15:H$19)*'Marginal Market Share'!H13</f>
        <v>0</v>
      </c>
      <c r="I15" s="33">
        <f>SUM('Water Heaters Retired'!I$15:I$19)*'Marginal Market Share'!I13</f>
        <v>0</v>
      </c>
      <c r="J15" s="33">
        <f>SUM('Water Heaters Retired'!J$15:J$19)*'Marginal Market Share'!J13</f>
        <v>0</v>
      </c>
      <c r="K15" s="33">
        <f>SUM('Water Heaters Retired'!K$15:K$19)*'Marginal Market Share'!K13</f>
        <v>0</v>
      </c>
      <c r="L15" s="33">
        <f>SUM('Water Heaters Retired'!L$15:L$19)*'Marginal Market Share'!L13</f>
        <v>0</v>
      </c>
      <c r="M15" s="33">
        <f>SUM('Water Heaters Retired'!M$15:M$19)*'Marginal Market Share'!M13</f>
        <v>0</v>
      </c>
      <c r="N15" s="33">
        <f>SUM('Water Heaters Retired'!N$15:N$19)*'Marginal Market Share'!N13</f>
        <v>0</v>
      </c>
      <c r="O15" s="33">
        <f>SUM('Water Heaters Retired'!O$15:O$19)*'Marginal Market Share'!O13</f>
        <v>0</v>
      </c>
      <c r="P15" s="33">
        <f>SUM('Water Heaters Retired'!P$15:P$19)*'Marginal Market Share'!P13</f>
        <v>0</v>
      </c>
      <c r="Q15" s="33">
        <f>SUM('Water Heaters Retired'!Q$15:Q$19)*'Marginal Market Share'!Q13</f>
        <v>0</v>
      </c>
      <c r="R15" s="33">
        <f>SUM('Water Heaters Retired'!R$15:R$19)*'Marginal Market Share'!R13</f>
        <v>0</v>
      </c>
      <c r="S15" s="33">
        <f>SUM('Water Heaters Retired'!S$15:S$19)*'Marginal Market Share'!S13</f>
        <v>0</v>
      </c>
      <c r="T15" s="33">
        <f>SUM('Water Heaters Retired'!T$15:T$19)*'Marginal Market Share'!T13</f>
        <v>0</v>
      </c>
      <c r="U15" s="33">
        <f>SUM('Water Heaters Retired'!U$15:U$19)*'Marginal Market Share'!U13</f>
        <v>0</v>
      </c>
      <c r="V15" s="33">
        <f>SUM('Water Heaters Retired'!V$15:V$19)*'Marginal Market Share'!V13</f>
        <v>0</v>
      </c>
      <c r="W15" s="33">
        <f>SUM('Water Heaters Retired'!W$15:W$19)*'Marginal Market Share'!W13</f>
        <v>0</v>
      </c>
    </row>
    <row r="16" spans="1:23">
      <c r="A16" s="9" t="str">
        <f>+'Water Heater Stock'!A16</f>
        <v>HPWH</v>
      </c>
      <c r="B16" s="33">
        <v>0</v>
      </c>
      <c r="C16" s="33">
        <f>SUM('Water Heaters Retired'!C$15:C$19)*'Marginal Market Share'!C14</f>
        <v>1540.6428571428571</v>
      </c>
      <c r="D16" s="33">
        <f>SUM('Water Heaters Retired'!D$15:D$19)*'Marginal Market Share'!D14</f>
        <v>1540.6428571428571</v>
      </c>
      <c r="E16" s="33">
        <f>SUM('Water Heaters Retired'!E$15:E$19)*'Marginal Market Share'!E14</f>
        <v>1540.6428571428571</v>
      </c>
      <c r="F16" s="33">
        <f>SUM('Water Heaters Retired'!F$15:F$19)*'Marginal Market Share'!F14</f>
        <v>1540.6428571428569</v>
      </c>
      <c r="G16" s="33">
        <f>SUM('Water Heaters Retired'!G$15:G$19)*'Marginal Market Share'!G14</f>
        <v>1540.6428571428569</v>
      </c>
      <c r="H16" s="33">
        <f>SUM('Water Heaters Retired'!H$15:H$19)*'Marginal Market Share'!H14</f>
        <v>1540.6428571428569</v>
      </c>
      <c r="I16" s="33">
        <f>SUM('Water Heaters Retired'!I$15:I$19)*'Marginal Market Share'!I14</f>
        <v>1540.6428571428569</v>
      </c>
      <c r="J16" s="33">
        <f>SUM('Water Heaters Retired'!J$15:J$19)*'Marginal Market Share'!J14</f>
        <v>1540.6428571428569</v>
      </c>
      <c r="K16" s="33">
        <f>SUM('Water Heaters Retired'!K$15:K$19)*'Marginal Market Share'!K14</f>
        <v>1540.6428571428569</v>
      </c>
      <c r="L16" s="33">
        <f>SUM('Water Heaters Retired'!L$15:L$19)*'Marginal Market Share'!L14</f>
        <v>1540.6428571428569</v>
      </c>
      <c r="M16" s="33">
        <f>SUM('Water Heaters Retired'!M$15:M$19)*'Marginal Market Share'!M14</f>
        <v>1540.6428571428569</v>
      </c>
      <c r="N16" s="33">
        <f>SUM('Water Heaters Retired'!N$15:N$19)*'Marginal Market Share'!N14</f>
        <v>1540.6428571428569</v>
      </c>
      <c r="O16" s="33">
        <f>SUM('Water Heaters Retired'!O$15:O$19)*'Marginal Market Share'!O14</f>
        <v>1540.6428571428569</v>
      </c>
      <c r="P16" s="33">
        <f>SUM('Water Heaters Retired'!P$15:P$19)*'Marginal Market Share'!P14</f>
        <v>1540.6428571428571</v>
      </c>
      <c r="Q16" s="33">
        <f>SUM('Water Heaters Retired'!Q$15:Q$19)*'Marginal Market Share'!Q14</f>
        <v>1540.6428571428569</v>
      </c>
      <c r="R16" s="33">
        <f>SUM('Water Heaters Retired'!R$15:R$19)*'Marginal Market Share'!R14</f>
        <v>1540.6428571428569</v>
      </c>
      <c r="S16" s="33">
        <f>SUM('Water Heaters Retired'!S$15:S$19)*'Marginal Market Share'!S14</f>
        <v>1540.6428571428569</v>
      </c>
      <c r="T16" s="33">
        <f>SUM('Water Heaters Retired'!T$15:T$19)*'Marginal Market Share'!T14</f>
        <v>1540.6428571428571</v>
      </c>
      <c r="U16" s="33">
        <f>SUM('Water Heaters Retired'!U$15:U$19)*'Marginal Market Share'!U14</f>
        <v>1540.6428571428571</v>
      </c>
      <c r="V16" s="33">
        <f>SUM('Water Heaters Retired'!V$15:V$19)*'Marginal Market Share'!V14</f>
        <v>1540.6428571428573</v>
      </c>
      <c r="W16" s="33">
        <f>SUM('Water Heaters Retired'!W$15:W$19)*'Marginal Market Share'!W14</f>
        <v>1540.6428571428573</v>
      </c>
    </row>
    <row r="17" spans="1:23">
      <c r="A17" s="9" t="str">
        <f>+'Water Heater Stock'!A17</f>
        <v>Gas Tank</v>
      </c>
      <c r="B17" s="33">
        <v>0</v>
      </c>
      <c r="C17" s="33">
        <f>SUM('Water Heaters Retired'!C$15:C$19)*'Marginal Market Share'!C15</f>
        <v>0</v>
      </c>
      <c r="D17" s="33">
        <f>SUM('Water Heaters Retired'!D$15:D$19)*'Marginal Market Share'!D15</f>
        <v>0</v>
      </c>
      <c r="E17" s="33">
        <f>SUM('Water Heaters Retired'!E$15:E$19)*'Marginal Market Share'!E15</f>
        <v>0</v>
      </c>
      <c r="F17" s="33">
        <f>SUM('Water Heaters Retired'!F$15:F$19)*'Marginal Market Share'!F15</f>
        <v>0</v>
      </c>
      <c r="G17" s="33">
        <f>SUM('Water Heaters Retired'!G$15:G$19)*'Marginal Market Share'!G15</f>
        <v>0</v>
      </c>
      <c r="H17" s="33">
        <f>SUM('Water Heaters Retired'!H$15:H$19)*'Marginal Market Share'!H15</f>
        <v>0</v>
      </c>
      <c r="I17" s="33">
        <f>SUM('Water Heaters Retired'!I$15:I$19)*'Marginal Market Share'!I15</f>
        <v>0</v>
      </c>
      <c r="J17" s="33">
        <f>SUM('Water Heaters Retired'!J$15:J$19)*'Marginal Market Share'!J15</f>
        <v>0</v>
      </c>
      <c r="K17" s="33">
        <f>SUM('Water Heaters Retired'!K$15:K$19)*'Marginal Market Share'!K15</f>
        <v>0</v>
      </c>
      <c r="L17" s="33">
        <f>SUM('Water Heaters Retired'!L$15:L$19)*'Marginal Market Share'!L15</f>
        <v>0</v>
      </c>
      <c r="M17" s="33">
        <f>SUM('Water Heaters Retired'!M$15:M$19)*'Marginal Market Share'!M15</f>
        <v>0</v>
      </c>
      <c r="N17" s="33">
        <f>SUM('Water Heaters Retired'!N$15:N$19)*'Marginal Market Share'!N15</f>
        <v>0</v>
      </c>
      <c r="O17" s="33">
        <f>SUM('Water Heaters Retired'!O$15:O$19)*'Marginal Market Share'!O15</f>
        <v>0</v>
      </c>
      <c r="P17" s="33">
        <f>SUM('Water Heaters Retired'!P$15:P$19)*'Marginal Market Share'!P15</f>
        <v>0</v>
      </c>
      <c r="Q17" s="33">
        <f>SUM('Water Heaters Retired'!Q$15:Q$19)*'Marginal Market Share'!Q15</f>
        <v>0</v>
      </c>
      <c r="R17" s="33">
        <f>SUM('Water Heaters Retired'!R$15:R$19)*'Marginal Market Share'!R15</f>
        <v>0</v>
      </c>
      <c r="S17" s="33">
        <f>SUM('Water Heaters Retired'!S$15:S$19)*'Marginal Market Share'!S15</f>
        <v>0</v>
      </c>
      <c r="T17" s="33">
        <f>SUM('Water Heaters Retired'!T$15:T$19)*'Marginal Market Share'!T15</f>
        <v>0</v>
      </c>
      <c r="U17" s="33">
        <f>SUM('Water Heaters Retired'!U$15:U$19)*'Marginal Market Share'!U15</f>
        <v>0</v>
      </c>
      <c r="V17" s="33">
        <f>SUM('Water Heaters Retired'!V$15:V$19)*'Marginal Market Share'!V15</f>
        <v>0</v>
      </c>
      <c r="W17" s="33">
        <f>SUM('Water Heaters Retired'!W$15:W$19)*'Marginal Market Share'!W15</f>
        <v>0</v>
      </c>
    </row>
    <row r="18" spans="1:23">
      <c r="A18" s="9" t="str">
        <f>+'Water Heater Stock'!A18</f>
        <v>Instant Gas</v>
      </c>
      <c r="B18" s="33">
        <v>0</v>
      </c>
      <c r="C18" s="33">
        <f>SUM('Water Heaters Retired'!C$15:C$19)*'Marginal Market Share'!C16</f>
        <v>0</v>
      </c>
      <c r="D18" s="33">
        <f>SUM('Water Heaters Retired'!D$15:D$19)*'Marginal Market Share'!D16</f>
        <v>0</v>
      </c>
      <c r="E18" s="33">
        <f>SUM('Water Heaters Retired'!E$15:E$19)*'Marginal Market Share'!E16</f>
        <v>0</v>
      </c>
      <c r="F18" s="33">
        <f>SUM('Water Heaters Retired'!F$15:F$19)*'Marginal Market Share'!F16</f>
        <v>0</v>
      </c>
      <c r="G18" s="33">
        <f>SUM('Water Heaters Retired'!G$15:G$19)*'Marginal Market Share'!G16</f>
        <v>0</v>
      </c>
      <c r="H18" s="33">
        <f>SUM('Water Heaters Retired'!H$15:H$19)*'Marginal Market Share'!H16</f>
        <v>0</v>
      </c>
      <c r="I18" s="33">
        <f>SUM('Water Heaters Retired'!I$15:I$19)*'Marginal Market Share'!I16</f>
        <v>0</v>
      </c>
      <c r="J18" s="33">
        <f>SUM('Water Heaters Retired'!J$15:J$19)*'Marginal Market Share'!J16</f>
        <v>0</v>
      </c>
      <c r="K18" s="33">
        <f>SUM('Water Heaters Retired'!K$15:K$19)*'Marginal Market Share'!K16</f>
        <v>0</v>
      </c>
      <c r="L18" s="33">
        <f>SUM('Water Heaters Retired'!L$15:L$19)*'Marginal Market Share'!L16</f>
        <v>0</v>
      </c>
      <c r="M18" s="33">
        <f>SUM('Water Heaters Retired'!M$15:M$19)*'Marginal Market Share'!M16</f>
        <v>0</v>
      </c>
      <c r="N18" s="33">
        <f>SUM('Water Heaters Retired'!N$15:N$19)*'Marginal Market Share'!N16</f>
        <v>0</v>
      </c>
      <c r="O18" s="33">
        <f>SUM('Water Heaters Retired'!O$15:O$19)*'Marginal Market Share'!O16</f>
        <v>0</v>
      </c>
      <c r="P18" s="33">
        <f>SUM('Water Heaters Retired'!P$15:P$19)*'Marginal Market Share'!P16</f>
        <v>0</v>
      </c>
      <c r="Q18" s="33">
        <f>SUM('Water Heaters Retired'!Q$15:Q$19)*'Marginal Market Share'!Q16</f>
        <v>0</v>
      </c>
      <c r="R18" s="33">
        <f>SUM('Water Heaters Retired'!R$15:R$19)*'Marginal Market Share'!R16</f>
        <v>0</v>
      </c>
      <c r="S18" s="33">
        <f>SUM('Water Heaters Retired'!S$15:S$19)*'Marginal Market Share'!S16</f>
        <v>0</v>
      </c>
      <c r="T18" s="33">
        <f>SUM('Water Heaters Retired'!T$15:T$19)*'Marginal Market Share'!T16</f>
        <v>0</v>
      </c>
      <c r="U18" s="33">
        <f>SUM('Water Heaters Retired'!U$15:U$19)*'Marginal Market Share'!U16</f>
        <v>0</v>
      </c>
      <c r="V18" s="33">
        <f>SUM('Water Heaters Retired'!V$15:V$19)*'Marginal Market Share'!V16</f>
        <v>0</v>
      </c>
      <c r="W18" s="33">
        <f>SUM('Water Heaters Retired'!W$15:W$19)*'Marginal Market Share'!W16</f>
        <v>0</v>
      </c>
    </row>
    <row r="19" spans="1:23">
      <c r="A19" s="9" t="str">
        <f>+'Water Heater Stock'!A19</f>
        <v>Condensing Gas</v>
      </c>
      <c r="B19" s="33">
        <v>0</v>
      </c>
      <c r="C19" s="33">
        <f>SUM('Water Heaters Retired'!C$15:C$19)*'Marginal Market Share'!C17</f>
        <v>0</v>
      </c>
      <c r="D19" s="33">
        <f>SUM('Water Heaters Retired'!D$15:D$19)*'Marginal Market Share'!D17</f>
        <v>0</v>
      </c>
      <c r="E19" s="33">
        <f>SUM('Water Heaters Retired'!E$15:E$19)*'Marginal Market Share'!E17</f>
        <v>0</v>
      </c>
      <c r="F19" s="33">
        <f>SUM('Water Heaters Retired'!F$15:F$19)*'Marginal Market Share'!F17</f>
        <v>0</v>
      </c>
      <c r="G19" s="33">
        <f>SUM('Water Heaters Retired'!G$15:G$19)*'Marginal Market Share'!G17</f>
        <v>0</v>
      </c>
      <c r="H19" s="33">
        <f>SUM('Water Heaters Retired'!H$15:H$19)*'Marginal Market Share'!H17</f>
        <v>0</v>
      </c>
      <c r="I19" s="33">
        <f>SUM('Water Heaters Retired'!I$15:I$19)*'Marginal Market Share'!I17</f>
        <v>0</v>
      </c>
      <c r="J19" s="33">
        <f>SUM('Water Heaters Retired'!J$15:J$19)*'Marginal Market Share'!J17</f>
        <v>0</v>
      </c>
      <c r="K19" s="33">
        <f>SUM('Water Heaters Retired'!K$15:K$19)*'Marginal Market Share'!K17</f>
        <v>0</v>
      </c>
      <c r="L19" s="33">
        <f>SUM('Water Heaters Retired'!L$15:L$19)*'Marginal Market Share'!L17</f>
        <v>0</v>
      </c>
      <c r="M19" s="33">
        <f>SUM('Water Heaters Retired'!M$15:M$19)*'Marginal Market Share'!M17</f>
        <v>0</v>
      </c>
      <c r="N19" s="33">
        <f>SUM('Water Heaters Retired'!N$15:N$19)*'Marginal Market Share'!N17</f>
        <v>0</v>
      </c>
      <c r="O19" s="33">
        <f>SUM('Water Heaters Retired'!O$15:O$19)*'Marginal Market Share'!O17</f>
        <v>0</v>
      </c>
      <c r="P19" s="33">
        <f>SUM('Water Heaters Retired'!P$15:P$19)*'Marginal Market Share'!P17</f>
        <v>0</v>
      </c>
      <c r="Q19" s="33">
        <f>SUM('Water Heaters Retired'!Q$15:Q$19)*'Marginal Market Share'!Q17</f>
        <v>0</v>
      </c>
      <c r="R19" s="33">
        <f>SUM('Water Heaters Retired'!R$15:R$19)*'Marginal Market Share'!R17</f>
        <v>0</v>
      </c>
      <c r="S19" s="33">
        <f>SUM('Water Heaters Retired'!S$15:S$19)*'Marginal Market Share'!S17</f>
        <v>0</v>
      </c>
      <c r="T19" s="33">
        <f>SUM('Water Heaters Retired'!T$15:T$19)*'Marginal Market Share'!T17</f>
        <v>0</v>
      </c>
      <c r="U19" s="33">
        <f>SUM('Water Heaters Retired'!U$15:U$19)*'Marginal Market Share'!U17</f>
        <v>0</v>
      </c>
      <c r="V19" s="33">
        <f>SUM('Water Heaters Retired'!V$15:V$19)*'Marginal Market Share'!V17</f>
        <v>0</v>
      </c>
      <c r="W19" s="33">
        <f>SUM('Water Heaters Retired'!W$15:W$19)*'Marginal Market Share'!W17</f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6"/>
  <dimension ref="A1:W17"/>
  <sheetViews>
    <sheetView workbookViewId="0"/>
  </sheetViews>
  <sheetFormatPr defaultColWidth="9.140625" defaultRowHeight="15.75"/>
  <cols>
    <col min="1" max="1" width="20.7109375" style="9" customWidth="1"/>
    <col min="2" max="9" width="9.7109375" style="9" customWidth="1"/>
    <col min="10" max="29" width="8.42578125" style="9" customWidth="1"/>
    <col min="30" max="16384" width="9.140625" style="9"/>
  </cols>
  <sheetData>
    <row r="1" spans="1:23">
      <c r="A1" s="147" t="str">
        <f>CONCATENATE("Segment:  ",State,", Single Family, ", SpaceHeat, ", ", TankSize,", ", StartWH, " is starting water heater")</f>
        <v>Segment:  Oregon, Single Family, Gas FAF, &gt;55 Gallons, Electric Resistance is starting water heater</v>
      </c>
    </row>
    <row r="3" spans="1:23" ht="18" customHeight="1">
      <c r="A3" s="42" t="s">
        <v>107</v>
      </c>
    </row>
    <row r="4" spans="1:23" s="23" customFormat="1">
      <c r="A4" s="40" t="str">
        <f>+'Device Energy Use'!A4</f>
        <v>Water Heat Ending</v>
      </c>
      <c r="B4" s="39">
        <f>'Marginal Allocation Weight'!B4</f>
        <v>2014</v>
      </c>
      <c r="C4" s="39">
        <f>'Marginal Allocation Weight'!C4</f>
        <v>2015</v>
      </c>
      <c r="D4" s="39">
        <f>'Marginal Allocation Weight'!D4</f>
        <v>2016</v>
      </c>
      <c r="E4" s="39">
        <f>'Marginal Allocation Weight'!E4</f>
        <v>2017</v>
      </c>
      <c r="F4" s="39">
        <f>'Marginal Allocation Weight'!F4</f>
        <v>2018</v>
      </c>
      <c r="G4" s="39">
        <f>'Marginal Allocation Weight'!G4</f>
        <v>2019</v>
      </c>
      <c r="H4" s="39">
        <f>'Marginal Allocation Weight'!H4</f>
        <v>2020</v>
      </c>
      <c r="I4" s="39">
        <f>'Marginal Allocation Weight'!I4</f>
        <v>2021</v>
      </c>
      <c r="J4" s="39">
        <f>'Marginal Allocation Weight'!J4</f>
        <v>2022</v>
      </c>
      <c r="K4" s="39">
        <f>'Marginal Allocation Weight'!K4</f>
        <v>2023</v>
      </c>
      <c r="L4" s="39">
        <f>'Marginal Allocation Weight'!L4</f>
        <v>2024</v>
      </c>
      <c r="M4" s="39">
        <f>'Marginal Allocation Weight'!M4</f>
        <v>2025</v>
      </c>
      <c r="N4" s="39">
        <f>'Marginal Allocation Weight'!N4</f>
        <v>2026</v>
      </c>
      <c r="O4" s="39">
        <f>'Marginal Allocation Weight'!O4</f>
        <v>2027</v>
      </c>
      <c r="P4" s="39">
        <f>'Marginal Allocation Weight'!P4</f>
        <v>2028</v>
      </c>
      <c r="Q4" s="39">
        <f>'Marginal Allocation Weight'!Q4</f>
        <v>2029</v>
      </c>
      <c r="R4" s="39">
        <f>'Marginal Allocation Weight'!R4</f>
        <v>2030</v>
      </c>
      <c r="S4" s="39">
        <f>'Marginal Allocation Weight'!S4</f>
        <v>2031</v>
      </c>
      <c r="T4" s="39">
        <f>'Marginal Allocation Weight'!T4</f>
        <v>2032</v>
      </c>
      <c r="U4" s="39">
        <f>'Marginal Allocation Weight'!U4</f>
        <v>2033</v>
      </c>
      <c r="V4" s="39">
        <f>'Marginal Allocation Weight'!V4</f>
        <v>2034</v>
      </c>
      <c r="W4" s="39">
        <f>'Marginal Allocation Weight'!W4</f>
        <v>2035</v>
      </c>
    </row>
    <row r="5" spans="1:23">
      <c r="A5" s="9" t="str">
        <f>+'Device Energy Use'!A5</f>
        <v>Electric Resistance</v>
      </c>
      <c r="B5" s="32">
        <f>'Water Heater Stock'!B6/'Water Heater Stock'!B$5</f>
        <v>1</v>
      </c>
      <c r="C5" s="32">
        <f>'Water Heater Stock'!C6/'Water Heater Stock'!C$5</f>
        <v>0.92857267136304311</v>
      </c>
      <c r="D5" s="32">
        <f>'Water Heater Stock'!D6/'Water Heater Stock'!D$5</f>
        <v>0.86224728161412456</v>
      </c>
      <c r="E5" s="32">
        <f>'Water Heater Stock'!E6/'Water Heater Stock'!E$5</f>
        <v>0.80065940674801772</v>
      </c>
      <c r="F5" s="32">
        <f>'Water Heater Stock'!F6/'Water Heater Stock'!F$5</f>
        <v>0.74347065304290094</v>
      </c>
      <c r="G5" s="32">
        <f>'Water Heater Stock'!G6/'Water Heater Stock'!G$5</f>
        <v>0.69036679775442122</v>
      </c>
      <c r="H5" s="32">
        <f>'Water Heater Stock'!H6/'Water Heater Stock'!H$5</f>
        <v>0.64105606261733017</v>
      </c>
      <c r="I5" s="32">
        <f>'Water Heater Stock'!I6/'Water Heater Stock'!I$5</f>
        <v>0.59526751066842554</v>
      </c>
      <c r="J5" s="32">
        <f>'Water Heater Stock'!J6/'Water Heater Stock'!J$5</f>
        <v>0.55274955758214672</v>
      </c>
      <c r="K5" s="32">
        <f>'Water Heater Stock'!K6/'Water Heater Stock'!K$5</f>
        <v>0.5132685893393375</v>
      </c>
      <c r="L5" s="32">
        <f>'Water Heater Stock'!L6/'Water Heater Stock'!L$5</f>
        <v>0.47660767863395609</v>
      </c>
      <c r="M5" s="32">
        <f>'Water Heater Stock'!M6/'Water Heater Stock'!M$5</f>
        <v>0.44256539296502101</v>
      </c>
      <c r="N5" s="32">
        <f>'Water Heater Stock'!N6/'Water Heater Stock'!N$5</f>
        <v>0.41095468786484574</v>
      </c>
      <c r="O5" s="32">
        <f>'Water Heater Stock'!O6/'Water Heater Stock'!O$5</f>
        <v>0.38160187918240013</v>
      </c>
      <c r="P5" s="32">
        <f>'Water Heater Stock'!P6/'Water Heater Stock'!P$5</f>
        <v>0.35434568877500316</v>
      </c>
      <c r="Q5" s="32">
        <f>'Water Heater Stock'!Q6/'Water Heater Stock'!Q$5</f>
        <v>0.32903635836489453</v>
      </c>
      <c r="R5" s="32">
        <f>'Water Heater Stock'!R6/'Water Heater Stock'!R$5</f>
        <v>0.30553482669176663</v>
      </c>
      <c r="S5" s="32">
        <f>'Water Heater Stock'!S6/'Water Heater Stock'!S$5</f>
        <v>0.2837119654401144</v>
      </c>
      <c r="T5" s="32">
        <f>'Water Heater Stock'!T6/'Water Heater Stock'!T$5</f>
        <v>0.26344786974320394</v>
      </c>
      <c r="U5" s="32">
        <f>'Water Heater Stock'!U6/'Water Heater Stock'!U$5</f>
        <v>0.24463119936532907</v>
      </c>
      <c r="V5" s="32">
        <f>'Water Heater Stock'!V6/'Water Heater Stock'!V$5</f>
        <v>0.22715856694247782</v>
      </c>
      <c r="W5" s="32">
        <f>'Water Heater Stock'!W6/'Water Heater Stock'!W$5</f>
        <v>0.21093396992009458</v>
      </c>
    </row>
    <row r="6" spans="1:23">
      <c r="A6" s="9" t="str">
        <f>+'Device Energy Use'!A6</f>
        <v>HPWH</v>
      </c>
      <c r="B6" s="32">
        <f>'Water Heater Stock'!B7/'Water Heater Stock'!B$5</f>
        <v>0</v>
      </c>
      <c r="C6" s="32">
        <f>'Water Heater Stock'!C7/'Water Heater Stock'!C$5</f>
        <v>3.6417770756105153E-2</v>
      </c>
      <c r="D6" s="32">
        <f>'Water Heater Stock'!D7/'Water Heater Stock'!D$5</f>
        <v>7.0191796777738985E-2</v>
      </c>
      <c r="E6" s="32">
        <f>'Water Heater Stock'!E7/'Water Heater Stock'!E$5</f>
        <v>0.1015112274982756</v>
      </c>
      <c r="F6" s="32">
        <f>'Water Heater Stock'!F7/'Water Heater Stock'!F$5</f>
        <v>0.13055170851262177</v>
      </c>
      <c r="G6" s="32">
        <f>'Water Heater Stock'!G7/'Water Heater Stock'!G$5</f>
        <v>0.15747634610515271</v>
      </c>
      <c r="H6" s="32">
        <f>'Water Heater Stock'!H7/'Water Heater Stock'!H$5</f>
        <v>0.18243660288088648</v>
      </c>
      <c r="I6" s="32">
        <f>'Water Heater Stock'!I7/'Water Heater Stock'!I$5</f>
        <v>0.20557312942111641</v>
      </c>
      <c r="J6" s="32">
        <f>'Water Heater Stock'!J7/'Water Heater Stock'!J$5</f>
        <v>0.22701653653320791</v>
      </c>
      <c r="K6" s="32">
        <f>'Water Heater Stock'!K7/'Water Heater Stock'!K$5</f>
        <v>0.24688811233785804</v>
      </c>
      <c r="L6" s="32">
        <f>'Water Heater Stock'!L7/'Water Heater Stock'!L$5</f>
        <v>0.26530048813402374</v>
      </c>
      <c r="M6" s="32">
        <f>'Water Heater Stock'!M7/'Water Heater Stock'!M$5</f>
        <v>0.28235825670028408</v>
      </c>
      <c r="N6" s="32">
        <f>'Water Heater Stock'!N7/'Water Heater Stock'!N$5</f>
        <v>0.2981585464300609</v>
      </c>
      <c r="O6" s="32">
        <f>'Water Heater Stock'!O7/'Water Heater Stock'!O$5</f>
        <v>0.31279155445544904</v>
      </c>
      <c r="P6" s="32">
        <f>'Water Heater Stock'!P7/'Water Heater Stock'!P$5</f>
        <v>0.32634104168907052</v>
      </c>
      <c r="Q6" s="32">
        <f>'Water Heater Stock'!Q7/'Water Heater Stock'!Q$5</f>
        <v>0.33888479250412196</v>
      </c>
      <c r="R6" s="32">
        <f>'Water Heater Stock'!R7/'Water Heater Stock'!R$5</f>
        <v>0.35049504157848926</v>
      </c>
      <c r="S6" s="32">
        <f>'Water Heater Stock'!S7/'Water Heater Stock'!S$5</f>
        <v>0.36123887024838114</v>
      </c>
      <c r="T6" s="32">
        <f>'Water Heater Stock'!T7/'Water Heater Stock'!T$5</f>
        <v>0.37117857454940506</v>
      </c>
      <c r="U6" s="32">
        <f>'Water Heater Stock'!U7/'Water Heater Stock'!U$5</f>
        <v>0.38037200696744128</v>
      </c>
      <c r="V6" s="32">
        <f>'Water Heater Stock'!V7/'Water Heater Stock'!V$5</f>
        <v>0.38887289377721779</v>
      </c>
      <c r="W6" s="32">
        <f>'Water Heater Stock'!W7/'Water Heater Stock'!W$5</f>
        <v>0.39673112971235236</v>
      </c>
    </row>
    <row r="7" spans="1:23">
      <c r="A7" s="9" t="str">
        <f>+'Device Energy Use'!A7</f>
        <v>Gas Tank</v>
      </c>
      <c r="B7" s="32">
        <f>'Water Heater Stock'!B8/'Water Heater Stock'!B$5</f>
        <v>0</v>
      </c>
      <c r="C7" s="32">
        <f>'Water Heater Stock'!C8/'Water Heater Stock'!C$5</f>
        <v>2.745628489090469E-6</v>
      </c>
      <c r="D7" s="32">
        <f>'Water Heater Stock'!D8/'Water Heater Stock'!D$5</f>
        <v>5.2696039163310753E-6</v>
      </c>
      <c r="E7" s="32">
        <f>'Water Heater Stock'!E8/'Water Heater Stock'!E$5</f>
        <v>7.5879794959998367E-6</v>
      </c>
      <c r="F7" s="32">
        <f>'Water Heater Stock'!F8/'Water Heater Stock'!F$5</f>
        <v>9.715662129413287E-6</v>
      </c>
      <c r="G7" s="32">
        <f>'Water Heater Stock'!G8/'Water Heater Stock'!G$5</f>
        <v>1.1666494215103994E-5</v>
      </c>
      <c r="H7" s="32">
        <f>'Water Heater Stock'!H8/'Water Heater Stock'!H$5</f>
        <v>1.34533296165269E-5</v>
      </c>
      <c r="I7" s="32">
        <f>'Water Heater Stock'!I8/'Water Heater Stock'!I$5</f>
        <v>1.5088104204642164E-5</v>
      </c>
      <c r="J7" s="32">
        <f>'Water Heater Stock'!J8/'Water Heater Stock'!J$5</f>
        <v>1.6581901362910135E-5</v>
      </c>
      <c r="K7" s="32">
        <f>'Water Heater Stock'!K8/'Water Heater Stock'!K$5</f>
        <v>1.7945012814550689E-5</v>
      </c>
      <c r="L7" s="32">
        <f>'Water Heater Stock'!L8/'Water Heater Stock'!L$5</f>
        <v>1.9186995106213775E-5</v>
      </c>
      <c r="M7" s="32">
        <f>'Water Heater Stock'!M8/'Water Heater Stock'!M$5</f>
        <v>2.0316722058338654E-5</v>
      </c>
      <c r="N7" s="32">
        <f>'Water Heater Stock'!N8/'Water Heater Stock'!N$5</f>
        <v>2.1342433470314496E-5</v>
      </c>
      <c r="O7" s="32">
        <f>'Water Heater Stock'!O8/'Water Heater Stock'!O$5</f>
        <v>2.2271780347974001E-5</v>
      </c>
      <c r="P7" s="32">
        <f>'Water Heater Stock'!P8/'Water Heater Stock'!P$5</f>
        <v>2.3111866901840446E-5</v>
      </c>
      <c r="Q7" s="32">
        <f>'Water Heater Stock'!Q8/'Water Heater Stock'!Q$5</f>
        <v>2.3869289546802382E-5</v>
      </c>
      <c r="R7" s="32">
        <f>'Water Heater Stock'!R8/'Water Heater Stock'!R$5</f>
        <v>2.4550173117411981E-5</v>
      </c>
      <c r="S7" s="32">
        <f>'Water Heater Stock'!S8/'Water Heater Stock'!S$5</f>
        <v>2.5160204497701426E-5</v>
      </c>
      <c r="T7" s="32">
        <f>'Water Heater Stock'!T8/'Water Heater Stock'!T$5</f>
        <v>2.5704663850203402E-5</v>
      </c>
      <c r="U7" s="32">
        <f>'Water Heater Stock'!U8/'Water Heater Stock'!U$5</f>
        <v>2.6188453615668357E-5</v>
      </c>
      <c r="V7" s="32">
        <f>'Water Heater Stock'!V8/'Water Heater Stock'!V$5</f>
        <v>2.6616125442720048E-5</v>
      </c>
      <c r="W7" s="32">
        <f>'Water Heater Stock'!W8/'Water Heater Stock'!W$5</f>
        <v>2.6991905195314968E-5</v>
      </c>
    </row>
    <row r="8" spans="1:23">
      <c r="A8" s="9" t="str">
        <f>+'Device Energy Use'!A8</f>
        <v>Instant Gas</v>
      </c>
      <c r="B8" s="32">
        <f>'Water Heater Stock'!B9/'Water Heater Stock'!B$5</f>
        <v>0</v>
      </c>
      <c r="C8" s="32">
        <f>'Water Heater Stock'!C9/'Water Heater Stock'!C$5</f>
        <v>1.0619478263883266E-2</v>
      </c>
      <c r="D8" s="32">
        <f>'Water Heater Stock'!D9/'Water Heater Stock'!D$5</f>
        <v>2.0528759571920942E-2</v>
      </c>
      <c r="E8" s="32">
        <f>'Water Heater Stock'!E9/'Water Heater Stock'!E$5</f>
        <v>2.9778784884137034E-2</v>
      </c>
      <c r="F8" s="32">
        <f>'Water Heater Stock'!F9/'Water Heater Stock'!F$5</f>
        <v>3.8416852025646743E-2</v>
      </c>
      <c r="G8" s="32">
        <f>'Water Heater Stock'!G9/'Water Heater Stock'!G$5</f>
        <v>4.6486875785981971E-2</v>
      </c>
      <c r="H8" s="32">
        <f>'Water Heater Stock'!H9/'Water Heater Stock'!H$5</f>
        <v>5.4029629439949454E-2</v>
      </c>
      <c r="I8" s="32">
        <f>'Water Heater Stock'!I9/'Water Heater Stock'!I$5</f>
        <v>6.1082969017145175E-2</v>
      </c>
      <c r="J8" s="32">
        <f>'Water Heater Stock'!J9/'Water Heater Stock'!J$5</f>
        <v>6.7682041552457384E-2</v>
      </c>
      <c r="K8" s="32">
        <f>'Water Heater Stock'!K9/'Water Heater Stock'!K$5</f>
        <v>7.3859478461867051E-2</v>
      </c>
      <c r="L8" s="32">
        <f>'Water Heater Stock'!L9/'Water Heater Stock'!L$5</f>
        <v>7.9645575106120928E-2</v>
      </c>
      <c r="M8" s="32">
        <f>'Water Heater Stock'!M9/'Water Heater Stock'!M$5</f>
        <v>8.5068457528955199E-2</v>
      </c>
      <c r="N8" s="32">
        <f>'Water Heater Stock'!N9/'Water Heater Stock'!N$5</f>
        <v>9.0154237286072622E-2</v>
      </c>
      <c r="O8" s="32">
        <f>'Water Heater Stock'!O9/'Water Heater Stock'!O$5</f>
        <v>9.4927155215633552E-2</v>
      </c>
      <c r="P8" s="32">
        <f>'Water Heater Stock'!P9/'Water Heater Stock'!P$5</f>
        <v>9.9409714940254842E-2</v>
      </c>
      <c r="Q8" s="32">
        <f>'Water Heater Stock'!Q9/'Water Heater Stock'!Q$5</f>
        <v>0.10362280683408256</v>
      </c>
      <c r="R8" s="32">
        <f>'Water Heater Stock'!R9/'Water Heater Stock'!R$5</f>
        <v>0.10758582313610922</v>
      </c>
      <c r="S8" s="32">
        <f>'Water Heater Stock'!S9/'Water Heater Stock'!S$5</f>
        <v>0.1113167648422501</v>
      </c>
      <c r="T8" s="32">
        <f>'Water Heater Stock'!T9/'Water Heater Stock'!T$5</f>
        <v>0.11483234096351637</v>
      </c>
      <c r="U8" s="32">
        <f>'Water Heater Stock'!U9/'Water Heater Stock'!U$5</f>
        <v>0.11814806069566947</v>
      </c>
      <c r="V8" s="32">
        <f>'Water Heater Stock'!V9/'Water Heater Stock'!V$5</f>
        <v>0.1212783190067855</v>
      </c>
      <c r="W8" s="32">
        <f>'Water Heater Stock'!W9/'Water Heater Stock'!W$5</f>
        <v>0.12423647611298606</v>
      </c>
    </row>
    <row r="9" spans="1:23">
      <c r="A9" s="9" t="str">
        <f>+'Device Energy Use'!A9</f>
        <v>Condensing Gas</v>
      </c>
      <c r="B9" s="32">
        <f>'Water Heater Stock'!B10/'Water Heater Stock'!B$5</f>
        <v>0</v>
      </c>
      <c r="C9" s="32">
        <f>'Water Heater Stock'!C10/'Water Heater Stock'!C$5</f>
        <v>2.4387333988479337E-2</v>
      </c>
      <c r="D9" s="32">
        <f>'Water Heater Stock'!D10/'Water Heater Stock'!D$5</f>
        <v>4.7026892432299273E-2</v>
      </c>
      <c r="E9" s="32">
        <f>'Water Heater Stock'!E10/'Water Heater Stock'!E$5</f>
        <v>6.804299289007365E-2</v>
      </c>
      <c r="F9" s="32">
        <f>'Water Heater Stock'!F10/'Water Heater Stock'!F$5</f>
        <v>8.7551070756701349E-2</v>
      </c>
      <c r="G9" s="32">
        <f>'Water Heater Stock'!G10/'Water Heater Stock'!G$5</f>
        <v>0.10565831386022882</v>
      </c>
      <c r="H9" s="32">
        <f>'Water Heater Stock'!H10/'Water Heater Stock'!H$5</f>
        <v>0.12246425173221755</v>
      </c>
      <c r="I9" s="32">
        <f>'Water Heater Stock'!I10/'Water Heater Stock'!I$5</f>
        <v>0.13806130278910828</v>
      </c>
      <c r="J9" s="32">
        <f>'Water Heater Stock'!J10/'Water Heater Stock'!J$5</f>
        <v>0.15253528243082495</v>
      </c>
      <c r="K9" s="32">
        <f>'Water Heater Stock'!K10/'Water Heater Stock'!K$5</f>
        <v>0.16596587484812284</v>
      </c>
      <c r="L9" s="32">
        <f>'Water Heater Stock'!L10/'Water Heater Stock'!L$5</f>
        <v>0.17842707113079306</v>
      </c>
      <c r="M9" s="32">
        <f>'Water Heater Stock'!M10/'Water Heater Stock'!M$5</f>
        <v>0.18998757608368133</v>
      </c>
      <c r="N9" s="32">
        <f>'Water Heater Stock'!N10/'Water Heater Stock'!N$5</f>
        <v>0.20071118598555032</v>
      </c>
      <c r="O9" s="32">
        <f>'Water Heater Stock'!O10/'Water Heater Stock'!O$5</f>
        <v>0.21065713936616917</v>
      </c>
      <c r="P9" s="32">
        <f>'Water Heater Stock'!P10/'Water Heater Stock'!P$5</f>
        <v>0.21988044272876983</v>
      </c>
      <c r="Q9" s="32">
        <f>'Water Heater Stock'!Q10/'Water Heater Stock'!Q$5</f>
        <v>0.22843217300735413</v>
      </c>
      <c r="R9" s="32">
        <f>'Water Heater Stock'!R10/'Water Heater Stock'!R$5</f>
        <v>0.23635975842051735</v>
      </c>
      <c r="S9" s="32">
        <f>'Water Heater Stock'!S10/'Water Heater Stock'!S$5</f>
        <v>0.24370723926475654</v>
      </c>
      <c r="T9" s="32">
        <f>'Water Heater Stock'!T10/'Water Heater Stock'!T$5</f>
        <v>0.25051551008002432</v>
      </c>
      <c r="U9" s="32">
        <f>'Water Heater Stock'!U10/'Water Heater Stock'!U$5</f>
        <v>0.25682254451794445</v>
      </c>
      <c r="V9" s="32">
        <f>'Water Heater Stock'!V10/'Water Heater Stock'!V$5</f>
        <v>0.26266360414807616</v>
      </c>
      <c r="W9" s="32">
        <f>'Water Heater Stock'!W10/'Water Heater Stock'!W$5</f>
        <v>0.2680714323493717</v>
      </c>
    </row>
    <row r="11" spans="1:23">
      <c r="A11" s="42" t="s">
        <v>108</v>
      </c>
    </row>
    <row r="12" spans="1:23" s="23" customFormat="1">
      <c r="A12" s="40" t="str">
        <f>+'Device Energy Use'!A4</f>
        <v>Water Heat Ending</v>
      </c>
      <c r="B12" s="39">
        <f>'Levelized Costs'!B4</f>
        <v>2014</v>
      </c>
      <c r="C12" s="39">
        <f>'Levelized Costs'!C4</f>
        <v>2015</v>
      </c>
      <c r="D12" s="39">
        <f>'Levelized Costs'!D4</f>
        <v>2016</v>
      </c>
      <c r="E12" s="39">
        <f>'Levelized Costs'!E4</f>
        <v>2017</v>
      </c>
      <c r="F12" s="39">
        <f>'Levelized Costs'!F4</f>
        <v>2018</v>
      </c>
      <c r="G12" s="39">
        <f>'Levelized Costs'!G4</f>
        <v>2019</v>
      </c>
      <c r="H12" s="39">
        <f>'Levelized Costs'!H4</f>
        <v>2020</v>
      </c>
      <c r="I12" s="39">
        <f>'Levelized Costs'!I4</f>
        <v>2021</v>
      </c>
      <c r="J12" s="39">
        <f>'Levelized Costs'!J4</f>
        <v>2022</v>
      </c>
      <c r="K12" s="39">
        <f>'Levelized Costs'!K4</f>
        <v>2023</v>
      </c>
      <c r="L12" s="39">
        <f>'Levelized Costs'!L4</f>
        <v>2024</v>
      </c>
      <c r="M12" s="39">
        <f>'Levelized Costs'!M4</f>
        <v>2025</v>
      </c>
      <c r="N12" s="39">
        <f>'Levelized Costs'!N4</f>
        <v>2026</v>
      </c>
      <c r="O12" s="39">
        <f>'Levelized Costs'!O4</f>
        <v>2027</v>
      </c>
      <c r="P12" s="39">
        <f>'Levelized Costs'!P4</f>
        <v>2028</v>
      </c>
      <c r="Q12" s="39">
        <f>'Levelized Costs'!Q4</f>
        <v>2029</v>
      </c>
      <c r="R12" s="39">
        <f>'Levelized Costs'!R4</f>
        <v>2030</v>
      </c>
      <c r="S12" s="39">
        <f>'Levelized Costs'!S4</f>
        <v>2031</v>
      </c>
      <c r="T12" s="39">
        <f>'Levelized Costs'!T4</f>
        <v>2032</v>
      </c>
      <c r="U12" s="39">
        <f>'Levelized Costs'!U4</f>
        <v>2033</v>
      </c>
      <c r="V12" s="39">
        <f>'Levelized Costs'!V4</f>
        <v>2034</v>
      </c>
      <c r="W12" s="39">
        <f>'Levelized Costs'!W4</f>
        <v>2035</v>
      </c>
    </row>
    <row r="13" spans="1:23">
      <c r="A13" s="9" t="str">
        <f>+'Device Energy Use'!A5</f>
        <v>Electric Resistance</v>
      </c>
      <c r="B13" s="32">
        <f>'Water Heater Stock'!B15/'Water Heater Stock'!B$14</f>
        <v>1</v>
      </c>
      <c r="C13" s="32">
        <f>'Water Heater Stock'!C15/'Water Heater Stock'!C$14</f>
        <v>0.92857142857142849</v>
      </c>
      <c r="D13" s="32">
        <f>'Water Heater Stock'!D15/'Water Heater Stock'!D$14</f>
        <v>0.86224489795918358</v>
      </c>
      <c r="E13" s="32">
        <f>'Water Heater Stock'!E15/'Water Heater Stock'!E$14</f>
        <v>0.80065597667638488</v>
      </c>
      <c r="F13" s="32">
        <f>'Water Heater Stock'!F15/'Water Heater Stock'!F$14</f>
        <v>0.74346626405664296</v>
      </c>
      <c r="G13" s="32">
        <f>'Water Heater Stock'!G15/'Water Heater Stock'!G$14</f>
        <v>0.69036153090973995</v>
      </c>
      <c r="H13" s="32">
        <f>'Water Heater Stock'!H15/'Water Heater Stock'!H$14</f>
        <v>0.64104999298761578</v>
      </c>
      <c r="I13" s="32">
        <f>'Water Heater Stock'!I15/'Water Heater Stock'!I$14</f>
        <v>0.59526070777421458</v>
      </c>
      <c r="J13" s="32">
        <f>'Water Heater Stock'!J15/'Water Heater Stock'!J$14</f>
        <v>0.55274208579034212</v>
      </c>
      <c r="K13" s="32">
        <f>'Water Heater Stock'!K15/'Water Heater Stock'!K$14</f>
        <v>0.51326050823388913</v>
      </c>
      <c r="L13" s="32">
        <f>'Water Heater Stock'!L15/'Water Heater Stock'!L$14</f>
        <v>0.47659904336003994</v>
      </c>
      <c r="M13" s="32">
        <f>'Water Heater Stock'!M15/'Water Heater Stock'!M$14</f>
        <v>0.44255625454860859</v>
      </c>
      <c r="N13" s="32">
        <f>'Water Heater Stock'!N15/'Water Heater Stock'!N$14</f>
        <v>0.41094509350942221</v>
      </c>
      <c r="O13" s="32">
        <f>'Water Heater Stock'!O15/'Water Heater Stock'!O$14</f>
        <v>0.38159187254446347</v>
      </c>
      <c r="P13" s="32">
        <f>'Water Heater Stock'!P15/'Water Heater Stock'!P$14</f>
        <v>0.35433531021985898</v>
      </c>
      <c r="Q13" s="32">
        <f>'Water Heater Stock'!Q15/'Water Heater Stock'!Q$14</f>
        <v>0.32902564520415473</v>
      </c>
      <c r="R13" s="32">
        <f>'Water Heater Stock'!R15/'Water Heater Stock'!R$14</f>
        <v>0.30552381340385798</v>
      </c>
      <c r="S13" s="32">
        <f>'Water Heater Stock'!S15/'Water Heater Stock'!S$14</f>
        <v>0.28370068387501096</v>
      </c>
      <c r="T13" s="32">
        <f>'Water Heater Stock'!T15/'Water Heater Stock'!T$14</f>
        <v>0.2634363493125102</v>
      </c>
      <c r="U13" s="32">
        <f>'Water Heater Stock'!U15/'Water Heater Stock'!U$14</f>
        <v>0.24461946721875949</v>
      </c>
      <c r="V13" s="32">
        <f>'Water Heater Stock'!V15/'Water Heater Stock'!V$14</f>
        <v>0.22714664813170521</v>
      </c>
      <c r="W13" s="32">
        <f>'Water Heater Stock'!W15/'Water Heater Stock'!W$14</f>
        <v>0.21092188755086916</v>
      </c>
    </row>
    <row r="14" spans="1:23">
      <c r="A14" s="9" t="str">
        <f>+'Device Energy Use'!A6</f>
        <v>HPWH</v>
      </c>
      <c r="B14" s="32">
        <f>'Water Heater Stock'!B16/'Water Heater Stock'!B$14</f>
        <v>0</v>
      </c>
      <c r="C14" s="32">
        <f>'Water Heater Stock'!C16/'Water Heater Stock'!C$14</f>
        <v>7.1428571428571425E-2</v>
      </c>
      <c r="D14" s="32">
        <f>'Water Heater Stock'!D16/'Water Heater Stock'!D$14</f>
        <v>0.13775510204081631</v>
      </c>
      <c r="E14" s="32">
        <f>'Water Heater Stock'!E16/'Water Heater Stock'!E$14</f>
        <v>0.19934402332361517</v>
      </c>
      <c r="F14" s="32">
        <f>'Water Heater Stock'!F16/'Water Heater Stock'!F$14</f>
        <v>0.25653373594335693</v>
      </c>
      <c r="G14" s="32">
        <f>'Water Heater Stock'!G16/'Water Heater Stock'!G$14</f>
        <v>0.30963846909025994</v>
      </c>
      <c r="H14" s="32">
        <f>'Water Heater Stock'!H16/'Water Heater Stock'!H$14</f>
        <v>0.35895000701238428</v>
      </c>
      <c r="I14" s="32">
        <f>'Water Heater Stock'!I16/'Water Heater Stock'!I$14</f>
        <v>0.40473929222578542</v>
      </c>
      <c r="J14" s="32">
        <f>'Water Heater Stock'!J16/'Water Heater Stock'!J$14</f>
        <v>0.44725791420965788</v>
      </c>
      <c r="K14" s="32">
        <f>'Water Heater Stock'!K16/'Water Heater Stock'!K$14</f>
        <v>0.48673949176611087</v>
      </c>
      <c r="L14" s="32">
        <f>'Water Heater Stock'!L16/'Water Heater Stock'!L$14</f>
        <v>0.52340095663996</v>
      </c>
      <c r="M14" s="32">
        <f>'Water Heater Stock'!M16/'Water Heater Stock'!M$14</f>
        <v>0.55744374545139141</v>
      </c>
      <c r="N14" s="32">
        <f>'Water Heater Stock'!N16/'Water Heater Stock'!N$14</f>
        <v>0.58905490649057779</v>
      </c>
      <c r="O14" s="32">
        <f>'Water Heater Stock'!O16/'Water Heater Stock'!O$14</f>
        <v>0.61840812745553642</v>
      </c>
      <c r="P14" s="32">
        <f>'Water Heater Stock'!P16/'Water Heater Stock'!P$14</f>
        <v>0.64566468978014102</v>
      </c>
      <c r="Q14" s="32">
        <f>'Water Heater Stock'!Q16/'Water Heater Stock'!Q$14</f>
        <v>0.67097435479584522</v>
      </c>
      <c r="R14" s="32">
        <f>'Water Heater Stock'!R16/'Water Heater Stock'!R$14</f>
        <v>0.69447618659614196</v>
      </c>
      <c r="S14" s="32">
        <f>'Water Heater Stock'!S16/'Water Heater Stock'!S$14</f>
        <v>0.71629931612498898</v>
      </c>
      <c r="T14" s="32">
        <f>'Water Heater Stock'!T16/'Water Heater Stock'!T$14</f>
        <v>0.73656365068748975</v>
      </c>
      <c r="U14" s="32">
        <f>'Water Heater Stock'!U16/'Water Heater Stock'!U$14</f>
        <v>0.75538053278124051</v>
      </c>
      <c r="V14" s="32">
        <f>'Water Heater Stock'!V16/'Water Heater Stock'!V$14</f>
        <v>0.77285335186829474</v>
      </c>
      <c r="W14" s="32">
        <f>'Water Heater Stock'!W16/'Water Heater Stock'!W$14</f>
        <v>0.78907811244913095</v>
      </c>
    </row>
    <row r="15" spans="1:23">
      <c r="A15" s="9" t="str">
        <f>+'Device Energy Use'!A7</f>
        <v>Gas Tank</v>
      </c>
      <c r="B15" s="32">
        <f>'Water Heater Stock'!B17/'Water Heater Stock'!B$14</f>
        <v>0</v>
      </c>
      <c r="C15" s="32">
        <f>'Water Heater Stock'!C17/'Water Heater Stock'!C$14</f>
        <v>0</v>
      </c>
      <c r="D15" s="32">
        <f>'Water Heater Stock'!D17/'Water Heater Stock'!D$14</f>
        <v>0</v>
      </c>
      <c r="E15" s="32">
        <f>'Water Heater Stock'!E17/'Water Heater Stock'!E$14</f>
        <v>0</v>
      </c>
      <c r="F15" s="32">
        <f>'Water Heater Stock'!F17/'Water Heater Stock'!F$14</f>
        <v>0</v>
      </c>
      <c r="G15" s="32">
        <f>'Water Heater Stock'!G17/'Water Heater Stock'!G$14</f>
        <v>0</v>
      </c>
      <c r="H15" s="32">
        <f>'Water Heater Stock'!H17/'Water Heater Stock'!H$14</f>
        <v>0</v>
      </c>
      <c r="I15" s="32">
        <f>'Water Heater Stock'!I17/'Water Heater Stock'!I$14</f>
        <v>0</v>
      </c>
      <c r="J15" s="32">
        <f>'Water Heater Stock'!J17/'Water Heater Stock'!J$14</f>
        <v>0</v>
      </c>
      <c r="K15" s="32">
        <f>'Water Heater Stock'!K17/'Water Heater Stock'!K$14</f>
        <v>0</v>
      </c>
      <c r="L15" s="32">
        <f>'Water Heater Stock'!L17/'Water Heater Stock'!L$14</f>
        <v>0</v>
      </c>
      <c r="M15" s="32">
        <f>'Water Heater Stock'!M17/'Water Heater Stock'!M$14</f>
        <v>0</v>
      </c>
      <c r="N15" s="32">
        <f>'Water Heater Stock'!N17/'Water Heater Stock'!N$14</f>
        <v>0</v>
      </c>
      <c r="O15" s="32">
        <f>'Water Heater Stock'!O17/'Water Heater Stock'!O$14</f>
        <v>0</v>
      </c>
      <c r="P15" s="32">
        <f>'Water Heater Stock'!P17/'Water Heater Stock'!P$14</f>
        <v>0</v>
      </c>
      <c r="Q15" s="32">
        <f>'Water Heater Stock'!Q17/'Water Heater Stock'!Q$14</f>
        <v>0</v>
      </c>
      <c r="R15" s="32">
        <f>'Water Heater Stock'!R17/'Water Heater Stock'!R$14</f>
        <v>0</v>
      </c>
      <c r="S15" s="32">
        <f>'Water Heater Stock'!S17/'Water Heater Stock'!S$14</f>
        <v>0</v>
      </c>
      <c r="T15" s="32">
        <f>'Water Heater Stock'!T17/'Water Heater Stock'!T$14</f>
        <v>0</v>
      </c>
      <c r="U15" s="32">
        <f>'Water Heater Stock'!U17/'Water Heater Stock'!U$14</f>
        <v>0</v>
      </c>
      <c r="V15" s="32">
        <f>'Water Heater Stock'!V17/'Water Heater Stock'!V$14</f>
        <v>0</v>
      </c>
      <c r="W15" s="32">
        <f>'Water Heater Stock'!W17/'Water Heater Stock'!W$14</f>
        <v>0</v>
      </c>
    </row>
    <row r="16" spans="1:23">
      <c r="A16" s="9" t="str">
        <f>+'Device Energy Use'!A8</f>
        <v>Instant Gas</v>
      </c>
      <c r="B16" s="32">
        <f>'Water Heater Stock'!B18/'Water Heater Stock'!B$14</f>
        <v>0</v>
      </c>
      <c r="C16" s="32">
        <f>'Water Heater Stock'!C18/'Water Heater Stock'!C$14</f>
        <v>0</v>
      </c>
      <c r="D16" s="32">
        <f>'Water Heater Stock'!D18/'Water Heater Stock'!D$14</f>
        <v>0</v>
      </c>
      <c r="E16" s="32">
        <f>'Water Heater Stock'!E18/'Water Heater Stock'!E$14</f>
        <v>0</v>
      </c>
      <c r="F16" s="32">
        <f>'Water Heater Stock'!F18/'Water Heater Stock'!F$14</f>
        <v>0</v>
      </c>
      <c r="G16" s="32">
        <f>'Water Heater Stock'!G18/'Water Heater Stock'!G$14</f>
        <v>0</v>
      </c>
      <c r="H16" s="32">
        <f>'Water Heater Stock'!H18/'Water Heater Stock'!H$14</f>
        <v>0</v>
      </c>
      <c r="I16" s="32">
        <f>'Water Heater Stock'!I18/'Water Heater Stock'!I$14</f>
        <v>0</v>
      </c>
      <c r="J16" s="32">
        <f>'Water Heater Stock'!J18/'Water Heater Stock'!J$14</f>
        <v>0</v>
      </c>
      <c r="K16" s="32">
        <f>'Water Heater Stock'!K18/'Water Heater Stock'!K$14</f>
        <v>0</v>
      </c>
      <c r="L16" s="32">
        <f>'Water Heater Stock'!L18/'Water Heater Stock'!L$14</f>
        <v>0</v>
      </c>
      <c r="M16" s="32">
        <f>'Water Heater Stock'!M18/'Water Heater Stock'!M$14</f>
        <v>0</v>
      </c>
      <c r="N16" s="32">
        <f>'Water Heater Stock'!N18/'Water Heater Stock'!N$14</f>
        <v>0</v>
      </c>
      <c r="O16" s="32">
        <f>'Water Heater Stock'!O18/'Water Heater Stock'!O$14</f>
        <v>0</v>
      </c>
      <c r="P16" s="32">
        <f>'Water Heater Stock'!P18/'Water Heater Stock'!P$14</f>
        <v>0</v>
      </c>
      <c r="Q16" s="32">
        <f>'Water Heater Stock'!Q18/'Water Heater Stock'!Q$14</f>
        <v>0</v>
      </c>
      <c r="R16" s="32">
        <f>'Water Heater Stock'!R18/'Water Heater Stock'!R$14</f>
        <v>0</v>
      </c>
      <c r="S16" s="32">
        <f>'Water Heater Stock'!S18/'Water Heater Stock'!S$14</f>
        <v>0</v>
      </c>
      <c r="T16" s="32">
        <f>'Water Heater Stock'!T18/'Water Heater Stock'!T$14</f>
        <v>0</v>
      </c>
      <c r="U16" s="32">
        <f>'Water Heater Stock'!U18/'Water Heater Stock'!U$14</f>
        <v>0</v>
      </c>
      <c r="V16" s="32">
        <f>'Water Heater Stock'!V18/'Water Heater Stock'!V$14</f>
        <v>0</v>
      </c>
      <c r="W16" s="32">
        <f>'Water Heater Stock'!W18/'Water Heater Stock'!W$14</f>
        <v>0</v>
      </c>
    </row>
    <row r="17" spans="1:23">
      <c r="A17" s="9" t="str">
        <f>+'Device Energy Use'!A9</f>
        <v>Condensing Gas</v>
      </c>
      <c r="B17" s="32">
        <f>'Water Heater Stock'!B19/'Water Heater Stock'!B$14</f>
        <v>0</v>
      </c>
      <c r="C17" s="32">
        <f>'Water Heater Stock'!C19/'Water Heater Stock'!C$14</f>
        <v>0</v>
      </c>
      <c r="D17" s="32">
        <f>'Water Heater Stock'!D19/'Water Heater Stock'!D$14</f>
        <v>0</v>
      </c>
      <c r="E17" s="32">
        <f>'Water Heater Stock'!E19/'Water Heater Stock'!E$14</f>
        <v>0</v>
      </c>
      <c r="F17" s="32">
        <f>'Water Heater Stock'!F19/'Water Heater Stock'!F$14</f>
        <v>0</v>
      </c>
      <c r="G17" s="32">
        <f>'Water Heater Stock'!G19/'Water Heater Stock'!G$14</f>
        <v>0</v>
      </c>
      <c r="H17" s="32">
        <f>'Water Heater Stock'!H19/'Water Heater Stock'!H$14</f>
        <v>0</v>
      </c>
      <c r="I17" s="32">
        <f>'Water Heater Stock'!I19/'Water Heater Stock'!I$14</f>
        <v>0</v>
      </c>
      <c r="J17" s="32">
        <f>'Water Heater Stock'!J19/'Water Heater Stock'!J$14</f>
        <v>0</v>
      </c>
      <c r="K17" s="32">
        <f>'Water Heater Stock'!K19/'Water Heater Stock'!K$14</f>
        <v>0</v>
      </c>
      <c r="L17" s="32">
        <f>'Water Heater Stock'!L19/'Water Heater Stock'!L$14</f>
        <v>0</v>
      </c>
      <c r="M17" s="32">
        <f>'Water Heater Stock'!M19/'Water Heater Stock'!M$14</f>
        <v>0</v>
      </c>
      <c r="N17" s="32">
        <f>'Water Heater Stock'!N19/'Water Heater Stock'!N$14</f>
        <v>0</v>
      </c>
      <c r="O17" s="32">
        <f>'Water Heater Stock'!O19/'Water Heater Stock'!O$14</f>
        <v>0</v>
      </c>
      <c r="P17" s="32">
        <f>'Water Heater Stock'!P19/'Water Heater Stock'!P$14</f>
        <v>0</v>
      </c>
      <c r="Q17" s="32">
        <f>'Water Heater Stock'!Q19/'Water Heater Stock'!Q$14</f>
        <v>0</v>
      </c>
      <c r="R17" s="32">
        <f>'Water Heater Stock'!R19/'Water Heater Stock'!R$14</f>
        <v>0</v>
      </c>
      <c r="S17" s="32">
        <f>'Water Heater Stock'!S19/'Water Heater Stock'!S$14</f>
        <v>0</v>
      </c>
      <c r="T17" s="32">
        <f>'Water Heater Stock'!T19/'Water Heater Stock'!T$14</f>
        <v>0</v>
      </c>
      <c r="U17" s="32">
        <f>'Water Heater Stock'!U19/'Water Heater Stock'!U$14</f>
        <v>0</v>
      </c>
      <c r="V17" s="32">
        <f>'Water Heater Stock'!V19/'Water Heater Stock'!V$14</f>
        <v>0</v>
      </c>
      <c r="W17" s="32">
        <f>'Water Heater Stock'!W19/'Water Heater Stock'!W$14</f>
        <v>0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7"/>
  <dimension ref="A1:W17"/>
  <sheetViews>
    <sheetView workbookViewId="0">
      <selection activeCell="E15" sqref="E15"/>
    </sheetView>
  </sheetViews>
  <sheetFormatPr defaultColWidth="9.140625" defaultRowHeight="15.75"/>
  <cols>
    <col min="1" max="1" width="20.7109375" style="9" customWidth="1"/>
    <col min="2" max="7" width="9.7109375" style="9" customWidth="1"/>
    <col min="8" max="29" width="8.42578125" style="9" customWidth="1"/>
    <col min="30" max="16384" width="9.140625" style="9"/>
  </cols>
  <sheetData>
    <row r="1" spans="1:23">
      <c r="A1" s="147" t="str">
        <f>CONCATENATE("Segment:  ",State,", Single Family, ", SpaceHeat, ", ", TankSize,", ", StartWH, " is starting water heater")</f>
        <v>Segment:  Oregon, Single Family, Gas FAF, &gt;55 Gallons, Electric Resistance is starting water heater</v>
      </c>
    </row>
    <row r="3" spans="1:23" ht="18" customHeight="1">
      <c r="A3" s="42" t="s">
        <v>88</v>
      </c>
    </row>
    <row r="4" spans="1:23" s="23" customFormat="1">
      <c r="A4" s="40" t="str">
        <f>+'Device Energy Use'!A4</f>
        <v>Water Heat Ending</v>
      </c>
      <c r="B4" s="39">
        <f>'Marginal Allocation Weight'!B4</f>
        <v>2014</v>
      </c>
      <c r="C4" s="39">
        <f>'Marginal Allocation Weight'!C4</f>
        <v>2015</v>
      </c>
      <c r="D4" s="39">
        <f>'Marginal Allocation Weight'!D4</f>
        <v>2016</v>
      </c>
      <c r="E4" s="39">
        <f>'Marginal Allocation Weight'!E4</f>
        <v>2017</v>
      </c>
      <c r="F4" s="39">
        <f>'Marginal Allocation Weight'!F4</f>
        <v>2018</v>
      </c>
      <c r="G4" s="39">
        <f>'Marginal Allocation Weight'!G4</f>
        <v>2019</v>
      </c>
      <c r="H4" s="39">
        <f>'Marginal Allocation Weight'!H4</f>
        <v>2020</v>
      </c>
      <c r="I4" s="39">
        <f>'Marginal Allocation Weight'!I4</f>
        <v>2021</v>
      </c>
      <c r="J4" s="39">
        <f>'Marginal Allocation Weight'!J4</f>
        <v>2022</v>
      </c>
      <c r="K4" s="39">
        <f>'Marginal Allocation Weight'!K4</f>
        <v>2023</v>
      </c>
      <c r="L4" s="39">
        <f>'Marginal Allocation Weight'!L4</f>
        <v>2024</v>
      </c>
      <c r="M4" s="39">
        <f>'Marginal Allocation Weight'!M4</f>
        <v>2025</v>
      </c>
      <c r="N4" s="39">
        <f>'Marginal Allocation Weight'!N4</f>
        <v>2026</v>
      </c>
      <c r="O4" s="39">
        <f>'Marginal Allocation Weight'!O4</f>
        <v>2027</v>
      </c>
      <c r="P4" s="39">
        <f>'Marginal Allocation Weight'!P4</f>
        <v>2028</v>
      </c>
      <c r="Q4" s="39">
        <f>'Marginal Allocation Weight'!Q4</f>
        <v>2029</v>
      </c>
      <c r="R4" s="39">
        <f>'Marginal Allocation Weight'!R4</f>
        <v>2030</v>
      </c>
      <c r="S4" s="39">
        <f>'Marginal Allocation Weight'!S4</f>
        <v>2031</v>
      </c>
      <c r="T4" s="39">
        <f>'Marginal Allocation Weight'!T4</f>
        <v>2032</v>
      </c>
      <c r="U4" s="39">
        <f>'Marginal Allocation Weight'!U4</f>
        <v>2033</v>
      </c>
      <c r="V4" s="39">
        <f>'Marginal Allocation Weight'!V4</f>
        <v>2034</v>
      </c>
      <c r="W4" s="39">
        <f>'Marginal Allocation Weight'!W4</f>
        <v>2035</v>
      </c>
    </row>
    <row r="5" spans="1:23">
      <c r="A5" s="9" t="str">
        <f>+'Device Energy Use'!A5</f>
        <v>Electric Resistance</v>
      </c>
      <c r="B5" s="32">
        <f>'Marginal Allocation Weight'!B5/'Total Allocation Weight'!B5</f>
        <v>0.99988281249542088</v>
      </c>
      <c r="C5" s="32">
        <f>'Marginal Allocation Weight'!C5/'Total Allocation Weight'!C5</f>
        <v>1.7399082604283891E-5</v>
      </c>
      <c r="D5" s="32">
        <f>'Marginal Allocation Weight'!D5/'Total Allocation Weight'!D5</f>
        <v>1.7214878181302354E-5</v>
      </c>
      <c r="E5" s="32">
        <f>'Marginal Allocation Weight'!E5/'Total Allocation Weight'!E5</f>
        <v>1.7033488630320075E-5</v>
      </c>
      <c r="F5" s="32">
        <f>'Marginal Allocation Weight'!F5/'Total Allocation Weight'!F5</f>
        <v>1.6854876380611742E-5</v>
      </c>
      <c r="G5" s="32">
        <f>'Marginal Allocation Weight'!G5/'Total Allocation Weight'!G5</f>
        <v>1.6679004188796473E-5</v>
      </c>
      <c r="H5" s="32">
        <f>'Marginal Allocation Weight'!H5/'Total Allocation Weight'!H5</f>
        <v>1.6505835143034628E-5</v>
      </c>
      <c r="I5" s="32">
        <f>'Marginal Allocation Weight'!I5/'Total Allocation Weight'!I5</f>
        <v>1.6335332666922996E-5</v>
      </c>
      <c r="J5" s="32">
        <f>'Marginal Allocation Weight'!J5/'Total Allocation Weight'!J5</f>
        <v>1.6167460523095372E-5</v>
      </c>
      <c r="K5" s="32">
        <f>'Marginal Allocation Weight'!K5/'Total Allocation Weight'!K5</f>
        <v>1.6002182816535941E-5</v>
      </c>
      <c r="L5" s="32">
        <f>'Marginal Allocation Weight'!L5/'Total Allocation Weight'!L5</f>
        <v>1.5839463997612483E-5</v>
      </c>
      <c r="M5" s="32">
        <f>'Marginal Allocation Weight'!M5/'Total Allocation Weight'!M5</f>
        <v>1.5679268864836723E-5</v>
      </c>
      <c r="N5" s="32">
        <f>'Marginal Allocation Weight'!N5/'Total Allocation Weight'!N5</f>
        <v>1.5521562567358941E-5</v>
      </c>
      <c r="O5" s="32">
        <f>'Marginal Allocation Weight'!O5/'Total Allocation Weight'!O5</f>
        <v>1.5366310607204028E-5</v>
      </c>
      <c r="P5" s="32">
        <f>'Marginal Allocation Weight'!P5/'Total Allocation Weight'!P5</f>
        <v>1.5213478841256192E-5</v>
      </c>
      <c r="Q5" s="32">
        <f>'Marginal Allocation Weight'!Q5/'Total Allocation Weight'!Q5</f>
        <v>1.5063033482999237E-5</v>
      </c>
      <c r="R5" s="32">
        <f>'Marginal Allocation Weight'!R5/'Total Allocation Weight'!R5</f>
        <v>1.4914941104019717E-5</v>
      </c>
      <c r="S5" s="32">
        <f>'Marginal Allocation Weight'!S5/'Total Allocation Weight'!S5</f>
        <v>1.4769168635279711E-5</v>
      </c>
      <c r="T5" s="32">
        <f>'Marginal Allocation Weight'!T5/'Total Allocation Weight'!T5</f>
        <v>1.4625683368166391E-5</v>
      </c>
      <c r="U5" s="32">
        <f>'Marginal Allocation Weight'!U5/'Total Allocation Weight'!U5</f>
        <v>1.4484452955325149E-5</v>
      </c>
      <c r="V5" s="32">
        <f>'Marginal Allocation Weight'!V5/'Total Allocation Weight'!V5</f>
        <v>1.4345445411283139E-5</v>
      </c>
      <c r="W5" s="32">
        <f>'Marginal Allocation Weight'!W5/'Total Allocation Weight'!W5</f>
        <v>1.4208629112870023E-5</v>
      </c>
    </row>
    <row r="6" spans="1:23">
      <c r="A6" s="9" t="str">
        <f>+'Device Energy Use'!A6</f>
        <v>HPWH</v>
      </c>
      <c r="B6" s="32">
        <f>'Marginal Allocation Weight'!B6/'Total Allocation Weight'!B6</f>
        <v>5.9819143856032193E-5</v>
      </c>
      <c r="C6" s="32">
        <f>'Marginal Allocation Weight'!C6/'Total Allocation Weight'!C6</f>
        <v>0.50984879058547206</v>
      </c>
      <c r="D6" s="32">
        <f>'Marginal Allocation Weight'!D6/'Total Allocation Weight'!D6</f>
        <v>0.50925413505897899</v>
      </c>
      <c r="E6" s="32">
        <f>'Marginal Allocation Weight'!E6/'Total Allocation Weight'!E6</f>
        <v>0.50866382686525147</v>
      </c>
      <c r="F6" s="32">
        <f>'Marginal Allocation Weight'!F6/'Total Allocation Weight'!F6</f>
        <v>0.50807796169912167</v>
      </c>
      <c r="G6" s="32">
        <f>'Marginal Allocation Weight'!G6/'Total Allocation Weight'!G6</f>
        <v>0.50749663480805529</v>
      </c>
      <c r="H6" s="32">
        <f>'Marginal Allocation Weight'!H6/'Total Allocation Weight'!H6</f>
        <v>0.50691994096542503</v>
      </c>
      <c r="I6" s="32">
        <f>'Marginal Allocation Weight'!I6/'Total Allocation Weight'!I6</f>
        <v>0.50634797444410518</v>
      </c>
      <c r="J6" s="32">
        <f>'Marginal Allocation Weight'!J6/'Total Allocation Weight'!J6</f>
        <v>0.50578082899039811</v>
      </c>
      <c r="K6" s="32">
        <f>'Marginal Allocation Weight'!K6/'Total Allocation Weight'!K6</f>
        <v>0.50521859779830958</v>
      </c>
      <c r="L6" s="32">
        <f>'Marginal Allocation Weight'!L6/'Total Allocation Weight'!L6</f>
        <v>0.50466137348417717</v>
      </c>
      <c r="M6" s="32">
        <f>'Marginal Allocation Weight'!M6/'Total Allocation Weight'!M6</f>
        <v>0.50410924806166924</v>
      </c>
      <c r="N6" s="32">
        <f>'Marginal Allocation Weight'!N6/'Total Allocation Weight'!N6</f>
        <v>0.50356231291715992</v>
      </c>
      <c r="O6" s="32">
        <f>'Marginal Allocation Weight'!O6/'Total Allocation Weight'!O6</f>
        <v>0.50302065878549473</v>
      </c>
      <c r="P6" s="32">
        <f>'Marginal Allocation Weight'!P6/'Total Allocation Weight'!P6</f>
        <v>0.50248437572614857</v>
      </c>
      <c r="Q6" s="32">
        <f>'Marginal Allocation Weight'!Q6/'Total Allocation Weight'!Q6</f>
        <v>0.50195355309979184</v>
      </c>
      <c r="R6" s="32">
        <f>'Marginal Allocation Weight'!R6/'Total Allocation Weight'!R6</f>
        <v>0.50142827954526525</v>
      </c>
      <c r="S6" s="32">
        <f>'Marginal Allocation Weight'!S6/'Total Allocation Weight'!S6</f>
        <v>0.50090864295697579</v>
      </c>
      <c r="T6" s="32">
        <f>'Marginal Allocation Weight'!T6/'Total Allocation Weight'!T6</f>
        <v>0.50039473046271565</v>
      </c>
      <c r="U6" s="32">
        <f>'Marginal Allocation Weight'!U6/'Total Allocation Weight'!U6</f>
        <v>0.49988662840191223</v>
      </c>
      <c r="V6" s="32">
        <f>'Marginal Allocation Weight'!V6/'Total Allocation Weight'!V6</f>
        <v>0.4993844223043114</v>
      </c>
      <c r="W6" s="32">
        <f>'Marginal Allocation Weight'!W6/'Total Allocation Weight'!W6</f>
        <v>0.49888819686910107</v>
      </c>
    </row>
    <row r="7" spans="1:23">
      <c r="A7" s="9" t="str">
        <f>+'Device Energy Use'!A7</f>
        <v>Gas Tank</v>
      </c>
      <c r="B7" s="32">
        <f>'Marginal Allocation Weight'!B7/'Total Allocation Weight'!B7</f>
        <v>4.5468847504038054E-9</v>
      </c>
      <c r="C7" s="32">
        <f>'Marginal Allocation Weight'!C7/'Total Allocation Weight'!C7</f>
        <v>3.8438798847266562E-5</v>
      </c>
      <c r="D7" s="32">
        <f>'Marginal Allocation Weight'!D7/'Total Allocation Weight'!D7</f>
        <v>3.8081284470458965E-5</v>
      </c>
      <c r="E7" s="32">
        <f>'Marginal Allocation Weight'!E7/'Total Allocation Weight'!E7</f>
        <v>3.7726862031693739E-5</v>
      </c>
      <c r="F7" s="32">
        <f>'Marginal Allocation Weight'!F7/'Total Allocation Weight'!F7</f>
        <v>3.7375536363788122E-5</v>
      </c>
      <c r="G7" s="32">
        <f>'Marginal Allocation Weight'!G7/'Total Allocation Weight'!G7</f>
        <v>3.7027311329083237E-5</v>
      </c>
      <c r="H7" s="32">
        <f>'Marginal Allocation Weight'!H7/'Total Allocation Weight'!H7</f>
        <v>3.6682189835024611E-5</v>
      </c>
      <c r="I7" s="32">
        <f>'Marginal Allocation Weight'!I7/'Total Allocation Weight'!I7</f>
        <v>3.634017385014059E-5</v>
      </c>
      <c r="J7" s="32">
        <f>'Marginal Allocation Weight'!J7/'Total Allocation Weight'!J7</f>
        <v>3.6001264420393807E-5</v>
      </c>
      <c r="K7" s="32">
        <f>'Marginal Allocation Weight'!K7/'Total Allocation Weight'!K7</f>
        <v>3.566546168587784E-5</v>
      </c>
      <c r="L7" s="32">
        <f>'Marginal Allocation Weight'!L7/'Total Allocation Weight'!L7</f>
        <v>3.5332764897833921E-5</v>
      </c>
      <c r="M7" s="32">
        <f>'Marginal Allocation Weight'!M7/'Total Allocation Weight'!M7</f>
        <v>3.5003172435962119E-5</v>
      </c>
      <c r="N7" s="32">
        <f>'Marginal Allocation Weight'!N7/'Total Allocation Weight'!N7</f>
        <v>3.4676681826000436E-5</v>
      </c>
      <c r="O7" s="32">
        <f>'Marginal Allocation Weight'!O7/'Total Allocation Weight'!O7</f>
        <v>3.4353289757547574E-5</v>
      </c>
      <c r="P7" s="32">
        <f>'Marginal Allocation Weight'!P7/'Total Allocation Weight'!P7</f>
        <v>3.4032992102104159E-5</v>
      </c>
      <c r="Q7" s="32">
        <f>'Marginal Allocation Weight'!Q7/'Total Allocation Weight'!Q7</f>
        <v>3.3715783931307549E-5</v>
      </c>
      <c r="R7" s="32">
        <f>'Marginal Allocation Weight'!R7/'Total Allocation Weight'!R7</f>
        <v>3.3401659535336868E-5</v>
      </c>
      <c r="S7" s="32">
        <f>'Marginal Allocation Weight'!S7/'Total Allocation Weight'!S7</f>
        <v>3.3090612441464259E-5</v>
      </c>
      <c r="T7" s="32">
        <f>'Marginal Allocation Weight'!T7/'Total Allocation Weight'!T7</f>
        <v>3.2782635432729037E-5</v>
      </c>
      <c r="U7" s="32">
        <f>'Marginal Allocation Weight'!U7/'Total Allocation Weight'!U7</f>
        <v>3.2477720566712757E-5</v>
      </c>
      <c r="V7" s="32">
        <f>'Marginal Allocation Weight'!V7/'Total Allocation Weight'!V7</f>
        <v>3.2175859194392007E-5</v>
      </c>
      <c r="W7" s="32">
        <f>'Marginal Allocation Weight'!W7/'Total Allocation Weight'!W7</f>
        <v>3.1877041979048913E-5</v>
      </c>
    </row>
    <row r="8" spans="1:23">
      <c r="A8" s="9" t="str">
        <f>+'Device Energy Use'!A8</f>
        <v>Instant Gas</v>
      </c>
      <c r="B8" s="32">
        <f>'Marginal Allocation Weight'!B8/'Total Allocation Weight'!B8</f>
        <v>1.7343939965847487E-5</v>
      </c>
      <c r="C8" s="32">
        <f>'Marginal Allocation Weight'!C8/'Total Allocation Weight'!C8</f>
        <v>0.1486726956943657</v>
      </c>
      <c r="D8" s="32">
        <f>'Marginal Allocation Weight'!D8/'Total Allocation Weight'!D8</f>
        <v>0.14934941657641074</v>
      </c>
      <c r="E8" s="32">
        <f>'Marginal Allocation Weight'!E8/'Total Allocation Weight'!E8</f>
        <v>0.15002911394294624</v>
      </c>
      <c r="F8" s="32">
        <f>'Marginal Allocation Weight'!F8/'Total Allocation Weight'!F8</f>
        <v>0.1507117248652729</v>
      </c>
      <c r="G8" s="32">
        <f>'Marginal Allocation Weight'!G8/'Total Allocation Weight'!G8</f>
        <v>0.15139718467034019</v>
      </c>
      <c r="H8" s="32">
        <f>'Marginal Allocation Weight'!H8/'Total Allocation Weight'!H8</f>
        <v>0.15208542694152646</v>
      </c>
      <c r="I8" s="32">
        <f>'Marginal Allocation Weight'!I8/'Total Allocation Weight'!I8</f>
        <v>0.15277638352068951</v>
      </c>
      <c r="J8" s="32">
        <f>'Marginal Allocation Weight'!J8/'Total Allocation Weight'!J8</f>
        <v>0.15346998451151619</v>
      </c>
      <c r="K8" s="32">
        <f>'Marginal Allocation Weight'!K8/'Total Allocation Weight'!K8</f>
        <v>0.15416615828419289</v>
      </c>
      <c r="L8" s="32">
        <f>'Marginal Allocation Weight'!L8/'Total Allocation Weight'!L8</f>
        <v>0.15486483148142127</v>
      </c>
      <c r="M8" s="32">
        <f>'Marginal Allocation Weight'!M8/'Total Allocation Weight'!M8</f>
        <v>0.15556592902580088</v>
      </c>
      <c r="N8" s="32">
        <f>'Marginal Allocation Weight'!N8/'Total Allocation Weight'!N8</f>
        <v>0.15626937412859912</v>
      </c>
      <c r="O8" s="32">
        <f>'Marginal Allocation Weight'!O8/'Total Allocation Weight'!O8</f>
        <v>0.15697508829992562</v>
      </c>
      <c r="P8" s="32">
        <f>'Marginal Allocation Weight'!P8/'Total Allocation Weight'!P8</f>
        <v>0.15768299136033112</v>
      </c>
      <c r="Q8" s="32">
        <f>'Marginal Allocation Weight'!Q8/'Total Allocation Weight'!Q8</f>
        <v>0.15839300145384327</v>
      </c>
      <c r="R8" s="32">
        <f>'Marginal Allocation Weight'!R8/'Total Allocation Weight'!R8</f>
        <v>0.15910503506245588</v>
      </c>
      <c r="S8" s="32">
        <f>'Marginal Allocation Weight'!S8/'Total Allocation Weight'!S8</f>
        <v>0.15981900702208141</v>
      </c>
      <c r="T8" s="32">
        <f>'Marginal Allocation Weight'!T8/'Total Allocation Weight'!T8</f>
        <v>0.16053483053997814</v>
      </c>
      <c r="U8" s="32">
        <f>'Marginal Allocation Weight'!U8/'Total Allocation Weight'!U8</f>
        <v>0.16125241721365963</v>
      </c>
      <c r="V8" s="32">
        <f>'Marginal Allocation Weight'!V8/'Total Allocation Weight'!V8</f>
        <v>0.16197167705129378</v>
      </c>
      <c r="W8" s="32">
        <f>'Marginal Allocation Weight'!W8/'Total Allocation Weight'!W8</f>
        <v>0.16269251849359345</v>
      </c>
    </row>
    <row r="9" spans="1:23">
      <c r="A9" s="9" t="str">
        <f>+'Device Energy Use'!A9</f>
        <v>Condensing Gas</v>
      </c>
      <c r="B9" s="32">
        <f>'Marginal Allocation Weight'!B9/'Total Allocation Weight'!B9</f>
        <v>4.0019873872483122E-5</v>
      </c>
      <c r="C9" s="32">
        <f>'Marginal Allocation Weight'!C9/'Total Allocation Weight'!C9</f>
        <v>0.34142267583871072</v>
      </c>
      <c r="D9" s="32">
        <f>'Marginal Allocation Weight'!D9/'Total Allocation Weight'!D9</f>
        <v>0.34134115220195843</v>
      </c>
      <c r="E9" s="32">
        <f>'Marginal Allocation Weight'!E9/'Total Allocation Weight'!E9</f>
        <v>0.34125229884114044</v>
      </c>
      <c r="F9" s="32">
        <f>'Marginal Allocation Weight'!F9/'Total Allocation Weight'!F9</f>
        <v>0.34115608302286105</v>
      </c>
      <c r="G9" s="32">
        <f>'Marginal Allocation Weight'!G9/'Total Allocation Weight'!G9</f>
        <v>0.34105247420608653</v>
      </c>
      <c r="H9" s="32">
        <f>'Marginal Allocation Weight'!H9/'Total Allocation Weight'!H9</f>
        <v>0.34094144406807037</v>
      </c>
      <c r="I9" s="32">
        <f>'Marginal Allocation Weight'!I9/'Total Allocation Weight'!I9</f>
        <v>0.34082296652868821</v>
      </c>
      <c r="J9" s="32">
        <f>'Marginal Allocation Weight'!J9/'Total Allocation Weight'!J9</f>
        <v>0.34069701777314204</v>
      </c>
      <c r="K9" s="32">
        <f>'Marginal Allocation Weight'!K9/'Total Allocation Weight'!K9</f>
        <v>0.34056357627299511</v>
      </c>
      <c r="L9" s="32">
        <f>'Marginal Allocation Weight'!L9/'Total Allocation Weight'!L9</f>
        <v>0.34042262280550606</v>
      </c>
      <c r="M9" s="32">
        <f>'Marginal Allocation Weight'!M9/'Total Allocation Weight'!M9</f>
        <v>0.34027414047122917</v>
      </c>
      <c r="N9" s="32">
        <f>'Marginal Allocation Weight'!N9/'Total Allocation Weight'!N9</f>
        <v>0.34011811470984754</v>
      </c>
      <c r="O9" s="32">
        <f>'Marginal Allocation Weight'!O9/'Total Allocation Weight'!O9</f>
        <v>0.33995453331421482</v>
      </c>
      <c r="P9" s="32">
        <f>'Marginal Allocation Weight'!P9/'Total Allocation Weight'!P9</f>
        <v>0.33978338644257694</v>
      </c>
      <c r="Q9" s="32">
        <f>'Marginal Allocation Weight'!Q9/'Total Allocation Weight'!Q9</f>
        <v>0.3396046666289505</v>
      </c>
      <c r="R9" s="32">
        <f>'Marginal Allocation Weight'!R9/'Total Allocation Weight'!R9</f>
        <v>0.33941836879163956</v>
      </c>
      <c r="S9" s="32">
        <f>'Marginal Allocation Weight'!S9/'Total Allocation Weight'!S9</f>
        <v>0.33922449023986617</v>
      </c>
      <c r="T9" s="32">
        <f>'Marginal Allocation Weight'!T9/'Total Allocation Weight'!T9</f>
        <v>0.3390230306785052</v>
      </c>
      <c r="U9" s="32">
        <f>'Marginal Allocation Weight'!U9/'Total Allocation Weight'!U9</f>
        <v>0.33881399221090602</v>
      </c>
      <c r="V9" s="32">
        <f>'Marginal Allocation Weight'!V9/'Total Allocation Weight'!V9</f>
        <v>0.33859737933978912</v>
      </c>
      <c r="W9" s="32">
        <f>'Marginal Allocation Weight'!W9/'Total Allocation Weight'!W9</f>
        <v>0.33837319896621348</v>
      </c>
    </row>
    <row r="11" spans="1:23">
      <c r="A11" s="42" t="s">
        <v>135</v>
      </c>
    </row>
    <row r="12" spans="1:23" s="23" customFormat="1">
      <c r="A12" s="40" t="str">
        <f>+'Device Energy Use'!A4</f>
        <v>Water Heat Ending</v>
      </c>
      <c r="B12" s="39">
        <f>'Levelized Costs'!B4</f>
        <v>2014</v>
      </c>
      <c r="C12" s="39">
        <f>'Levelized Costs'!C4</f>
        <v>2015</v>
      </c>
      <c r="D12" s="39">
        <f>'Levelized Costs'!D4</f>
        <v>2016</v>
      </c>
      <c r="E12" s="39">
        <f>'Levelized Costs'!E4</f>
        <v>2017</v>
      </c>
      <c r="F12" s="39">
        <f>'Levelized Costs'!F4</f>
        <v>2018</v>
      </c>
      <c r="G12" s="39">
        <f>'Levelized Costs'!G4</f>
        <v>2019</v>
      </c>
      <c r="H12" s="39">
        <f>'Levelized Costs'!H4</f>
        <v>2020</v>
      </c>
      <c r="I12" s="39">
        <f>'Levelized Costs'!I4</f>
        <v>2021</v>
      </c>
      <c r="J12" s="39">
        <f>'Levelized Costs'!J4</f>
        <v>2022</v>
      </c>
      <c r="K12" s="39">
        <f>'Levelized Costs'!K4</f>
        <v>2023</v>
      </c>
      <c r="L12" s="39">
        <f>'Levelized Costs'!L4</f>
        <v>2024</v>
      </c>
      <c r="M12" s="39">
        <f>'Levelized Costs'!M4</f>
        <v>2025</v>
      </c>
      <c r="N12" s="39">
        <f>'Levelized Costs'!N4</f>
        <v>2026</v>
      </c>
      <c r="O12" s="39">
        <f>'Levelized Costs'!O4</f>
        <v>2027</v>
      </c>
      <c r="P12" s="39">
        <f>'Levelized Costs'!P4</f>
        <v>2028</v>
      </c>
      <c r="Q12" s="39">
        <f>'Levelized Costs'!Q4</f>
        <v>2029</v>
      </c>
      <c r="R12" s="39">
        <f>'Levelized Costs'!R4</f>
        <v>2030</v>
      </c>
      <c r="S12" s="39">
        <f>'Levelized Costs'!S4</f>
        <v>2031</v>
      </c>
      <c r="T12" s="39">
        <f>'Levelized Costs'!T4</f>
        <v>2032</v>
      </c>
      <c r="U12" s="39">
        <f>'Levelized Costs'!U4</f>
        <v>2033</v>
      </c>
      <c r="V12" s="39">
        <f>'Levelized Costs'!V4</f>
        <v>2034</v>
      </c>
      <c r="W12" s="39">
        <f>'Levelized Costs'!W4</f>
        <v>2035</v>
      </c>
    </row>
    <row r="13" spans="1:23">
      <c r="A13" s="9" t="str">
        <f>+'Device Energy Use'!A5</f>
        <v>Electric Resistance</v>
      </c>
      <c r="B13" s="32">
        <v>0</v>
      </c>
      <c r="C13" s="32">
        <f>IF('Levelized Costs'!C5='Levelized Costs'!C$13,1,0)</f>
        <v>0</v>
      </c>
      <c r="D13" s="32">
        <f>IF('Levelized Costs'!D5='Levelized Costs'!D$13,1,0)</f>
        <v>0</v>
      </c>
      <c r="E13" s="32">
        <f>IF('Levelized Costs'!E5='Levelized Costs'!E$13,1,0)</f>
        <v>0</v>
      </c>
      <c r="F13" s="32">
        <f>IF('Levelized Costs'!F5='Levelized Costs'!F$13,1,0)</f>
        <v>0</v>
      </c>
      <c r="G13" s="32">
        <f>IF('Levelized Costs'!G5='Levelized Costs'!G$13,1,0)</f>
        <v>0</v>
      </c>
      <c r="H13" s="32">
        <f>IF('Levelized Costs'!H5='Levelized Costs'!H$13,1,0)</f>
        <v>0</v>
      </c>
      <c r="I13" s="32">
        <f>IF('Levelized Costs'!I5='Levelized Costs'!I$13,1,0)</f>
        <v>0</v>
      </c>
      <c r="J13" s="32">
        <f>IF('Levelized Costs'!J5='Levelized Costs'!J$13,1,0)</f>
        <v>0</v>
      </c>
      <c r="K13" s="32">
        <f>IF('Levelized Costs'!K5='Levelized Costs'!K$13,1,0)</f>
        <v>0</v>
      </c>
      <c r="L13" s="32">
        <f>IF('Levelized Costs'!L5='Levelized Costs'!L$13,1,0)</f>
        <v>0</v>
      </c>
      <c r="M13" s="32">
        <f>IF('Levelized Costs'!M5='Levelized Costs'!M$13,1,0)</f>
        <v>0</v>
      </c>
      <c r="N13" s="32">
        <f>IF('Levelized Costs'!N5='Levelized Costs'!N$13,1,0)</f>
        <v>0</v>
      </c>
      <c r="O13" s="32">
        <f>IF('Levelized Costs'!O5='Levelized Costs'!O$13,1,0)</f>
        <v>0</v>
      </c>
      <c r="P13" s="32">
        <f>IF('Levelized Costs'!P5='Levelized Costs'!P$13,1,0)</f>
        <v>0</v>
      </c>
      <c r="Q13" s="32">
        <f>IF('Levelized Costs'!Q5='Levelized Costs'!Q$13,1,0)</f>
        <v>0</v>
      </c>
      <c r="R13" s="32">
        <f>IF('Levelized Costs'!R5='Levelized Costs'!R$13,1,0)</f>
        <v>0</v>
      </c>
      <c r="S13" s="32">
        <f>IF('Levelized Costs'!S5='Levelized Costs'!S$13,1,0)</f>
        <v>0</v>
      </c>
      <c r="T13" s="32">
        <f>IF('Levelized Costs'!T5='Levelized Costs'!T$13,1,0)</f>
        <v>0</v>
      </c>
      <c r="U13" s="32">
        <f>IF('Levelized Costs'!U5='Levelized Costs'!U$13,1,0)</f>
        <v>0</v>
      </c>
      <c r="V13" s="32">
        <f>IF('Levelized Costs'!V5='Levelized Costs'!V$13,1,0)</f>
        <v>0</v>
      </c>
      <c r="W13" s="32">
        <f>IF('Levelized Costs'!W5='Levelized Costs'!W$13,1,0)</f>
        <v>0</v>
      </c>
    </row>
    <row r="14" spans="1:23">
      <c r="A14" s="9" t="str">
        <f>+'Device Energy Use'!A6</f>
        <v>HPWH</v>
      </c>
      <c r="B14" s="32">
        <v>0</v>
      </c>
      <c r="C14" s="32">
        <f>IF('Levelized Costs'!C6='Levelized Costs'!C$13,1,0)</f>
        <v>1</v>
      </c>
      <c r="D14" s="32">
        <f>IF('Levelized Costs'!D6='Levelized Costs'!D$13,1,0)</f>
        <v>1</v>
      </c>
      <c r="E14" s="32">
        <f>IF('Levelized Costs'!E6='Levelized Costs'!E$13,1,0)</f>
        <v>1</v>
      </c>
      <c r="F14" s="32">
        <f>IF('Levelized Costs'!F6='Levelized Costs'!F$13,1,0)</f>
        <v>1</v>
      </c>
      <c r="G14" s="32">
        <f>IF('Levelized Costs'!G6='Levelized Costs'!G$13,1,0)</f>
        <v>1</v>
      </c>
      <c r="H14" s="32">
        <f>IF('Levelized Costs'!H6='Levelized Costs'!H$13,1,0)</f>
        <v>1</v>
      </c>
      <c r="I14" s="32">
        <f>IF('Levelized Costs'!I6='Levelized Costs'!I$13,1,0)</f>
        <v>1</v>
      </c>
      <c r="J14" s="32">
        <f>IF('Levelized Costs'!J6='Levelized Costs'!J$13,1,0)</f>
        <v>1</v>
      </c>
      <c r="K14" s="32">
        <f>IF('Levelized Costs'!K6='Levelized Costs'!K$13,1,0)</f>
        <v>1</v>
      </c>
      <c r="L14" s="32">
        <f>IF('Levelized Costs'!L6='Levelized Costs'!L$13,1,0)</f>
        <v>1</v>
      </c>
      <c r="M14" s="32">
        <f>IF('Levelized Costs'!M6='Levelized Costs'!M$13,1,0)</f>
        <v>1</v>
      </c>
      <c r="N14" s="32">
        <f>IF('Levelized Costs'!N6='Levelized Costs'!N$13,1,0)</f>
        <v>1</v>
      </c>
      <c r="O14" s="32">
        <f>IF('Levelized Costs'!O6='Levelized Costs'!O$13,1,0)</f>
        <v>1</v>
      </c>
      <c r="P14" s="32">
        <f>IF('Levelized Costs'!P6='Levelized Costs'!P$13,1,0)</f>
        <v>1</v>
      </c>
      <c r="Q14" s="32">
        <f>IF('Levelized Costs'!Q6='Levelized Costs'!Q$13,1,0)</f>
        <v>1</v>
      </c>
      <c r="R14" s="32">
        <f>IF('Levelized Costs'!R6='Levelized Costs'!R$13,1,0)</f>
        <v>1</v>
      </c>
      <c r="S14" s="32">
        <f>IF('Levelized Costs'!S6='Levelized Costs'!S$13,1,0)</f>
        <v>1</v>
      </c>
      <c r="T14" s="32">
        <f>IF('Levelized Costs'!T6='Levelized Costs'!T$13,1,0)</f>
        <v>1</v>
      </c>
      <c r="U14" s="32">
        <f>IF('Levelized Costs'!U6='Levelized Costs'!U$13,1,0)</f>
        <v>1</v>
      </c>
      <c r="V14" s="32">
        <f>IF('Levelized Costs'!V6='Levelized Costs'!V$13,1,0)</f>
        <v>1</v>
      </c>
      <c r="W14" s="32">
        <f>IF('Levelized Costs'!W6='Levelized Costs'!W$13,1,0)</f>
        <v>1</v>
      </c>
    </row>
    <row r="15" spans="1:23">
      <c r="A15" s="9" t="str">
        <f>+'Device Energy Use'!A7</f>
        <v>Gas Tank</v>
      </c>
      <c r="B15" s="32">
        <v>0</v>
      </c>
      <c r="C15" s="32">
        <f>IF('Levelized Costs'!C7='Levelized Costs'!C$13,1,0)</f>
        <v>0</v>
      </c>
      <c r="D15" s="32">
        <f>IF('Levelized Costs'!D7='Levelized Costs'!D$13,1,0)</f>
        <v>0</v>
      </c>
      <c r="E15" s="32">
        <f>IF('Levelized Costs'!E7='Levelized Costs'!E$13,1,0)</f>
        <v>0</v>
      </c>
      <c r="F15" s="32">
        <f>IF('Levelized Costs'!F7='Levelized Costs'!F$13,1,0)</f>
        <v>0</v>
      </c>
      <c r="G15" s="32">
        <f>IF('Levelized Costs'!G7='Levelized Costs'!G$13,1,0)</f>
        <v>0</v>
      </c>
      <c r="H15" s="32">
        <f>IF('Levelized Costs'!H7='Levelized Costs'!H$13,1,0)</f>
        <v>0</v>
      </c>
      <c r="I15" s="32">
        <f>IF('Levelized Costs'!I7='Levelized Costs'!I$13,1,0)</f>
        <v>0</v>
      </c>
      <c r="J15" s="32">
        <f>IF('Levelized Costs'!J7='Levelized Costs'!J$13,1,0)</f>
        <v>0</v>
      </c>
      <c r="K15" s="32">
        <f>IF('Levelized Costs'!K7='Levelized Costs'!K$13,1,0)</f>
        <v>0</v>
      </c>
      <c r="L15" s="32">
        <f>IF('Levelized Costs'!L7='Levelized Costs'!L$13,1,0)</f>
        <v>0</v>
      </c>
      <c r="M15" s="32">
        <f>IF('Levelized Costs'!M7='Levelized Costs'!M$13,1,0)</f>
        <v>0</v>
      </c>
      <c r="N15" s="32">
        <f>IF('Levelized Costs'!N7='Levelized Costs'!N$13,1,0)</f>
        <v>0</v>
      </c>
      <c r="O15" s="32">
        <f>IF('Levelized Costs'!O7='Levelized Costs'!O$13,1,0)</f>
        <v>0</v>
      </c>
      <c r="P15" s="32">
        <f>IF('Levelized Costs'!P7='Levelized Costs'!P$13,1,0)</f>
        <v>0</v>
      </c>
      <c r="Q15" s="32">
        <f>IF('Levelized Costs'!Q7='Levelized Costs'!Q$13,1,0)</f>
        <v>0</v>
      </c>
      <c r="R15" s="32">
        <f>IF('Levelized Costs'!R7='Levelized Costs'!R$13,1,0)</f>
        <v>0</v>
      </c>
      <c r="S15" s="32">
        <f>IF('Levelized Costs'!S7='Levelized Costs'!S$13,1,0)</f>
        <v>0</v>
      </c>
      <c r="T15" s="32">
        <f>IF('Levelized Costs'!T7='Levelized Costs'!T$13,1,0)</f>
        <v>0</v>
      </c>
      <c r="U15" s="32">
        <f>IF('Levelized Costs'!U7='Levelized Costs'!U$13,1,0)</f>
        <v>0</v>
      </c>
      <c r="V15" s="32">
        <f>IF('Levelized Costs'!V7='Levelized Costs'!V$13,1,0)</f>
        <v>0</v>
      </c>
      <c r="W15" s="32">
        <f>IF('Levelized Costs'!W7='Levelized Costs'!W$13,1,0)</f>
        <v>0</v>
      </c>
    </row>
    <row r="16" spans="1:23">
      <c r="A16" s="9" t="str">
        <f>+'Device Energy Use'!A8</f>
        <v>Instant Gas</v>
      </c>
      <c r="B16" s="32">
        <v>0</v>
      </c>
      <c r="C16" s="32">
        <f>IF('Levelized Costs'!C8='Levelized Costs'!C$13,1,0)</f>
        <v>0</v>
      </c>
      <c r="D16" s="32">
        <f>IF('Levelized Costs'!D8='Levelized Costs'!D$13,1,0)</f>
        <v>0</v>
      </c>
      <c r="E16" s="32">
        <f>IF('Levelized Costs'!E8='Levelized Costs'!E$13,1,0)</f>
        <v>0</v>
      </c>
      <c r="F16" s="32">
        <f>IF('Levelized Costs'!F8='Levelized Costs'!F$13,1,0)</f>
        <v>0</v>
      </c>
      <c r="G16" s="32">
        <f>IF('Levelized Costs'!G8='Levelized Costs'!G$13,1,0)</f>
        <v>0</v>
      </c>
      <c r="H16" s="32">
        <f>IF('Levelized Costs'!H8='Levelized Costs'!H$13,1,0)</f>
        <v>0</v>
      </c>
      <c r="I16" s="32">
        <f>IF('Levelized Costs'!I8='Levelized Costs'!I$13,1,0)</f>
        <v>0</v>
      </c>
      <c r="J16" s="32">
        <f>IF('Levelized Costs'!J8='Levelized Costs'!J$13,1,0)</f>
        <v>0</v>
      </c>
      <c r="K16" s="32">
        <f>IF('Levelized Costs'!K8='Levelized Costs'!K$13,1,0)</f>
        <v>0</v>
      </c>
      <c r="L16" s="32">
        <f>IF('Levelized Costs'!L8='Levelized Costs'!L$13,1,0)</f>
        <v>0</v>
      </c>
      <c r="M16" s="32">
        <f>IF('Levelized Costs'!M8='Levelized Costs'!M$13,1,0)</f>
        <v>0</v>
      </c>
      <c r="N16" s="32">
        <f>IF('Levelized Costs'!N8='Levelized Costs'!N$13,1,0)</f>
        <v>0</v>
      </c>
      <c r="O16" s="32">
        <f>IF('Levelized Costs'!O8='Levelized Costs'!O$13,1,0)</f>
        <v>0</v>
      </c>
      <c r="P16" s="32">
        <f>IF('Levelized Costs'!P8='Levelized Costs'!P$13,1,0)</f>
        <v>0</v>
      </c>
      <c r="Q16" s="32">
        <f>IF('Levelized Costs'!Q8='Levelized Costs'!Q$13,1,0)</f>
        <v>0</v>
      </c>
      <c r="R16" s="32">
        <f>IF('Levelized Costs'!R8='Levelized Costs'!R$13,1,0)</f>
        <v>0</v>
      </c>
      <c r="S16" s="32">
        <f>IF('Levelized Costs'!S8='Levelized Costs'!S$13,1,0)</f>
        <v>0</v>
      </c>
      <c r="T16" s="32">
        <f>IF('Levelized Costs'!T8='Levelized Costs'!T$13,1,0)</f>
        <v>0</v>
      </c>
      <c r="U16" s="32">
        <f>IF('Levelized Costs'!U8='Levelized Costs'!U$13,1,0)</f>
        <v>0</v>
      </c>
      <c r="V16" s="32">
        <f>IF('Levelized Costs'!V8='Levelized Costs'!V$13,1,0)</f>
        <v>0</v>
      </c>
      <c r="W16" s="32">
        <f>IF('Levelized Costs'!W8='Levelized Costs'!W$13,1,0)</f>
        <v>0</v>
      </c>
    </row>
    <row r="17" spans="1:23">
      <c r="A17" s="9" t="str">
        <f>+'Device Energy Use'!A9</f>
        <v>Condensing Gas</v>
      </c>
      <c r="B17" s="32">
        <v>0</v>
      </c>
      <c r="C17" s="32">
        <f>IF('Levelized Costs'!C9='Levelized Costs'!C$13,1,0)</f>
        <v>0</v>
      </c>
      <c r="D17" s="32">
        <f>IF('Levelized Costs'!D9='Levelized Costs'!D$13,1,0)</f>
        <v>0</v>
      </c>
      <c r="E17" s="32">
        <f>IF('Levelized Costs'!E9='Levelized Costs'!E$13,1,0)</f>
        <v>0</v>
      </c>
      <c r="F17" s="32">
        <f>IF('Levelized Costs'!F9='Levelized Costs'!F$13,1,0)</f>
        <v>0</v>
      </c>
      <c r="G17" s="32">
        <f>IF('Levelized Costs'!G9='Levelized Costs'!G$13,1,0)</f>
        <v>0</v>
      </c>
      <c r="H17" s="32">
        <f>IF('Levelized Costs'!H9='Levelized Costs'!H$13,1,0)</f>
        <v>0</v>
      </c>
      <c r="I17" s="32">
        <f>IF('Levelized Costs'!I9='Levelized Costs'!I$13,1,0)</f>
        <v>0</v>
      </c>
      <c r="J17" s="32">
        <f>IF('Levelized Costs'!J9='Levelized Costs'!J$13,1,0)</f>
        <v>0</v>
      </c>
      <c r="K17" s="32">
        <f>IF('Levelized Costs'!K9='Levelized Costs'!K$13,1,0)</f>
        <v>0</v>
      </c>
      <c r="L17" s="32">
        <f>IF('Levelized Costs'!L9='Levelized Costs'!L$13,1,0)</f>
        <v>0</v>
      </c>
      <c r="M17" s="32">
        <f>IF('Levelized Costs'!M9='Levelized Costs'!M$13,1,0)</f>
        <v>0</v>
      </c>
      <c r="N17" s="32">
        <f>IF('Levelized Costs'!N9='Levelized Costs'!N$13,1,0)</f>
        <v>0</v>
      </c>
      <c r="O17" s="32">
        <f>IF('Levelized Costs'!O9='Levelized Costs'!O$13,1,0)</f>
        <v>0</v>
      </c>
      <c r="P17" s="32">
        <f>IF('Levelized Costs'!P9='Levelized Costs'!P$13,1,0)</f>
        <v>0</v>
      </c>
      <c r="Q17" s="32">
        <f>IF('Levelized Costs'!Q9='Levelized Costs'!Q$13,1,0)</f>
        <v>0</v>
      </c>
      <c r="R17" s="32">
        <f>IF('Levelized Costs'!R9='Levelized Costs'!R$13,1,0)</f>
        <v>0</v>
      </c>
      <c r="S17" s="32">
        <f>IF('Levelized Costs'!S9='Levelized Costs'!S$13,1,0)</f>
        <v>0</v>
      </c>
      <c r="T17" s="32">
        <f>IF('Levelized Costs'!T9='Levelized Costs'!T$13,1,0)</f>
        <v>0</v>
      </c>
      <c r="U17" s="32">
        <f>IF('Levelized Costs'!U9='Levelized Costs'!U$13,1,0)</f>
        <v>0</v>
      </c>
      <c r="V17" s="32">
        <f>IF('Levelized Costs'!V9='Levelized Costs'!V$13,1,0)</f>
        <v>0</v>
      </c>
      <c r="W17" s="32">
        <f>IF('Levelized Costs'!W9='Levelized Costs'!W$13,1,0)</f>
        <v>0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8"/>
  <dimension ref="A1:W10"/>
  <sheetViews>
    <sheetView workbookViewId="0">
      <selection activeCell="E7" sqref="E7"/>
    </sheetView>
  </sheetViews>
  <sheetFormatPr defaultRowHeight="15"/>
  <cols>
    <col min="1" max="1" width="20.7109375" customWidth="1"/>
    <col min="2" max="8" width="9.7109375" customWidth="1"/>
    <col min="9" max="24" width="10.28515625" customWidth="1"/>
  </cols>
  <sheetData>
    <row r="1" spans="1:23" ht="15.75">
      <c r="A1" s="147" t="str">
        <f>CONCATENATE("Segment:  ",State,", Single Family, ", SpaceHeat, ", ", TankSize,", ", StartWH, " is starting water heater")</f>
        <v>Segment:  Oregon, Single Family, Gas FAF, &gt;55 Gallons, Electric Resistance is starting water heater</v>
      </c>
    </row>
    <row r="3" spans="1:23" s="9" customFormat="1" ht="15.75">
      <c r="A3" s="12" t="s">
        <v>41</v>
      </c>
    </row>
    <row r="4" spans="1:23" s="9" customFormat="1" ht="15.75">
      <c r="A4" s="40" t="str">
        <f>'Device Energy Use'!A4</f>
        <v>Water Heat Ending</v>
      </c>
      <c r="B4" s="39">
        <f>+'Marginal Market Share'!B4</f>
        <v>2014</v>
      </c>
      <c r="C4" s="39">
        <f>+'Marginal Market Share'!C4</f>
        <v>2015</v>
      </c>
      <c r="D4" s="39">
        <f>+'Marginal Market Share'!D4</f>
        <v>2016</v>
      </c>
      <c r="E4" s="39">
        <f>+'Marginal Market Share'!E4</f>
        <v>2017</v>
      </c>
      <c r="F4" s="39">
        <f>+'Marginal Market Share'!F4</f>
        <v>2018</v>
      </c>
      <c r="G4" s="39">
        <f>+'Marginal Market Share'!G4</f>
        <v>2019</v>
      </c>
      <c r="H4" s="39">
        <f>+'Marginal Market Share'!H4</f>
        <v>2020</v>
      </c>
      <c r="I4" s="39">
        <f>+'Marginal Market Share'!I4</f>
        <v>2021</v>
      </c>
      <c r="J4" s="39">
        <f>+'Marginal Market Share'!J4</f>
        <v>2022</v>
      </c>
      <c r="K4" s="39">
        <f>+'Marginal Market Share'!K4</f>
        <v>2023</v>
      </c>
      <c r="L4" s="39">
        <f>+'Marginal Market Share'!L4</f>
        <v>2024</v>
      </c>
      <c r="M4" s="39">
        <f>+'Marginal Market Share'!M4</f>
        <v>2025</v>
      </c>
      <c r="N4" s="39">
        <f>+'Marginal Market Share'!N4</f>
        <v>2026</v>
      </c>
      <c r="O4" s="39">
        <f>+'Marginal Market Share'!O4</f>
        <v>2027</v>
      </c>
      <c r="P4" s="39">
        <f>+'Marginal Market Share'!P4</f>
        <v>2028</v>
      </c>
      <c r="Q4" s="39">
        <f>+'Marginal Market Share'!Q4</f>
        <v>2029</v>
      </c>
      <c r="R4" s="39">
        <f>+'Marginal Market Share'!R4</f>
        <v>2030</v>
      </c>
      <c r="S4" s="39">
        <f>+'Marginal Market Share'!S4</f>
        <v>2031</v>
      </c>
      <c r="T4" s="39">
        <f>+'Marginal Market Share'!T4</f>
        <v>2032</v>
      </c>
      <c r="U4" s="39">
        <f>+'Marginal Market Share'!U4</f>
        <v>2033</v>
      </c>
      <c r="V4" s="39">
        <f>+'Marginal Market Share'!V4</f>
        <v>2034</v>
      </c>
      <c r="W4" s="39">
        <f>+'Marginal Market Share'!W4</f>
        <v>2035</v>
      </c>
    </row>
    <row r="5" spans="1:23" s="9" customFormat="1" ht="15.75">
      <c r="A5" s="9" t="str">
        <f>+'Marginal Market Share'!A5</f>
        <v>Electric Resistance</v>
      </c>
      <c r="B5" s="130">
        <f>SUM('Marginal Allocation Weight'!B$5:B$9)</f>
        <v>22029.04732389086</v>
      </c>
      <c r="C5" s="130">
        <f>SUM('Marginal Allocation Weight'!C$5:C$9)</f>
        <v>2.6093289396365513</v>
      </c>
      <c r="D5" s="130">
        <f>SUM('Marginal Allocation Weight'!D$5:D$9)</f>
        <v>2.6372495514836238</v>
      </c>
      <c r="E5" s="130">
        <f>SUM('Marginal Allocation Weight'!E$5:E$9)</f>
        <v>2.6653336112058534</v>
      </c>
      <c r="F5" s="130">
        <f>SUM('Marginal Allocation Weight'!F$5:F$9)</f>
        <v>2.6935783293378908</v>
      </c>
      <c r="G5" s="130">
        <f>SUM('Marginal Allocation Weight'!G$5:G$9)</f>
        <v>2.7219808358211601</v>
      </c>
      <c r="H5" s="130">
        <f>SUM('Marginal Allocation Weight'!H$5:H$9)</f>
        <v>2.7505381805320752</v>
      </c>
      <c r="I5" s="130">
        <f>SUM('Marginal Allocation Weight'!I$5:I$9)</f>
        <v>2.7792473338736485</v>
      </c>
      <c r="J5" s="130">
        <f>SUM('Marginal Allocation Weight'!J$5:J$9)</f>
        <v>2.8081051874306802</v>
      </c>
      <c r="K5" s="130">
        <f>SUM('Marginal Allocation Weight'!K$5:K$9)</f>
        <v>2.837108554688589</v>
      </c>
      <c r="L5" s="130">
        <f>SUM('Marginal Allocation Weight'!L$5:L$9)</f>
        <v>2.8662541718159202</v>
      </c>
      <c r="M5" s="130">
        <f>SUM('Marginal Allocation Weight'!M$5:M$9)</f>
        <v>2.8955386985104568</v>
      </c>
      <c r="N5" s="130">
        <f>SUM('Marginal Allocation Weight'!N$5:N$9)</f>
        <v>2.9249587189087913</v>
      </c>
      <c r="O5" s="130">
        <f>SUM('Marginal Allocation Weight'!O$5:O$9)</f>
        <v>2.9545107425591461</v>
      </c>
      <c r="P5" s="130">
        <f>SUM('Marginal Allocation Weight'!P$5:P$9)</f>
        <v>2.98419120545713</v>
      </c>
      <c r="Q5" s="130">
        <f>SUM('Marginal Allocation Weight'!Q$5:Q$9)</f>
        <v>3.0139964711440821</v>
      </c>
      <c r="R5" s="130">
        <f>SUM('Marginal Allocation Weight'!R$5:R$9)</f>
        <v>3.043922831867512</v>
      </c>
      <c r="S5" s="130">
        <f>SUM('Marginal Allocation Weight'!S$5:S$9)</f>
        <v>3.073966509803145</v>
      </c>
      <c r="T5" s="130">
        <f>SUM('Marginal Allocation Weight'!T$5:T$9)</f>
        <v>3.1041236583379286</v>
      </c>
      <c r="U5" s="130">
        <f>SUM('Marginal Allocation Weight'!U$5:U$9)</f>
        <v>3.1343903634133286</v>
      </c>
      <c r="V5" s="130">
        <f>SUM('Marginal Allocation Weight'!V$5:V$9)</f>
        <v>3.1647626449281523</v>
      </c>
      <c r="W5" s="130">
        <f>SUM('Marginal Allocation Weight'!W$5:W$9)</f>
        <v>3.1952364582000445</v>
      </c>
    </row>
    <row r="6" spans="1:23" s="9" customFormat="1" ht="15.75">
      <c r="A6" s="9" t="str">
        <f>+'Marginal Market Share'!A6</f>
        <v>HPWH</v>
      </c>
      <c r="B6" s="130">
        <f>SUM('Marginal Allocation Weight'!B$5:B$9)</f>
        <v>22029.04732389086</v>
      </c>
      <c r="C6" s="130">
        <f>SUM('Marginal Allocation Weight'!C$5:C$9)</f>
        <v>2.6093289396365513</v>
      </c>
      <c r="D6" s="130">
        <f>SUM('Marginal Allocation Weight'!D$5:D$9)</f>
        <v>2.6372495514836238</v>
      </c>
      <c r="E6" s="130">
        <f>SUM('Marginal Allocation Weight'!E$5:E$9)</f>
        <v>2.6653336112058534</v>
      </c>
      <c r="F6" s="130">
        <f>SUM('Marginal Allocation Weight'!F$5:F$9)</f>
        <v>2.6935783293378908</v>
      </c>
      <c r="G6" s="130">
        <f>SUM('Marginal Allocation Weight'!G$5:G$9)</f>
        <v>2.7219808358211601</v>
      </c>
      <c r="H6" s="130">
        <f>SUM('Marginal Allocation Weight'!H$5:H$9)</f>
        <v>2.7505381805320752</v>
      </c>
      <c r="I6" s="130">
        <f>SUM('Marginal Allocation Weight'!I$5:I$9)</f>
        <v>2.7792473338736485</v>
      </c>
      <c r="J6" s="130">
        <f>SUM('Marginal Allocation Weight'!J$5:J$9)</f>
        <v>2.8081051874306802</v>
      </c>
      <c r="K6" s="130">
        <f>SUM('Marginal Allocation Weight'!K$5:K$9)</f>
        <v>2.837108554688589</v>
      </c>
      <c r="L6" s="130">
        <f>SUM('Marginal Allocation Weight'!L$5:L$9)</f>
        <v>2.8662541718159202</v>
      </c>
      <c r="M6" s="130">
        <f>SUM('Marginal Allocation Weight'!M$5:M$9)</f>
        <v>2.8955386985104568</v>
      </c>
      <c r="N6" s="130">
        <f>SUM('Marginal Allocation Weight'!N$5:N$9)</f>
        <v>2.9249587189087913</v>
      </c>
      <c r="O6" s="130">
        <f>SUM('Marginal Allocation Weight'!O$5:O$9)</f>
        <v>2.9545107425591461</v>
      </c>
      <c r="P6" s="130">
        <f>SUM('Marginal Allocation Weight'!P$5:P$9)</f>
        <v>2.98419120545713</v>
      </c>
      <c r="Q6" s="130">
        <f>SUM('Marginal Allocation Weight'!Q$5:Q$9)</f>
        <v>3.0139964711440821</v>
      </c>
      <c r="R6" s="130">
        <f>SUM('Marginal Allocation Weight'!R$5:R$9)</f>
        <v>3.043922831867512</v>
      </c>
      <c r="S6" s="130">
        <f>SUM('Marginal Allocation Weight'!S$5:S$9)</f>
        <v>3.073966509803145</v>
      </c>
      <c r="T6" s="130">
        <f>SUM('Marginal Allocation Weight'!T$5:T$9)</f>
        <v>3.1041236583379286</v>
      </c>
      <c r="U6" s="130">
        <f>SUM('Marginal Allocation Weight'!U$5:U$9)</f>
        <v>3.1343903634133286</v>
      </c>
      <c r="V6" s="130">
        <f>SUM('Marginal Allocation Weight'!V$5:V$9)</f>
        <v>3.1647626449281523</v>
      </c>
      <c r="W6" s="130">
        <f>SUM('Marginal Allocation Weight'!W$5:W$9)</f>
        <v>3.1952364582000445</v>
      </c>
    </row>
    <row r="7" spans="1:23" s="9" customFormat="1" ht="15.75">
      <c r="A7" s="9" t="str">
        <f>+'Marginal Market Share'!A7</f>
        <v>Gas Tank</v>
      </c>
      <c r="B7" s="130">
        <f>SUM('Marginal Allocation Weight'!B$5:B$9)</f>
        <v>22029.04732389086</v>
      </c>
      <c r="C7" s="130">
        <f>SUM('Marginal Allocation Weight'!C$5:C$9)</f>
        <v>2.6093289396365513</v>
      </c>
      <c r="D7" s="130">
        <f>SUM('Marginal Allocation Weight'!D$5:D$9)</f>
        <v>2.6372495514836238</v>
      </c>
      <c r="E7" s="130">
        <f>SUM('Marginal Allocation Weight'!E$5:E$9)</f>
        <v>2.6653336112058534</v>
      </c>
      <c r="F7" s="130">
        <f>SUM('Marginal Allocation Weight'!F$5:F$9)</f>
        <v>2.6935783293378908</v>
      </c>
      <c r="G7" s="130">
        <f>SUM('Marginal Allocation Weight'!G$5:G$9)</f>
        <v>2.7219808358211601</v>
      </c>
      <c r="H7" s="130">
        <f>SUM('Marginal Allocation Weight'!H$5:H$9)</f>
        <v>2.7505381805320752</v>
      </c>
      <c r="I7" s="130">
        <f>SUM('Marginal Allocation Weight'!I$5:I$9)</f>
        <v>2.7792473338736485</v>
      </c>
      <c r="J7" s="130">
        <f>SUM('Marginal Allocation Weight'!J$5:J$9)</f>
        <v>2.8081051874306802</v>
      </c>
      <c r="K7" s="130">
        <f>SUM('Marginal Allocation Weight'!K$5:K$9)</f>
        <v>2.837108554688589</v>
      </c>
      <c r="L7" s="130">
        <f>SUM('Marginal Allocation Weight'!L$5:L$9)</f>
        <v>2.8662541718159202</v>
      </c>
      <c r="M7" s="130">
        <f>SUM('Marginal Allocation Weight'!M$5:M$9)</f>
        <v>2.8955386985104568</v>
      </c>
      <c r="N7" s="130">
        <f>SUM('Marginal Allocation Weight'!N$5:N$9)</f>
        <v>2.9249587189087913</v>
      </c>
      <c r="O7" s="130">
        <f>SUM('Marginal Allocation Weight'!O$5:O$9)</f>
        <v>2.9545107425591461</v>
      </c>
      <c r="P7" s="130">
        <f>SUM('Marginal Allocation Weight'!P$5:P$9)</f>
        <v>2.98419120545713</v>
      </c>
      <c r="Q7" s="130">
        <f>SUM('Marginal Allocation Weight'!Q$5:Q$9)</f>
        <v>3.0139964711440821</v>
      </c>
      <c r="R7" s="130">
        <f>SUM('Marginal Allocation Weight'!R$5:R$9)</f>
        <v>3.043922831867512</v>
      </c>
      <c r="S7" s="130">
        <f>SUM('Marginal Allocation Weight'!S$5:S$9)</f>
        <v>3.073966509803145</v>
      </c>
      <c r="T7" s="130">
        <f>SUM('Marginal Allocation Weight'!T$5:T$9)</f>
        <v>3.1041236583379286</v>
      </c>
      <c r="U7" s="130">
        <f>SUM('Marginal Allocation Weight'!U$5:U$9)</f>
        <v>3.1343903634133286</v>
      </c>
      <c r="V7" s="130">
        <f>SUM('Marginal Allocation Weight'!V$5:V$9)</f>
        <v>3.1647626449281523</v>
      </c>
      <c r="W7" s="130">
        <f>SUM('Marginal Allocation Weight'!W$5:W$9)</f>
        <v>3.1952364582000445</v>
      </c>
    </row>
    <row r="8" spans="1:23" s="9" customFormat="1" ht="15.75">
      <c r="A8" s="9" t="str">
        <f>+'Marginal Market Share'!A8</f>
        <v>Instant Gas</v>
      </c>
      <c r="B8" s="130">
        <f>SUM('Marginal Allocation Weight'!B$5:B$9)</f>
        <v>22029.04732389086</v>
      </c>
      <c r="C8" s="130">
        <f>SUM('Marginal Allocation Weight'!C$5:C$9)</f>
        <v>2.6093289396365513</v>
      </c>
      <c r="D8" s="130">
        <f>SUM('Marginal Allocation Weight'!D$5:D$9)</f>
        <v>2.6372495514836238</v>
      </c>
      <c r="E8" s="130">
        <f>SUM('Marginal Allocation Weight'!E$5:E$9)</f>
        <v>2.6653336112058534</v>
      </c>
      <c r="F8" s="130">
        <f>SUM('Marginal Allocation Weight'!F$5:F$9)</f>
        <v>2.6935783293378908</v>
      </c>
      <c r="G8" s="130">
        <f>SUM('Marginal Allocation Weight'!G$5:G$9)</f>
        <v>2.7219808358211601</v>
      </c>
      <c r="H8" s="130">
        <f>SUM('Marginal Allocation Weight'!H$5:H$9)</f>
        <v>2.7505381805320752</v>
      </c>
      <c r="I8" s="130">
        <f>SUM('Marginal Allocation Weight'!I$5:I$9)</f>
        <v>2.7792473338736485</v>
      </c>
      <c r="J8" s="130">
        <f>SUM('Marginal Allocation Weight'!J$5:J$9)</f>
        <v>2.8081051874306802</v>
      </c>
      <c r="K8" s="130">
        <f>SUM('Marginal Allocation Weight'!K$5:K$9)</f>
        <v>2.837108554688589</v>
      </c>
      <c r="L8" s="130">
        <f>SUM('Marginal Allocation Weight'!L$5:L$9)</f>
        <v>2.8662541718159202</v>
      </c>
      <c r="M8" s="130">
        <f>SUM('Marginal Allocation Weight'!M$5:M$9)</f>
        <v>2.8955386985104568</v>
      </c>
      <c r="N8" s="130">
        <f>SUM('Marginal Allocation Weight'!N$5:N$9)</f>
        <v>2.9249587189087913</v>
      </c>
      <c r="O8" s="130">
        <f>SUM('Marginal Allocation Weight'!O$5:O$9)</f>
        <v>2.9545107425591461</v>
      </c>
      <c r="P8" s="130">
        <f>SUM('Marginal Allocation Weight'!P$5:P$9)</f>
        <v>2.98419120545713</v>
      </c>
      <c r="Q8" s="130">
        <f>SUM('Marginal Allocation Weight'!Q$5:Q$9)</f>
        <v>3.0139964711440821</v>
      </c>
      <c r="R8" s="130">
        <f>SUM('Marginal Allocation Weight'!R$5:R$9)</f>
        <v>3.043922831867512</v>
      </c>
      <c r="S8" s="130">
        <f>SUM('Marginal Allocation Weight'!S$5:S$9)</f>
        <v>3.073966509803145</v>
      </c>
      <c r="T8" s="130">
        <f>SUM('Marginal Allocation Weight'!T$5:T$9)</f>
        <v>3.1041236583379286</v>
      </c>
      <c r="U8" s="130">
        <f>SUM('Marginal Allocation Weight'!U$5:U$9)</f>
        <v>3.1343903634133286</v>
      </c>
      <c r="V8" s="130">
        <f>SUM('Marginal Allocation Weight'!V$5:V$9)</f>
        <v>3.1647626449281523</v>
      </c>
      <c r="W8" s="130">
        <f>SUM('Marginal Allocation Weight'!W$5:W$9)</f>
        <v>3.1952364582000445</v>
      </c>
    </row>
    <row r="9" spans="1:23" s="9" customFormat="1" ht="15.75">
      <c r="A9" s="9" t="str">
        <f>+'Marginal Market Share'!A9</f>
        <v>Condensing Gas</v>
      </c>
      <c r="B9" s="130">
        <f>SUM('Marginal Allocation Weight'!B$5:B$9)</f>
        <v>22029.04732389086</v>
      </c>
      <c r="C9" s="130">
        <f>SUM('Marginal Allocation Weight'!C$5:C$9)</f>
        <v>2.6093289396365513</v>
      </c>
      <c r="D9" s="130">
        <f>SUM('Marginal Allocation Weight'!D$5:D$9)</f>
        <v>2.6372495514836238</v>
      </c>
      <c r="E9" s="130">
        <f>SUM('Marginal Allocation Weight'!E$5:E$9)</f>
        <v>2.6653336112058534</v>
      </c>
      <c r="F9" s="130">
        <f>SUM('Marginal Allocation Weight'!F$5:F$9)</f>
        <v>2.6935783293378908</v>
      </c>
      <c r="G9" s="130">
        <f>SUM('Marginal Allocation Weight'!G$5:G$9)</f>
        <v>2.7219808358211601</v>
      </c>
      <c r="H9" s="130">
        <f>SUM('Marginal Allocation Weight'!H$5:H$9)</f>
        <v>2.7505381805320752</v>
      </c>
      <c r="I9" s="130">
        <f>SUM('Marginal Allocation Weight'!I$5:I$9)</f>
        <v>2.7792473338736485</v>
      </c>
      <c r="J9" s="130">
        <f>SUM('Marginal Allocation Weight'!J$5:J$9)</f>
        <v>2.8081051874306802</v>
      </c>
      <c r="K9" s="130">
        <f>SUM('Marginal Allocation Weight'!K$5:K$9)</f>
        <v>2.837108554688589</v>
      </c>
      <c r="L9" s="130">
        <f>SUM('Marginal Allocation Weight'!L$5:L$9)</f>
        <v>2.8662541718159202</v>
      </c>
      <c r="M9" s="130">
        <f>SUM('Marginal Allocation Weight'!M$5:M$9)</f>
        <v>2.8955386985104568</v>
      </c>
      <c r="N9" s="130">
        <f>SUM('Marginal Allocation Weight'!N$5:N$9)</f>
        <v>2.9249587189087913</v>
      </c>
      <c r="O9" s="130">
        <f>SUM('Marginal Allocation Weight'!O$5:O$9)</f>
        <v>2.9545107425591461</v>
      </c>
      <c r="P9" s="130">
        <f>SUM('Marginal Allocation Weight'!P$5:P$9)</f>
        <v>2.98419120545713</v>
      </c>
      <c r="Q9" s="130">
        <f>SUM('Marginal Allocation Weight'!Q$5:Q$9)</f>
        <v>3.0139964711440821</v>
      </c>
      <c r="R9" s="130">
        <f>SUM('Marginal Allocation Weight'!R$5:R$9)</f>
        <v>3.043922831867512</v>
      </c>
      <c r="S9" s="130">
        <f>SUM('Marginal Allocation Weight'!S$5:S$9)</f>
        <v>3.073966509803145</v>
      </c>
      <c r="T9" s="130">
        <f>SUM('Marginal Allocation Weight'!T$5:T$9)</f>
        <v>3.1041236583379286</v>
      </c>
      <c r="U9" s="130">
        <f>SUM('Marginal Allocation Weight'!U$5:U$9)</f>
        <v>3.1343903634133286</v>
      </c>
      <c r="V9" s="130">
        <f>SUM('Marginal Allocation Weight'!V$5:V$9)</f>
        <v>3.1647626449281523</v>
      </c>
      <c r="W9" s="130">
        <f>SUM('Marginal Allocation Weight'!W$5:W$9)</f>
        <v>3.1952364582000445</v>
      </c>
    </row>
    <row r="10" spans="1:23" s="9" customFormat="1" ht="15.75">
      <c r="A10"/>
      <c r="B10"/>
      <c r="C10"/>
      <c r="D10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9"/>
  <dimension ref="A1:AC10"/>
  <sheetViews>
    <sheetView workbookViewId="0">
      <selection activeCell="B5" sqref="B5"/>
    </sheetView>
  </sheetViews>
  <sheetFormatPr defaultColWidth="9.140625" defaultRowHeight="15.75"/>
  <cols>
    <col min="1" max="1" width="20.7109375" style="9" customWidth="1"/>
    <col min="2" max="9" width="11.7109375" style="9" customWidth="1"/>
    <col min="10" max="10" width="12.42578125" style="9" bestFit="1" customWidth="1"/>
    <col min="11" max="14" width="13.7109375" style="9" bestFit="1" customWidth="1"/>
    <col min="15" max="15" width="12.42578125" style="9" bestFit="1" customWidth="1"/>
    <col min="16" max="28" width="13.7109375" style="9" bestFit="1" customWidth="1"/>
    <col min="29" max="29" width="12.42578125" style="9" bestFit="1" customWidth="1"/>
    <col min="30" max="16384" width="9.140625" style="9"/>
  </cols>
  <sheetData>
    <row r="1" spans="1:29">
      <c r="A1" s="147" t="str">
        <f>CONCATENATE("Segment:  ",State,", Single Family, ", SpaceHeat, ", ", TankSize,", ", StartWH, " is starting water heater")</f>
        <v>Segment:  Oregon, Single Family, Gas FAF, &gt;55 Gallons, Electric Resistance is starting water heater</v>
      </c>
    </row>
    <row r="3" spans="1:29">
      <c r="A3" s="12" t="s">
        <v>40</v>
      </c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</row>
    <row r="4" spans="1:29">
      <c r="A4" s="38" t="str">
        <f>'Device Energy Use'!A4</f>
        <v>Water Heat Ending</v>
      </c>
      <c r="B4" s="39">
        <f>'Levelized Costs'!B4</f>
        <v>2014</v>
      </c>
      <c r="C4" s="39">
        <f>'Levelized Costs'!C4</f>
        <v>2015</v>
      </c>
      <c r="D4" s="39">
        <f>'Levelized Costs'!D4</f>
        <v>2016</v>
      </c>
      <c r="E4" s="39">
        <f>'Levelized Costs'!E4</f>
        <v>2017</v>
      </c>
      <c r="F4" s="39">
        <f>'Levelized Costs'!F4</f>
        <v>2018</v>
      </c>
      <c r="G4" s="39">
        <f>'Levelized Costs'!G4</f>
        <v>2019</v>
      </c>
      <c r="H4" s="39">
        <f>'Levelized Costs'!H4</f>
        <v>2020</v>
      </c>
      <c r="I4" s="39">
        <f>'Levelized Costs'!I4</f>
        <v>2021</v>
      </c>
      <c r="J4" s="39">
        <f>'Levelized Costs'!J4</f>
        <v>2022</v>
      </c>
      <c r="K4" s="39">
        <f>'Levelized Costs'!K4</f>
        <v>2023</v>
      </c>
      <c r="L4" s="39">
        <f>'Levelized Costs'!L4</f>
        <v>2024</v>
      </c>
      <c r="M4" s="39">
        <f>'Levelized Costs'!M4</f>
        <v>2025</v>
      </c>
      <c r="N4" s="39">
        <f>'Levelized Costs'!N4</f>
        <v>2026</v>
      </c>
      <c r="O4" s="39">
        <f>'Levelized Costs'!O4</f>
        <v>2027</v>
      </c>
      <c r="P4" s="39">
        <f>'Levelized Costs'!P4</f>
        <v>2028</v>
      </c>
      <c r="Q4" s="39">
        <f>'Levelized Costs'!Q4</f>
        <v>2029</v>
      </c>
      <c r="R4" s="39">
        <f>'Levelized Costs'!R4</f>
        <v>2030</v>
      </c>
      <c r="S4" s="39">
        <f>'Levelized Costs'!S4</f>
        <v>2031</v>
      </c>
      <c r="T4" s="39">
        <f>'Levelized Costs'!T4</f>
        <v>2032</v>
      </c>
      <c r="U4" s="39">
        <f>'Levelized Costs'!U4</f>
        <v>2033</v>
      </c>
      <c r="V4" s="39">
        <f>'Levelized Costs'!V4</f>
        <v>2034</v>
      </c>
      <c r="W4" s="39">
        <f>'Levelized Costs'!W4</f>
        <v>2035</v>
      </c>
    </row>
    <row r="5" spans="1:29">
      <c r="A5" s="9" t="str">
        <f>+'Total Allocation Weight'!A5</f>
        <v>Electric Resistance</v>
      </c>
      <c r="B5" s="130">
        <f>EXP('Non-Price Factors'!B10+VarianceFactor*LN('Levelized Costs'!B5/'Levelized Costs'!B$5))</f>
        <v>22026.465794806718</v>
      </c>
      <c r="C5" s="130">
        <f>EXP('Non-Price Factors'!C10+VarianceFactor*LN('Levelized Costs'!C5/'Levelized Costs'!C$5))</f>
        <v>4.5399929762484854E-5</v>
      </c>
      <c r="D5" s="130">
        <f>EXP('Non-Price Factors'!D10+VarianceFactor*LN('Levelized Costs'!D5/'Levelized Costs'!D$5))</f>
        <v>4.5399929762484854E-5</v>
      </c>
      <c r="E5" s="130">
        <f>EXP('Non-Price Factors'!E10+VarianceFactor*LN('Levelized Costs'!E5/'Levelized Costs'!E$5))</f>
        <v>4.5399929762484854E-5</v>
      </c>
      <c r="F5" s="130">
        <f>EXP('Non-Price Factors'!F10+VarianceFactor*LN('Levelized Costs'!F5/'Levelized Costs'!F$5))</f>
        <v>4.5399929762484854E-5</v>
      </c>
      <c r="G5" s="130">
        <f>EXP('Non-Price Factors'!G10+VarianceFactor*LN('Levelized Costs'!G5/'Levelized Costs'!G$5))</f>
        <v>4.5399929762484854E-5</v>
      </c>
      <c r="H5" s="130">
        <f>EXP('Non-Price Factors'!H10+VarianceFactor*LN('Levelized Costs'!H5/'Levelized Costs'!H$5))</f>
        <v>4.5399929762484854E-5</v>
      </c>
      <c r="I5" s="130">
        <f>EXP('Non-Price Factors'!I10+VarianceFactor*LN('Levelized Costs'!I5/'Levelized Costs'!I$5))</f>
        <v>4.5399929762484854E-5</v>
      </c>
      <c r="J5" s="130">
        <f>EXP('Non-Price Factors'!J10+VarianceFactor*LN('Levelized Costs'!J5/'Levelized Costs'!J$5))</f>
        <v>4.5399929762484854E-5</v>
      </c>
      <c r="K5" s="130">
        <f>EXP('Non-Price Factors'!K10+VarianceFactor*LN('Levelized Costs'!K5/'Levelized Costs'!K$5))</f>
        <v>4.5399929762484854E-5</v>
      </c>
      <c r="L5" s="130">
        <f>EXP('Non-Price Factors'!L10+VarianceFactor*LN('Levelized Costs'!L5/'Levelized Costs'!L$5))</f>
        <v>4.5399929762484854E-5</v>
      </c>
      <c r="M5" s="130">
        <f>EXP('Non-Price Factors'!M10+VarianceFactor*LN('Levelized Costs'!M5/'Levelized Costs'!M$5))</f>
        <v>4.5399929762484854E-5</v>
      </c>
      <c r="N5" s="130">
        <f>EXP('Non-Price Factors'!N10+VarianceFactor*LN('Levelized Costs'!N5/'Levelized Costs'!N$5))</f>
        <v>4.5399929762484854E-5</v>
      </c>
      <c r="O5" s="130">
        <f>EXP('Non-Price Factors'!O10+VarianceFactor*LN('Levelized Costs'!O5/'Levelized Costs'!O$5))</f>
        <v>4.5399929762484854E-5</v>
      </c>
      <c r="P5" s="130">
        <f>EXP('Non-Price Factors'!P10+VarianceFactor*LN('Levelized Costs'!P5/'Levelized Costs'!P$5))</f>
        <v>4.5399929762484854E-5</v>
      </c>
      <c r="Q5" s="130">
        <f>EXP('Non-Price Factors'!Q10+VarianceFactor*LN('Levelized Costs'!Q5/'Levelized Costs'!Q$5))</f>
        <v>4.5399929762484854E-5</v>
      </c>
      <c r="R5" s="130">
        <f>EXP('Non-Price Factors'!R10+VarianceFactor*LN('Levelized Costs'!R5/'Levelized Costs'!R$5))</f>
        <v>4.5399929762484854E-5</v>
      </c>
      <c r="S5" s="130">
        <f>EXP('Non-Price Factors'!S10+VarianceFactor*LN('Levelized Costs'!S5/'Levelized Costs'!S$5))</f>
        <v>4.5399929762484854E-5</v>
      </c>
      <c r="T5" s="130">
        <f>EXP('Non-Price Factors'!T10+VarianceFactor*LN('Levelized Costs'!T5/'Levelized Costs'!T$5))</f>
        <v>4.5399929762484854E-5</v>
      </c>
      <c r="U5" s="130">
        <f>EXP('Non-Price Factors'!U10+VarianceFactor*LN('Levelized Costs'!U5/'Levelized Costs'!U$5))</f>
        <v>4.5399929762484854E-5</v>
      </c>
      <c r="V5" s="130">
        <f>EXP('Non-Price Factors'!V10+VarianceFactor*LN('Levelized Costs'!V5/'Levelized Costs'!V$5))</f>
        <v>4.5399929762484854E-5</v>
      </c>
      <c r="W5" s="130">
        <f>EXP('Non-Price Factors'!W10+VarianceFactor*LN('Levelized Costs'!W5/'Levelized Costs'!W$5))</f>
        <v>4.5399929762484854E-5</v>
      </c>
    </row>
    <row r="6" spans="1:29">
      <c r="A6" s="9" t="str">
        <f>+'Total Allocation Weight'!A6</f>
        <v>HPWH</v>
      </c>
      <c r="B6" s="130">
        <f>EXP('Non-Price Factors'!B11+VarianceFactor*LN('Levelized Costs'!B6/'Levelized Costs'!B$5))</f>
        <v>1.3177587508791684</v>
      </c>
      <c r="C6" s="130">
        <f>EXP('Non-Price Factors'!C11+VarianceFactor*LN('Levelized Costs'!C6/'Levelized Costs'!C$5))</f>
        <v>1.3303632041133679</v>
      </c>
      <c r="D6" s="130">
        <f>EXP('Non-Price Factors'!D11+VarianceFactor*LN('Levelized Costs'!D6/'Levelized Costs'!D$5))</f>
        <v>1.3430302392754732</v>
      </c>
      <c r="E6" s="130">
        <f>EXP('Non-Price Factors'!E11+VarianceFactor*LN('Levelized Costs'!E6/'Levelized Costs'!E$5))</f>
        <v>1.3557587945485496</v>
      </c>
      <c r="F6" s="130">
        <f>EXP('Non-Price Factors'!F11+VarianceFactor*LN('Levelized Costs'!F6/'Levelized Costs'!F$5))</f>
        <v>1.3685477872469209</v>
      </c>
      <c r="G6" s="130">
        <f>EXP('Non-Price Factors'!G11+VarianceFactor*LN('Levelized Costs'!G6/'Levelized Costs'!G$5))</f>
        <v>1.3813961141912565</v>
      </c>
      <c r="H6" s="130">
        <f>EXP('Non-Price Factors'!H11+VarianceFactor*LN('Levelized Costs'!H6/'Levelized Costs'!H$5))</f>
        <v>1.3943026520984672</v>
      </c>
      <c r="I6" s="130">
        <f>EXP('Non-Price Factors'!I11+VarianceFactor*LN('Levelized Costs'!I6/'Levelized Costs'!I$5))</f>
        <v>1.4072662579861015</v>
      </c>
      <c r="J6" s="130">
        <f>EXP('Non-Price Factors'!J11+VarianceFactor*LN('Levelized Costs'!J6/'Levelized Costs'!J$5))</f>
        <v>1.4202857695909268</v>
      </c>
      <c r="K6" s="130">
        <f>EXP('Non-Price Factors'!K11+VarianceFactor*LN('Levelized Costs'!K6/'Levelized Costs'!K$5))</f>
        <v>1.4333600058013576</v>
      </c>
      <c r="L6" s="130">
        <f>EXP('Non-Price Factors'!L11+VarianceFactor*LN('Levelized Costs'!L6/'Levelized Costs'!L$5))</f>
        <v>1.4464877671033751</v>
      </c>
      <c r="M6" s="130">
        <f>EXP('Non-Price Factors'!M11+VarianceFactor*LN('Levelized Costs'!M6/'Levelized Costs'!M$5))</f>
        <v>1.4596678360395707</v>
      </c>
      <c r="N6" s="130">
        <f>EXP('Non-Price Factors'!N11+VarianceFactor*LN('Levelized Costs'!N6/'Levelized Costs'!N$5))</f>
        <v>1.472898977680924</v>
      </c>
      <c r="O6" s="130">
        <f>EXP('Non-Price Factors'!O11+VarianceFactor*LN('Levelized Costs'!O6/'Levelized Costs'!O$5))</f>
        <v>1.486179940110923</v>
      </c>
      <c r="P6" s="130">
        <f>EXP('Non-Price Factors'!P11+VarianceFactor*LN('Levelized Costs'!P6/'Levelized Costs'!P$5))</f>
        <v>1.4995094549215888</v>
      </c>
      <c r="Q6" s="130">
        <f>EXP('Non-Price Factors'!Q11+VarianceFactor*LN('Levelized Costs'!Q6/'Levelized Costs'!Q$5))</f>
        <v>1.5128862377210064</v>
      </c>
      <c r="R6" s="130">
        <f>EXP('Non-Price Factors'!R11+VarianceFactor*LN('Levelized Costs'!R6/'Levelized Costs'!R$5))</f>
        <v>1.5263089886518781</v>
      </c>
      <c r="S6" s="130">
        <f>EXP('Non-Price Factors'!S11+VarianceFactor*LN('Levelized Costs'!S6/'Levelized Costs'!S$5))</f>
        <v>1.5397763929206847</v>
      </c>
      <c r="T6" s="130">
        <f>EXP('Non-Price Factors'!T11+VarianceFactor*LN('Levelized Costs'!T6/'Levelized Costs'!T$5))</f>
        <v>1.5532871213369468</v>
      </c>
      <c r="U6" s="130">
        <f>EXP('Non-Price Factors'!U11+VarianceFactor*LN('Levelized Costs'!U6/'Levelized Costs'!U$5))</f>
        <v>1.5668398308621332</v>
      </c>
      <c r="V6" s="130">
        <f>EXP('Non-Price Factors'!V11+VarianceFactor*LN('Levelized Costs'!V6/'Levelized Costs'!V$5))</f>
        <v>1.5804331651677099</v>
      </c>
      <c r="W6" s="130">
        <f>EXP('Non-Price Factors'!W11+VarianceFactor*LN('Levelized Costs'!W6/'Levelized Costs'!W$5))</f>
        <v>1.5940657552018331</v>
      </c>
    </row>
    <row r="7" spans="1:29">
      <c r="A7" s="9" t="str">
        <f>+'Total Allocation Weight'!A7</f>
        <v>Gas Tank</v>
      </c>
      <c r="B7" s="130">
        <f>EXP('Non-Price Factors'!B12+VarianceFactor*LN('Levelized Costs'!B7/'Levelized Costs'!B$5))</f>
        <v>1.0016353934292312E-4</v>
      </c>
      <c r="C7" s="130">
        <f>EXP('Non-Price Factors'!C12+VarianceFactor*LN('Levelized Costs'!C7/'Levelized Costs'!C$5))</f>
        <v>1.0029947023704075E-4</v>
      </c>
      <c r="D7" s="130">
        <f>EXP('Non-Price Factors'!D12+VarianceFactor*LN('Levelized Costs'!D7/'Levelized Costs'!D$5))</f>
        <v>1.0042985038963819E-4</v>
      </c>
      <c r="E7" s="130">
        <f>EXP('Non-Price Factors'!E12+VarianceFactor*LN('Levelized Costs'!E7/'Levelized Costs'!E$5))</f>
        <v>1.0055467341839928E-4</v>
      </c>
      <c r="F7" s="130">
        <f>EXP('Non-Price Factors'!F12+VarianceFactor*LN('Levelized Costs'!F7/'Levelized Costs'!F$5))</f>
        <v>1.0067393479687999E-4</v>
      </c>
      <c r="G7" s="130">
        <f>EXP('Non-Price Factors'!G12+VarianceFactor*LN('Levelized Costs'!G7/'Levelized Costs'!G$5))</f>
        <v>1.0078763183974831E-4</v>
      </c>
      <c r="H7" s="130">
        <f>EXP('Non-Price Factors'!H12+VarianceFactor*LN('Levelized Costs'!H7/'Levelized Costs'!H$5))</f>
        <v>1.0089576368676078E-4</v>
      </c>
      <c r="I7" s="130">
        <f>EXP('Non-Price Factors'!I12+VarianceFactor*LN('Levelized Costs'!I7/'Levelized Costs'!I$5))</f>
        <v>1.0099833128550812E-4</v>
      </c>
      <c r="J7" s="130">
        <f>EXP('Non-Price Factors'!J12+VarianceFactor*LN('Levelized Costs'!J7/'Levelized Costs'!J$5))</f>
        <v>1.0109533737297143E-4</v>
      </c>
      <c r="K7" s="130">
        <f>EXP('Non-Price Factors'!K12+VarianceFactor*LN('Levelized Costs'!K7/'Levelized Costs'!K$5))</f>
        <v>1.0118678645592212E-4</v>
      </c>
      <c r="L7" s="130">
        <f>EXP('Non-Price Factors'!L12+VarianceFactor*LN('Levelized Costs'!L7/'Levelized Costs'!L$5))</f>
        <v>1.0127268479020759E-4</v>
      </c>
      <c r="M7" s="130">
        <f>EXP('Non-Price Factors'!M12+VarianceFactor*LN('Levelized Costs'!M7/'Levelized Costs'!M$5))</f>
        <v>1.0135304035896285E-4</v>
      </c>
      <c r="N7" s="130">
        <f>EXP('Non-Price Factors'!N12+VarianceFactor*LN('Levelized Costs'!N7/'Levelized Costs'!N$5))</f>
        <v>1.01427862849786E-4</v>
      </c>
      <c r="O7" s="130">
        <f>EXP('Non-Price Factors'!O12+VarianceFactor*LN('Levelized Costs'!O7/'Levelized Costs'!O$5))</f>
        <v>1.014971636309214E-4</v>
      </c>
      <c r="P7" s="130">
        <f>EXP('Non-Price Factors'!P12+VarianceFactor*LN('Levelized Costs'!P7/'Levelized Costs'!P$5))</f>
        <v>1.0156095572649119E-4</v>
      </c>
      <c r="Q7" s="130">
        <f>EXP('Non-Price Factors'!Q12+VarianceFactor*LN('Levelized Costs'!Q7/'Levelized Costs'!Q$5))</f>
        <v>1.016192537908173E-4</v>
      </c>
      <c r="R7" s="130">
        <f>EXP('Non-Price Factors'!R12+VarianceFactor*LN('Levelized Costs'!R7/'Levelized Costs'!R$5))</f>
        <v>1.0167207408187708E-4</v>
      </c>
      <c r="S7" s="130">
        <f>EXP('Non-Price Factors'!S12+VarianceFactor*LN('Levelized Costs'!S7/'Levelized Costs'!S$5))</f>
        <v>1.0171943443393641E-4</v>
      </c>
      <c r="T7" s="130">
        <f>EXP('Non-Price Factors'!T12+VarianceFactor*LN('Levelized Costs'!T7/'Levelized Costs'!T$5))</f>
        <v>1.0176135422940146E-4</v>
      </c>
      <c r="U7" s="130">
        <f>EXP('Non-Price Factors'!U12+VarianceFactor*LN('Levelized Costs'!U7/'Levelized Costs'!U$5))</f>
        <v>1.0179785436993533E-4</v>
      </c>
      <c r="V7" s="130">
        <f>EXP('Non-Price Factors'!V12+VarianceFactor*LN('Levelized Costs'!V7/'Levelized Costs'!V$5))</f>
        <v>1.0182895724687985E-4</v>
      </c>
      <c r="W7" s="130">
        <f>EXP('Non-Price Factors'!W12+VarianceFactor*LN('Levelized Costs'!W7/'Levelized Costs'!W$5))</f>
        <v>1.0185468671103038E-4</v>
      </c>
    </row>
    <row r="8" spans="1:29">
      <c r="A8" s="9" t="str">
        <f>+'Total Allocation Weight'!A8</f>
        <v>Instant Gas</v>
      </c>
      <c r="B8" s="130">
        <f>EXP('Non-Price Factors'!B13+VarianceFactor*LN('Levelized Costs'!B8/'Levelized Costs'!B$5))</f>
        <v>0.38207047429037633</v>
      </c>
      <c r="C8" s="130">
        <f>EXP('Non-Price Factors'!C13+VarianceFactor*LN('Levelized Costs'!C8/'Levelized Costs'!C$5))</f>
        <v>0.38793596740908692</v>
      </c>
      <c r="D8" s="130">
        <f>EXP('Non-Price Factors'!D13+VarianceFactor*LN('Levelized Costs'!D8/'Levelized Costs'!D$5))</f>
        <v>0.39387168188048011</v>
      </c>
      <c r="E8" s="130">
        <f>EXP('Non-Price Factors'!E13+VarianceFactor*LN('Levelized Costs'!E8/'Levelized Costs'!E$5))</f>
        <v>0.3998776400515674</v>
      </c>
      <c r="F8" s="130">
        <f>EXP('Non-Price Factors'!F13+VarianceFactor*LN('Levelized Costs'!F8/'Levelized Costs'!F$5))</f>
        <v>0.40595383607423363</v>
      </c>
      <c r="G8" s="130">
        <f>EXP('Non-Price Factors'!G13+VarianceFactor*LN('Levelized Costs'!G8/'Levelized Costs'!G$5))</f>
        <v>0.4121002352699431</v>
      </c>
      <c r="H8" s="130">
        <f>EXP('Non-Price Factors'!H13+VarianceFactor*LN('Levelized Costs'!H8/'Levelized Costs'!H$5))</f>
        <v>0.41831677350519009</v>
      </c>
      <c r="I8" s="130">
        <f>EXP('Non-Price Factors'!I13+VarianceFactor*LN('Levelized Costs'!I8/'Levelized Costs'!I$5))</f>
        <v>0.42460335657873433</v>
      </c>
      <c r="J8" s="130">
        <f>EXP('Non-Price Factors'!J13+VarianceFactor*LN('Levelized Costs'!J8/'Levelized Costs'!J$5))</f>
        <v>0.43095985962169475</v>
      </c>
      <c r="K8" s="130">
        <f>EXP('Non-Price Factors'!K13+VarianceFactor*LN('Levelized Costs'!K8/'Levelized Costs'!K$5))</f>
        <v>0.43738612651155873</v>
      </c>
      <c r="L8" s="130">
        <f>EXP('Non-Price Factors'!L13+VarianceFactor*LN('Levelized Costs'!L8/'Levelized Costs'!L$5))</f>
        <v>0.44388196930119317</v>
      </c>
      <c r="M8" s="130">
        <f>EXP('Non-Price Factors'!M13+VarianceFactor*LN('Levelized Costs'!M8/'Levelized Costs'!M$5))</f>
        <v>0.45044716766393755</v>
      </c>
      <c r="N8" s="130">
        <f>EXP('Non-Price Factors'!N13+VarianceFactor*LN('Levelized Costs'!N8/'Levelized Costs'!N$5))</f>
        <v>0.45708146835586594</v>
      </c>
      <c r="O8" s="130">
        <f>EXP('Non-Price Factors'!O13+VarianceFactor*LN('Levelized Costs'!O8/'Levelized Costs'!O$5))</f>
        <v>0.46378458469630079</v>
      </c>
      <c r="P8" s="130">
        <f>EXP('Non-Price Factors'!P13+VarianceFactor*LN('Levelized Costs'!P8/'Levelized Costs'!P$5))</f>
        <v>0.47055619606767274</v>
      </c>
      <c r="Q8" s="130">
        <f>EXP('Non-Price Factors'!Q13+VarianceFactor*LN('Levelized Costs'!Q8/'Levelized Costs'!Q$5))</f>
        <v>0.4773959474358031</v>
      </c>
      <c r="R8" s="130">
        <f>EXP('Non-Price Factors'!R13+VarianceFactor*LN('Levelized Costs'!R8/'Levelized Costs'!R$5))</f>
        <v>0.48430344889169047</v>
      </c>
      <c r="S8" s="130">
        <f>EXP('Non-Price Factors'!S13+VarianceFactor*LN('Levelized Costs'!S8/'Levelized Costs'!S$5))</f>
        <v>0.49127827521587186</v>
      </c>
      <c r="T8" s="130">
        <f>EXP('Non-Price Factors'!T13+VarianceFactor*LN('Levelized Costs'!T8/'Levelized Costs'!T$5))</f>
        <v>0.49831996546641633</v>
      </c>
      <c r="U8" s="130">
        <f>EXP('Non-Price Factors'!U13+VarianceFactor*LN('Levelized Costs'!U8/'Levelized Costs'!U$5))</f>
        <v>0.50542802259160025</v>
      </c>
      <c r="V8" s="130">
        <f>EXP('Non-Price Factors'!V13+VarianceFactor*LN('Levelized Costs'!V8/'Levelized Costs'!V$5))</f>
        <v>0.51260191306830105</v>
      </c>
      <c r="W8" s="130">
        <f>EXP('Non-Price Factors'!W13+VarianceFactor*LN('Levelized Costs'!W8/'Levelized Costs'!W$5))</f>
        <v>0.51984106656711482</v>
      </c>
    </row>
    <row r="9" spans="1:29">
      <c r="A9" s="9" t="str">
        <f>+'Total Allocation Weight'!A9</f>
        <v>Condensing Gas</v>
      </c>
      <c r="B9" s="130">
        <f>EXP('Non-Price Factors'!B14+VarianceFactor*LN('Levelized Costs'!B9/'Levelized Costs'!B$5))</f>
        <v>0.88159969543307404</v>
      </c>
      <c r="C9" s="130">
        <f>EXP('Non-Price Factors'!C14+VarianceFactor*LN('Levelized Costs'!C9/'Levelized Costs'!C$5))</f>
        <v>0.89088406871409709</v>
      </c>
      <c r="D9" s="130">
        <f>EXP('Non-Price Factors'!D14+VarianceFactor*LN('Levelized Costs'!D9/'Levelized Costs'!D$5))</f>
        <v>0.9002018005475183</v>
      </c>
      <c r="E9" s="130">
        <f>EXP('Non-Price Factors'!E14+VarianceFactor*LN('Levelized Costs'!E9/'Levelized Costs'!E$5))</f>
        <v>0.90955122200255589</v>
      </c>
      <c r="F9" s="130">
        <f>EXP('Non-Price Factors'!F14+VarianceFactor*LN('Levelized Costs'!F9/'Levelized Costs'!F$5))</f>
        <v>0.91893063215217674</v>
      </c>
      <c r="G9" s="130">
        <f>EXP('Non-Price Factors'!G14+VarianceFactor*LN('Levelized Costs'!G9/'Levelized Costs'!G$5))</f>
        <v>0.92833829879835805</v>
      </c>
      <c r="H9" s="130">
        <f>EXP('Non-Price Factors'!H14+VarianceFactor*LN('Levelized Costs'!H9/'Levelized Costs'!H$5))</f>
        <v>0.93777245923496855</v>
      </c>
      <c r="I9" s="130">
        <f>EXP('Non-Price Factors'!I14+VarianceFactor*LN('Levelized Costs'!I9/'Levelized Costs'!I$5))</f>
        <v>0.94723132104776453</v>
      </c>
      <c r="J9" s="130">
        <f>EXP('Non-Price Factors'!J14+VarianceFactor*LN('Levelized Costs'!J9/'Levelized Costs'!J$5))</f>
        <v>0.95671306295092284</v>
      </c>
      <c r="K9" s="130">
        <f>EXP('Non-Price Factors'!K14+VarianceFactor*LN('Levelized Costs'!K9/'Levelized Costs'!K$5))</f>
        <v>0.96621583565945413</v>
      </c>
      <c r="L9" s="130">
        <f>EXP('Non-Price Factors'!L14+VarianceFactor*LN('Levelized Costs'!L9/'Levelized Costs'!L$5))</f>
        <v>0.97573776279679925</v>
      </c>
      <c r="M9" s="130">
        <f>EXP('Non-Price Factors'!M14+VarianceFactor*LN('Levelized Costs'!M9/'Levelized Costs'!M$5))</f>
        <v>0.98527694183682724</v>
      </c>
      <c r="N9" s="130">
        <f>EXP('Non-Price Factors'!N14+VarianceFactor*LN('Levelized Costs'!N9/'Levelized Costs'!N$5))</f>
        <v>0.99483144507938892</v>
      </c>
      <c r="O9" s="130">
        <f>EXP('Non-Price Factors'!O14+VarianceFactor*LN('Levelized Costs'!O9/'Levelized Costs'!O$5))</f>
        <v>1.0043993206585289</v>
      </c>
      <c r="P9" s="130">
        <f>EXP('Non-Price Factors'!P14+VarianceFactor*LN('Levelized Costs'!P9/'Levelized Costs'!P$5))</f>
        <v>1.0139785935823795</v>
      </c>
      <c r="Q9" s="130">
        <f>EXP('Non-Price Factors'!Q14+VarianceFactor*LN('Levelized Costs'!Q9/'Levelized Costs'!Q$5))</f>
        <v>1.0235672668037192</v>
      </c>
      <c r="R9" s="130">
        <f>EXP('Non-Price Factors'!R14+VarianceFactor*LN('Levelized Costs'!R9/'Levelized Costs'!R$5))</f>
        <v>1.0331633223200991</v>
      </c>
      <c r="S9" s="130">
        <f>EXP('Non-Price Factors'!S14+VarianceFactor*LN('Levelized Costs'!S9/'Levelized Costs'!S$5))</f>
        <v>1.0427647223023924</v>
      </c>
      <c r="T9" s="130">
        <f>EXP('Non-Price Factors'!T14+VarianceFactor*LN('Levelized Costs'!T9/'Levelized Costs'!T$5))</f>
        <v>1.0523694102505734</v>
      </c>
      <c r="U9" s="130">
        <f>EXP('Non-Price Factors'!U14+VarianceFactor*LN('Levelized Costs'!U9/'Levelized Costs'!U$5))</f>
        <v>1.0619753121754625</v>
      </c>
      <c r="V9" s="130">
        <f>EXP('Non-Price Factors'!V14+VarianceFactor*LN('Levelized Costs'!V9/'Levelized Costs'!V$5))</f>
        <v>1.0715803378051318</v>
      </c>
      <c r="W9" s="130">
        <f>EXP('Non-Price Factors'!W14+VarianceFactor*LN('Levelized Costs'!W9/'Levelized Costs'!W$5))</f>
        <v>1.0811823818146229</v>
      </c>
    </row>
    <row r="10" spans="1:29">
      <c r="A10" s="3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45"/>
  <sheetViews>
    <sheetView tabSelected="1" workbookViewId="0">
      <selection activeCell="C5" sqref="C5"/>
    </sheetView>
  </sheetViews>
  <sheetFormatPr defaultColWidth="9.140625" defaultRowHeight="15.75"/>
  <cols>
    <col min="1" max="1" width="4.140625" style="9" customWidth="1"/>
    <col min="2" max="2" width="46" style="9" customWidth="1"/>
    <col min="3" max="3" width="15.5703125" style="9" customWidth="1"/>
    <col min="4" max="7" width="12.7109375" style="9" customWidth="1"/>
    <col min="8" max="25" width="14.7109375" style="9" bestFit="1" customWidth="1"/>
    <col min="26" max="27" width="10.5703125" style="9" bestFit="1" customWidth="1"/>
    <col min="28" max="16384" width="9.140625" style="9"/>
  </cols>
  <sheetData>
    <row r="1" spans="1:6">
      <c r="A1" s="147" t="str">
        <f>CONCATENATE("Segment:  ",State,", Single Family, ", SpaceHeat, ", ", TankSize,", ", StartWH, " is starting water heater")</f>
        <v>Segment:  Oregon, Single Family, Gas FAF, &gt;55 Gallons, Electric Resistance is starting water heater</v>
      </c>
    </row>
    <row r="3" spans="1:6" ht="31.5" customHeight="1">
      <c r="B3" s="184" t="str">
        <f>CONCATENATE("Marginal Market Shares (%) - ",State,", Single Family, ", SpaceHeat, ", ", TankSize,", ", StartWH, " is starting water heater")</f>
        <v>Marginal Market Shares (%) - Oregon, Single Family, Gas FAF, &gt;55 Gallons, Electric Resistance is starting water heater</v>
      </c>
      <c r="C3" s="185"/>
      <c r="D3" s="185"/>
      <c r="E3" s="185"/>
      <c r="F3" s="185"/>
    </row>
    <row r="4" spans="1:6" ht="47.25">
      <c r="B4" s="80" t="s">
        <v>78</v>
      </c>
      <c r="C4" s="88" t="s">
        <v>109</v>
      </c>
      <c r="D4" s="88" t="s">
        <v>79</v>
      </c>
      <c r="E4" s="88" t="s">
        <v>100</v>
      </c>
      <c r="F4" s="93" t="s">
        <v>76</v>
      </c>
    </row>
    <row r="5" spans="1:6">
      <c r="B5" s="82" t="str">
        <f>'Marginal Market Share'!A5</f>
        <v>Electric Resistance</v>
      </c>
      <c r="C5" s="83">
        <f>'Marginal Market Share'!B5</f>
        <v>0.99988281249542088</v>
      </c>
      <c r="D5" s="83">
        <f>'Marginal Market Share'!W5</f>
        <v>1.4208629112870023E-5</v>
      </c>
      <c r="E5" s="83">
        <f>'Marginal Market Share'!W13</f>
        <v>0</v>
      </c>
      <c r="F5" s="84">
        <f>E5-D5</f>
        <v>-1.4208629112870023E-5</v>
      </c>
    </row>
    <row r="6" spans="1:6">
      <c r="B6" s="82" t="str">
        <f>'Marginal Market Share'!A6</f>
        <v>HPWH</v>
      </c>
      <c r="C6" s="83">
        <f>'Marginal Market Share'!B6</f>
        <v>5.9819143856032193E-5</v>
      </c>
      <c r="D6" s="83">
        <f>'Marginal Market Share'!W6</f>
        <v>0.49888819686910107</v>
      </c>
      <c r="E6" s="83">
        <f>'Marginal Market Share'!W14</f>
        <v>1</v>
      </c>
      <c r="F6" s="84">
        <f>E6-D6</f>
        <v>0.50111180313089898</v>
      </c>
    </row>
    <row r="7" spans="1:6">
      <c r="B7" s="82" t="str">
        <f>'Marginal Market Share'!A7</f>
        <v>Gas Tank</v>
      </c>
      <c r="C7" s="83">
        <f>'Marginal Market Share'!B7</f>
        <v>4.5468847504038054E-9</v>
      </c>
      <c r="D7" s="83">
        <f>'Marginal Market Share'!W7</f>
        <v>3.1877041979048913E-5</v>
      </c>
      <c r="E7" s="83">
        <f>'Marginal Market Share'!W15</f>
        <v>0</v>
      </c>
      <c r="F7" s="84">
        <f>E7-D7</f>
        <v>-3.1877041979048913E-5</v>
      </c>
    </row>
    <row r="8" spans="1:6">
      <c r="B8" s="82" t="str">
        <f>'Marginal Market Share'!A8</f>
        <v>Instant Gas</v>
      </c>
      <c r="C8" s="83">
        <f>'Marginal Market Share'!B8</f>
        <v>1.7343939965847487E-5</v>
      </c>
      <c r="D8" s="83">
        <f>'Marginal Market Share'!W8</f>
        <v>0.16269251849359345</v>
      </c>
      <c r="E8" s="83">
        <f>'Marginal Market Share'!W16</f>
        <v>0</v>
      </c>
      <c r="F8" s="84">
        <f>E8-D8</f>
        <v>-0.16269251849359345</v>
      </c>
    </row>
    <row r="9" spans="1:6">
      <c r="B9" s="85" t="str">
        <f>'Marginal Market Share'!A9</f>
        <v>Condensing Gas</v>
      </c>
      <c r="C9" s="86">
        <f>'Marginal Market Share'!B9</f>
        <v>4.0019873872483122E-5</v>
      </c>
      <c r="D9" s="86">
        <f>'Marginal Market Share'!W9</f>
        <v>0.33837319896621348</v>
      </c>
      <c r="E9" s="86">
        <f>'Marginal Market Share'!W17</f>
        <v>0</v>
      </c>
      <c r="F9" s="87">
        <f>E9-D9</f>
        <v>-0.33837319896621348</v>
      </c>
    </row>
    <row r="10" spans="1:6">
      <c r="B10" s="96"/>
      <c r="C10" s="83"/>
      <c r="D10" s="83"/>
      <c r="E10" s="83"/>
    </row>
    <row r="11" spans="1:6" ht="30.75" customHeight="1">
      <c r="B11" s="184" t="str">
        <f>CONCATENATE("Average Market Shares by Scenario (%) - ",State,", Single Family, ", SpaceHeat, ", ", TankSize,", ", StartWH, " is starting water heater")</f>
        <v>Average Market Shares by Scenario (%) - Oregon, Single Family, Gas FAF, &gt;55 Gallons, Electric Resistance is starting water heater</v>
      </c>
      <c r="C11" s="185"/>
      <c r="D11" s="185"/>
      <c r="E11" s="185"/>
      <c r="F11" s="185"/>
    </row>
    <row r="12" spans="1:6" ht="47.25">
      <c r="B12" s="80" t="s">
        <v>78</v>
      </c>
      <c r="C12" s="88" t="s">
        <v>109</v>
      </c>
      <c r="D12" s="88" t="s">
        <v>79</v>
      </c>
      <c r="E12" s="88" t="s">
        <v>100</v>
      </c>
      <c r="F12" s="93" t="s">
        <v>76</v>
      </c>
    </row>
    <row r="13" spans="1:6">
      <c r="B13" s="82" t="str">
        <f>'Marginal Market Share'!A13</f>
        <v>Electric Resistance</v>
      </c>
      <c r="C13" s="83">
        <f>'Average Market Share'!B5</f>
        <v>1</v>
      </c>
      <c r="D13" s="83">
        <f>'Average Market Share'!W5</f>
        <v>0.21093396992009458</v>
      </c>
      <c r="E13" s="83">
        <f>'Average Market Share'!W13</f>
        <v>0.21092188755086916</v>
      </c>
      <c r="F13" s="84">
        <f>E13-D13</f>
        <v>-1.2082369225424605E-5</v>
      </c>
    </row>
    <row r="14" spans="1:6">
      <c r="B14" s="82" t="str">
        <f>'Marginal Market Share'!A14</f>
        <v>HPWH</v>
      </c>
      <c r="C14" s="83">
        <f>'Average Market Share'!B6</f>
        <v>0</v>
      </c>
      <c r="D14" s="83">
        <f>'Average Market Share'!W6</f>
        <v>0.39673112971235236</v>
      </c>
      <c r="E14" s="83">
        <f>'Average Market Share'!W14</f>
        <v>0.78907811244913095</v>
      </c>
      <c r="F14" s="84">
        <f>E14-D14</f>
        <v>0.39234698273677859</v>
      </c>
    </row>
    <row r="15" spans="1:6">
      <c r="B15" s="82" t="str">
        <f>'Marginal Market Share'!A15</f>
        <v>Gas Tank</v>
      </c>
      <c r="C15" s="83">
        <f>'Average Market Share'!B7</f>
        <v>0</v>
      </c>
      <c r="D15" s="83">
        <f>'Average Market Share'!W7</f>
        <v>2.6991905195314968E-5</v>
      </c>
      <c r="E15" s="83">
        <f>'Average Market Share'!W15</f>
        <v>0</v>
      </c>
      <c r="F15" s="84">
        <f>E15-D15</f>
        <v>-2.6991905195314968E-5</v>
      </c>
    </row>
    <row r="16" spans="1:6">
      <c r="B16" s="82" t="str">
        <f>'Marginal Market Share'!A16</f>
        <v>Instant Gas</v>
      </c>
      <c r="C16" s="83">
        <f>'Average Market Share'!B8</f>
        <v>0</v>
      </c>
      <c r="D16" s="83">
        <f>'Average Market Share'!W8</f>
        <v>0.12423647611298606</v>
      </c>
      <c r="E16" s="83">
        <f>'Average Market Share'!W16</f>
        <v>0</v>
      </c>
      <c r="F16" s="84">
        <f>E16-D16</f>
        <v>-0.12423647611298606</v>
      </c>
    </row>
    <row r="17" spans="2:7">
      <c r="B17" s="85" t="str">
        <f>'Marginal Market Share'!A17</f>
        <v>Condensing Gas</v>
      </c>
      <c r="C17" s="86">
        <f>'Average Market Share'!B9</f>
        <v>0</v>
      </c>
      <c r="D17" s="86">
        <f>'Average Market Share'!W9</f>
        <v>0.2680714323493717</v>
      </c>
      <c r="E17" s="86">
        <f>'Average Market Share'!W17</f>
        <v>0</v>
      </c>
      <c r="F17" s="87">
        <f>E17-D17</f>
        <v>-0.2680714323493717</v>
      </c>
    </row>
    <row r="18" spans="2:7">
      <c r="B18" s="96"/>
      <c r="C18" s="83"/>
      <c r="D18" s="83"/>
      <c r="E18" s="83"/>
      <c r="F18" s="83"/>
    </row>
    <row r="19" spans="2:7" ht="31.5" customHeight="1">
      <c r="B19" s="184" t="str">
        <f>CONCATENATE("BAU Case Average Market Shares (%) - ",State,", Single Family, ", SpaceHeat, ", ", TankSize,", ", StartWH, " is starting water heater")</f>
        <v>BAU Case Average Market Shares (%) - Oregon, Single Family, Gas FAF, &gt;55 Gallons, Electric Resistance is starting water heater</v>
      </c>
      <c r="C19" s="185"/>
      <c r="D19" s="185"/>
      <c r="E19" s="185"/>
      <c r="F19" s="185"/>
      <c r="G19" s="185"/>
    </row>
    <row r="20" spans="2:7">
      <c r="B20" s="80" t="s">
        <v>78</v>
      </c>
      <c r="C20" s="88">
        <v>2015</v>
      </c>
      <c r="D20" s="88">
        <v>2020</v>
      </c>
      <c r="E20" s="88">
        <v>2025</v>
      </c>
      <c r="F20" s="88">
        <v>2030</v>
      </c>
      <c r="G20" s="93">
        <v>2035</v>
      </c>
    </row>
    <row r="21" spans="2:7">
      <c r="B21" s="82" t="str">
        <f>'Average Market Share'!A5</f>
        <v>Electric Resistance</v>
      </c>
      <c r="C21" s="83">
        <f>'Average Market Share'!C5</f>
        <v>0.92857267136304311</v>
      </c>
      <c r="D21" s="83">
        <f>'Average Market Share'!H5</f>
        <v>0.64105606261733017</v>
      </c>
      <c r="E21" s="83">
        <f>'Average Market Share'!M5</f>
        <v>0.44256539296502101</v>
      </c>
      <c r="F21" s="83">
        <f>'Average Market Share'!R5</f>
        <v>0.30553482669176663</v>
      </c>
      <c r="G21" s="84">
        <f>'Average Market Share'!W5</f>
        <v>0.21093396992009458</v>
      </c>
    </row>
    <row r="22" spans="2:7">
      <c r="B22" s="82" t="str">
        <f>'Average Market Share'!A6</f>
        <v>HPWH</v>
      </c>
      <c r="C22" s="83">
        <f>'Average Market Share'!C6</f>
        <v>3.6417770756105153E-2</v>
      </c>
      <c r="D22" s="83">
        <f>'Average Market Share'!H6</f>
        <v>0.18243660288088648</v>
      </c>
      <c r="E22" s="83">
        <f>'Average Market Share'!M6</f>
        <v>0.28235825670028408</v>
      </c>
      <c r="F22" s="83">
        <f>'Average Market Share'!R6</f>
        <v>0.35049504157848926</v>
      </c>
      <c r="G22" s="84">
        <f>'Average Market Share'!W6</f>
        <v>0.39673112971235236</v>
      </c>
    </row>
    <row r="23" spans="2:7">
      <c r="B23" s="82" t="str">
        <f>'Average Market Share'!A7</f>
        <v>Gas Tank</v>
      </c>
      <c r="C23" s="83">
        <f>'Average Market Share'!C7</f>
        <v>2.745628489090469E-6</v>
      </c>
      <c r="D23" s="83">
        <f>'Average Market Share'!H7</f>
        <v>1.34533296165269E-5</v>
      </c>
      <c r="E23" s="83">
        <f>'Average Market Share'!M7</f>
        <v>2.0316722058338654E-5</v>
      </c>
      <c r="F23" s="83">
        <f>'Average Market Share'!R7</f>
        <v>2.4550173117411981E-5</v>
      </c>
      <c r="G23" s="84">
        <f>'Average Market Share'!W7</f>
        <v>2.6991905195314968E-5</v>
      </c>
    </row>
    <row r="24" spans="2:7">
      <c r="B24" s="82" t="str">
        <f>'Average Market Share'!A8</f>
        <v>Instant Gas</v>
      </c>
      <c r="C24" s="83">
        <f>'Average Market Share'!C8</f>
        <v>1.0619478263883266E-2</v>
      </c>
      <c r="D24" s="83">
        <f>'Average Market Share'!H8</f>
        <v>5.4029629439949454E-2</v>
      </c>
      <c r="E24" s="83">
        <f>'Average Market Share'!M8</f>
        <v>8.5068457528955199E-2</v>
      </c>
      <c r="F24" s="83">
        <f>'Average Market Share'!R8</f>
        <v>0.10758582313610922</v>
      </c>
      <c r="G24" s="84">
        <f>'Average Market Share'!W8</f>
        <v>0.12423647611298606</v>
      </c>
    </row>
    <row r="25" spans="2:7">
      <c r="B25" s="85" t="str">
        <f>'Average Market Share'!A9</f>
        <v>Condensing Gas</v>
      </c>
      <c r="C25" s="86">
        <f>'Average Market Share'!C9</f>
        <v>2.4387333988479337E-2</v>
      </c>
      <c r="D25" s="86">
        <f>'Average Market Share'!H9</f>
        <v>0.12246425173221755</v>
      </c>
      <c r="E25" s="86">
        <f>'Average Market Share'!M9</f>
        <v>0.18998757608368133</v>
      </c>
      <c r="F25" s="86">
        <f>'Average Market Share'!R9</f>
        <v>0.23635975842051735</v>
      </c>
      <c r="G25" s="87">
        <f>'Average Market Share'!W9</f>
        <v>0.2680714323493717</v>
      </c>
    </row>
    <row r="26" spans="2:7">
      <c r="B26" s="96"/>
      <c r="C26" s="83"/>
      <c r="D26" s="83"/>
      <c r="E26" s="83"/>
      <c r="F26" s="83"/>
      <c r="G26" s="83"/>
    </row>
    <row r="27" spans="2:7" ht="33.75" customHeight="1">
      <c r="B27" s="184" t="str">
        <f>CONCATENATE("Least Cost Case Average Market Shares (%) - ",State,", Single Family, ", SpaceHeat, ", ", TankSize,", ", StartWH, " is starting water heater")</f>
        <v>Least Cost Case Average Market Shares (%) - Oregon, Single Family, Gas FAF, &gt;55 Gallons, Electric Resistance is starting water heater</v>
      </c>
      <c r="C27" s="185"/>
      <c r="D27" s="185"/>
      <c r="E27" s="185"/>
      <c r="F27" s="185"/>
      <c r="G27" s="185"/>
    </row>
    <row r="28" spans="2:7">
      <c r="B28" s="80" t="s">
        <v>78</v>
      </c>
      <c r="C28" s="88">
        <v>2015</v>
      </c>
      <c r="D28" s="88">
        <v>2020</v>
      </c>
      <c r="E28" s="88">
        <v>2025</v>
      </c>
      <c r="F28" s="88">
        <v>2030</v>
      </c>
      <c r="G28" s="93">
        <v>2035</v>
      </c>
    </row>
    <row r="29" spans="2:7">
      <c r="B29" s="82" t="str">
        <f>'Average Market Share'!A13</f>
        <v>Electric Resistance</v>
      </c>
      <c r="C29" s="83">
        <f>'Average Market Share'!C13</f>
        <v>0.92857142857142849</v>
      </c>
      <c r="D29" s="83">
        <f>'Average Market Share'!H13</f>
        <v>0.64104999298761578</v>
      </c>
      <c r="E29" s="83">
        <f>'Average Market Share'!M13</f>
        <v>0.44255625454860859</v>
      </c>
      <c r="F29" s="83">
        <f>'Average Market Share'!R13</f>
        <v>0.30552381340385798</v>
      </c>
      <c r="G29" s="84">
        <f>'Average Market Share'!W13</f>
        <v>0.21092188755086916</v>
      </c>
    </row>
    <row r="30" spans="2:7">
      <c r="B30" s="82" t="str">
        <f>'Average Market Share'!A14</f>
        <v>HPWH</v>
      </c>
      <c r="C30" s="83">
        <f>'Average Market Share'!C14</f>
        <v>7.1428571428571425E-2</v>
      </c>
      <c r="D30" s="83">
        <f>'Average Market Share'!H14</f>
        <v>0.35895000701238428</v>
      </c>
      <c r="E30" s="83">
        <f>'Average Market Share'!M14</f>
        <v>0.55744374545139141</v>
      </c>
      <c r="F30" s="83">
        <f>'Average Market Share'!R14</f>
        <v>0.69447618659614196</v>
      </c>
      <c r="G30" s="84">
        <f>'Average Market Share'!W14</f>
        <v>0.78907811244913095</v>
      </c>
    </row>
    <row r="31" spans="2:7">
      <c r="B31" s="82" t="str">
        <f>'Average Market Share'!A15</f>
        <v>Gas Tank</v>
      </c>
      <c r="C31" s="83">
        <f>'Average Market Share'!C15</f>
        <v>0</v>
      </c>
      <c r="D31" s="83">
        <f>'Average Market Share'!H15</f>
        <v>0</v>
      </c>
      <c r="E31" s="83">
        <f>'Average Market Share'!M15</f>
        <v>0</v>
      </c>
      <c r="F31" s="83">
        <f>'Average Market Share'!R15</f>
        <v>0</v>
      </c>
      <c r="G31" s="84">
        <f>'Average Market Share'!W15</f>
        <v>0</v>
      </c>
    </row>
    <row r="32" spans="2:7">
      <c r="B32" s="82" t="str">
        <f>'Average Market Share'!A16</f>
        <v>Instant Gas</v>
      </c>
      <c r="C32" s="83">
        <f>'Average Market Share'!C16</f>
        <v>0</v>
      </c>
      <c r="D32" s="83">
        <f>'Average Market Share'!H16</f>
        <v>0</v>
      </c>
      <c r="E32" s="83">
        <f>'Average Market Share'!M16</f>
        <v>0</v>
      </c>
      <c r="F32" s="83">
        <f>'Average Market Share'!R16</f>
        <v>0</v>
      </c>
      <c r="G32" s="84">
        <f>'Average Market Share'!W16</f>
        <v>0</v>
      </c>
    </row>
    <row r="33" spans="2:7">
      <c r="B33" s="85" t="str">
        <f>'Average Market Share'!A17</f>
        <v>Condensing Gas</v>
      </c>
      <c r="C33" s="86">
        <f>'Average Market Share'!C17</f>
        <v>0</v>
      </c>
      <c r="D33" s="86">
        <f>'Average Market Share'!H17</f>
        <v>0</v>
      </c>
      <c r="E33" s="86">
        <f>'Average Market Share'!M17</f>
        <v>0</v>
      </c>
      <c r="F33" s="86">
        <f>'Average Market Share'!R17</f>
        <v>0</v>
      </c>
      <c r="G33" s="87">
        <f>'Average Market Share'!W17</f>
        <v>0</v>
      </c>
    </row>
    <row r="34" spans="2:7">
      <c r="B34" s="44"/>
      <c r="C34" s="79"/>
      <c r="D34" s="95"/>
    </row>
    <row r="35" spans="2:7" ht="34.5" customHeight="1">
      <c r="B35" s="184" t="str">
        <f>CONCATENATE("Change in Natural Gas Usage Least Cost vs BAU Case (tBtu) - ",State,", Single Family, ", SpaceHeat, ", ", TankSize,", ", StartWH, " is starting water heater")</f>
        <v>Change in Natural Gas Usage Least Cost vs BAU Case (tBtu) - Oregon, Single Family, Gas FAF, &gt;55 Gallons, Electric Resistance is starting water heater</v>
      </c>
      <c r="C35" s="185"/>
      <c r="D35" s="185"/>
      <c r="E35" s="185"/>
      <c r="F35" s="185"/>
      <c r="G35" s="185"/>
    </row>
    <row r="36" spans="2:7">
      <c r="B36" s="80"/>
      <c r="C36" s="88">
        <v>2015</v>
      </c>
      <c r="D36" s="88">
        <v>2020</v>
      </c>
      <c r="E36" s="88">
        <v>2025</v>
      </c>
      <c r="F36" s="88">
        <v>2030</v>
      </c>
      <c r="G36" s="93">
        <v>2035</v>
      </c>
    </row>
    <row r="37" spans="2:7">
      <c r="B37" s="82" t="s">
        <v>159</v>
      </c>
      <c r="C37" s="132">
        <f>'Net Reduction in Gas'!C5</f>
        <v>-1.1757051201119917E-2</v>
      </c>
      <c r="D37" s="132">
        <f>'Net Reduction in Gas'!H5</f>
        <v>-5.9268672926496527E-2</v>
      </c>
      <c r="E37" s="132">
        <f>'Net Reduction in Gas'!M5</f>
        <v>-9.2354841079595199E-2</v>
      </c>
      <c r="F37" s="132">
        <f>'Net Reduction in Gas'!R5</f>
        <v>-0.11546875290322982</v>
      </c>
      <c r="G37" s="133">
        <f>'Net Reduction in Gas'!W5</f>
        <v>-0.13168357528242999</v>
      </c>
    </row>
    <row r="38" spans="2:7">
      <c r="B38" s="82" t="s">
        <v>158</v>
      </c>
      <c r="C38" s="132">
        <f>-'Net Reduction in Gas'!C6</f>
        <v>8.9407380344262814E-3</v>
      </c>
      <c r="D38" s="132">
        <f>-'Net Reduction in Gas'!H6</f>
        <v>4.5076470432034811E-2</v>
      </c>
      <c r="E38" s="132">
        <f>-'Net Reduction in Gas'!M6</f>
        <v>7.0249109243800317E-2</v>
      </c>
      <c r="F38" s="132">
        <f>-'Net Reduction in Gas'!R6</f>
        <v>8.7843319011413457E-2</v>
      </c>
      <c r="G38" s="133">
        <f>-'Net Reduction in Gas'!W6</f>
        <v>0.10019484757546815</v>
      </c>
    </row>
    <row r="39" spans="2:7">
      <c r="B39" s="85" t="s">
        <v>147</v>
      </c>
      <c r="C39" s="131">
        <f>'Net Reduction in Gas'!C7</f>
        <v>-2.8163131666936354E-3</v>
      </c>
      <c r="D39" s="131">
        <f>'Net Reduction in Gas'!H7</f>
        <v>-1.4192202494461716E-2</v>
      </c>
      <c r="E39" s="131">
        <f>'Net Reduction in Gas'!M7</f>
        <v>-2.2105731835794881E-2</v>
      </c>
      <c r="F39" s="131">
        <f>'Net Reduction in Gas'!R7</f>
        <v>-2.7625433891816362E-2</v>
      </c>
      <c r="G39" s="134">
        <f>'Net Reduction in Gas'!W7</f>
        <v>-3.1488727706961844E-2</v>
      </c>
    </row>
    <row r="40" spans="2:7">
      <c r="B40" s="96"/>
      <c r="C40" s="83"/>
      <c r="D40" s="83"/>
      <c r="E40" s="83"/>
      <c r="F40" s="83"/>
      <c r="G40" s="83"/>
    </row>
    <row r="41" spans="2:7" ht="36" customHeight="1">
      <c r="B41" s="186" t="str">
        <f>CONCATENATE("Change in Total Resource Cost due to Direct Use of Natural Gas in Least Cost vs BAU Case (2012 M$) - ",State,", Single Family, ", SpaceHeat, ", ", TankSize,", ", StartWH, " is starting water heater")</f>
        <v>Change in Total Resource Cost due to Direct Use of Natural Gas in Least Cost vs BAU Case (2012 M$) - Oregon, Single Family, Gas FAF, &gt;55 Gallons, Electric Resistance is starting water heater</v>
      </c>
      <c r="C41" s="187"/>
      <c r="D41" s="187"/>
      <c r="E41" s="187"/>
      <c r="F41" s="187"/>
      <c r="G41" s="187"/>
    </row>
    <row r="42" spans="2:7">
      <c r="B42" s="65" t="s">
        <v>72</v>
      </c>
      <c r="C42" s="136" t="str">
        <f>'Total Resource Cost'!B4</f>
        <v>NPV (2012 M$)</v>
      </c>
      <c r="D42" s="17"/>
      <c r="E42" s="17"/>
      <c r="F42" s="17"/>
    </row>
    <row r="43" spans="2:7">
      <c r="B43" s="166" t="str">
        <f>'Total Resource Cost'!A5</f>
        <v>Consumer Cost Reduction</v>
      </c>
      <c r="C43" s="167">
        <f>'Consumer Cost'!B7</f>
        <v>12.719472616365067</v>
      </c>
      <c r="D43" s="165"/>
      <c r="E43" s="165"/>
      <c r="F43" s="2"/>
    </row>
    <row r="44" spans="2:7">
      <c r="B44" s="166" t="str">
        <f>'Total Resource Cost'!A6</f>
        <v>Utility Cost Reduction</v>
      </c>
      <c r="C44" s="133">
        <f>'Utility Cost'!B4</f>
        <v>-4.3313850460872025</v>
      </c>
      <c r="D44" s="130"/>
    </row>
    <row r="45" spans="2:7">
      <c r="B45" s="168" t="str">
        <f>'Total Resource Cost'!A7</f>
        <v>Total Resource Cost Reduction</v>
      </c>
      <c r="C45" s="134">
        <f>'Total Resource Cost'!B7</f>
        <v>8.3880875702778805</v>
      </c>
    </row>
  </sheetData>
  <mergeCells count="6">
    <mergeCell ref="B3:F3"/>
    <mergeCell ref="B35:G35"/>
    <mergeCell ref="B27:G27"/>
    <mergeCell ref="B41:G41"/>
    <mergeCell ref="B19:G19"/>
    <mergeCell ref="B11:F11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20"/>
  <dimension ref="A1:W13"/>
  <sheetViews>
    <sheetView workbookViewId="0"/>
  </sheetViews>
  <sheetFormatPr defaultColWidth="9.140625" defaultRowHeight="15.75"/>
  <cols>
    <col min="1" max="1" width="20.7109375" style="9" customWidth="1"/>
    <col min="2" max="7" width="9.7109375" style="9" customWidth="1"/>
    <col min="8" max="16384" width="9.140625" style="9"/>
  </cols>
  <sheetData>
    <row r="1" spans="1:23">
      <c r="A1" s="147" t="str">
        <f>CONCATENATE("Segment:  ",State,", Single Family, ", SpaceHeat, ", ", TankSize,", ", StartWH, " is starting water heater")</f>
        <v>Segment:  Oregon, Single Family, Gas FAF, &gt;55 Gallons, Electric Resistance is starting water heater</v>
      </c>
    </row>
    <row r="3" spans="1:23" ht="24" customHeight="1">
      <c r="A3" s="25" t="s">
        <v>30</v>
      </c>
    </row>
    <row r="4" spans="1:23" s="23" customFormat="1">
      <c r="A4" s="24" t="str">
        <f>+'Device Energy Use'!A4</f>
        <v>Water Heat Ending</v>
      </c>
      <c r="B4" s="21">
        <f>+'Fuel Cost'!B4</f>
        <v>2014</v>
      </c>
      <c r="C4" s="21">
        <f>+'Fuel Cost'!C4</f>
        <v>2015</v>
      </c>
      <c r="D4" s="21">
        <f>+'Fuel Cost'!D4</f>
        <v>2016</v>
      </c>
      <c r="E4" s="21">
        <f>+'Fuel Cost'!E4</f>
        <v>2017</v>
      </c>
      <c r="F4" s="21">
        <f>+'Fuel Cost'!F4</f>
        <v>2018</v>
      </c>
      <c r="G4" s="21">
        <f>+'Fuel Cost'!G4</f>
        <v>2019</v>
      </c>
      <c r="H4" s="21">
        <f>+'Fuel Cost'!H4</f>
        <v>2020</v>
      </c>
      <c r="I4" s="21">
        <f>+'Fuel Cost'!I4</f>
        <v>2021</v>
      </c>
      <c r="J4" s="21">
        <f>+'Fuel Cost'!J4</f>
        <v>2022</v>
      </c>
      <c r="K4" s="21">
        <f>+'Fuel Cost'!K4</f>
        <v>2023</v>
      </c>
      <c r="L4" s="21">
        <f>+'Fuel Cost'!L4</f>
        <v>2024</v>
      </c>
      <c r="M4" s="21">
        <f>+'Fuel Cost'!M4</f>
        <v>2025</v>
      </c>
      <c r="N4" s="21">
        <f>+'Fuel Cost'!N4</f>
        <v>2026</v>
      </c>
      <c r="O4" s="21">
        <f>+'Fuel Cost'!O4</f>
        <v>2027</v>
      </c>
      <c r="P4" s="21">
        <f>+'Fuel Cost'!P4</f>
        <v>2028</v>
      </c>
      <c r="Q4" s="21">
        <f>+'Fuel Cost'!Q4</f>
        <v>2029</v>
      </c>
      <c r="R4" s="21">
        <f>+'Fuel Cost'!R4</f>
        <v>2030</v>
      </c>
      <c r="S4" s="21">
        <f>+'Fuel Cost'!S4</f>
        <v>2031</v>
      </c>
      <c r="T4" s="21">
        <f>+'Fuel Cost'!T4</f>
        <v>2032</v>
      </c>
      <c r="U4" s="21">
        <f>+'Fuel Cost'!U4</f>
        <v>2033</v>
      </c>
      <c r="V4" s="21">
        <f>+'Fuel Cost'!V4</f>
        <v>2034</v>
      </c>
      <c r="W4" s="21">
        <f>+'Fuel Cost'!W4</f>
        <v>2035</v>
      </c>
    </row>
    <row r="5" spans="1:23">
      <c r="A5" s="9" t="str">
        <f>+'Device Energy Use'!A5</f>
        <v>Electric Resistance</v>
      </c>
      <c r="B5" s="27">
        <f>'Capital Cost'!$E5*CapitalChargeRate+'Fuel Cost'!B5 + 'O&amp;M Cost'!$D5</f>
        <v>404.83724198892946</v>
      </c>
      <c r="C5" s="27">
        <f>'Capital Cost'!$E5*CapitalChargeRate+'Fuel Cost'!C5 + 'O&amp;M Cost'!$D5</f>
        <v>409.22665833706503</v>
      </c>
      <c r="D5" s="27">
        <f>'Capital Cost'!$E5*CapitalChargeRate+'Fuel Cost'!D5 + 'O&amp;M Cost'!$D5</f>
        <v>413.67313709772645</v>
      </c>
      <c r="E5" s="27">
        <f>'Capital Cost'!$E5*CapitalChargeRate+'Fuel Cost'!E5 + 'O&amp;M Cost'!$D5</f>
        <v>418.17742008227651</v>
      </c>
      <c r="F5" s="27">
        <f>'Capital Cost'!$E5*CapitalChargeRate+'Fuel Cost'!F5 + 'O&amp;M Cost'!$D5</f>
        <v>422.74025874562562</v>
      </c>
      <c r="G5" s="27">
        <f>'Capital Cost'!$E5*CapitalChargeRate+'Fuel Cost'!G5 + 'O&amp;M Cost'!$D5</f>
        <v>427.36241431159829</v>
      </c>
      <c r="H5" s="27">
        <f>'Capital Cost'!$E5*CapitalChargeRate+'Fuel Cost'!H5 + 'O&amp;M Cost'!$D5</f>
        <v>432.04465789992867</v>
      </c>
      <c r="I5" s="27">
        <f>'Capital Cost'!$E5*CapitalChargeRate+'Fuel Cost'!I5 + 'O&amp;M Cost'!$D5</f>
        <v>436.78777065490715</v>
      </c>
      <c r="J5" s="27">
        <f>'Capital Cost'!$E5*CapitalChargeRate+'Fuel Cost'!J5 + 'O&amp;M Cost'!$D5</f>
        <v>441.59254387570047</v>
      </c>
      <c r="K5" s="27">
        <f>'Capital Cost'!$E5*CapitalChargeRate+'Fuel Cost'!K5 + 'O&amp;M Cost'!$D5</f>
        <v>446.45977914836419</v>
      </c>
      <c r="L5" s="27">
        <f>'Capital Cost'!$E5*CapitalChargeRate+'Fuel Cost'!L5 + 'O&amp;M Cost'!$D5</f>
        <v>451.39028847957252</v>
      </c>
      <c r="M5" s="27">
        <f>'Capital Cost'!$E5*CapitalChargeRate+'Fuel Cost'!M5 + 'O&amp;M Cost'!$D5</f>
        <v>456.38489443208653</v>
      </c>
      <c r="N5" s="27">
        <f>'Capital Cost'!$E5*CapitalChargeRate+'Fuel Cost'!N5 + 'O&amp;M Cost'!$D5</f>
        <v>461.44443026198314</v>
      </c>
      <c r="O5" s="27">
        <f>'Capital Cost'!$E5*CapitalChargeRate+'Fuel Cost'!O5 + 'O&amp;M Cost'!$D5</f>
        <v>466.56974005766847</v>
      </c>
      <c r="P5" s="27">
        <f>'Capital Cost'!$E5*CapitalChargeRate+'Fuel Cost'!P5 + 'O&amp;M Cost'!$D5</f>
        <v>471.76167888069767</v>
      </c>
      <c r="Q5" s="27">
        <f>'Capital Cost'!$E5*CapitalChargeRate+'Fuel Cost'!Q5 + 'O&amp;M Cost'!$D5</f>
        <v>477.02111290842629</v>
      </c>
      <c r="R5" s="27">
        <f>'Capital Cost'!$E5*CapitalChargeRate+'Fuel Cost'!R5 + 'O&amp;M Cost'!$D5</f>
        <v>482.34891957851539</v>
      </c>
      <c r="S5" s="27">
        <f>'Capital Cost'!$E5*CapitalChargeRate+'Fuel Cost'!S5 + 'O&amp;M Cost'!$D5</f>
        <v>487.74598773531568</v>
      </c>
      <c r="T5" s="27">
        <f>'Capital Cost'!$E5*CapitalChargeRate+'Fuel Cost'!T5 + 'O&amp;M Cost'!$D5</f>
        <v>493.21321777815433</v>
      </c>
      <c r="U5" s="27">
        <f>'Capital Cost'!$E5*CapitalChargeRate+'Fuel Cost'!U5 + 'O&amp;M Cost'!$D5</f>
        <v>498.75152181154988</v>
      </c>
      <c r="V5" s="27">
        <f>'Capital Cost'!$E5*CapitalChargeRate+'Fuel Cost'!V5 + 'O&amp;M Cost'!$D5</f>
        <v>504.36182379737954</v>
      </c>
      <c r="W5" s="27">
        <f>'Capital Cost'!$E5*CapitalChargeRate+'Fuel Cost'!W5 + 'O&amp;M Cost'!$D5</f>
        <v>510.04505970902505</v>
      </c>
    </row>
    <row r="6" spans="1:23">
      <c r="A6" s="9" t="str">
        <f>+'Device Energy Use'!A6</f>
        <v>HPWH</v>
      </c>
      <c r="B6" s="27">
        <f>'Capital Cost'!$E6*CapitalChargeRate+'Fuel Cost'!B6 + 'O&amp;M Cost'!$D6</f>
        <v>359.06898032660297</v>
      </c>
      <c r="C6" s="27">
        <f>'Capital Cost'!$E6*CapitalChargeRate+'Fuel Cost'!C6 + 'O&amp;M Cost'!$D6</f>
        <v>361.46297584111966</v>
      </c>
      <c r="D6" s="27">
        <f>'Capital Cost'!$E6*CapitalChargeRate+'Fuel Cost'!D6 + 'O&amp;M Cost'!$D6</f>
        <v>363.88809329732499</v>
      </c>
      <c r="E6" s="27">
        <f>'Capital Cost'!$E6*CapitalChargeRate+'Fuel Cost'!E6 + 'O&amp;M Cost'!$D6</f>
        <v>366.34473728046106</v>
      </c>
      <c r="F6" s="27">
        <f>'Capital Cost'!$E6*CapitalChargeRate+'Fuel Cost'!F6 + 'O&amp;M Cost'!$D6</f>
        <v>368.83331763537785</v>
      </c>
      <c r="G6" s="27">
        <f>'Capital Cost'!$E6*CapitalChargeRate+'Fuel Cost'!G6 + 'O&amp;M Cost'!$D6</f>
        <v>371.3542495349086</v>
      </c>
      <c r="H6" s="27">
        <f>'Capital Cost'!$E6*CapitalChargeRate+'Fuel Cost'!H6 + 'O&amp;M Cost'!$D6</f>
        <v>373.90795354913325</v>
      </c>
      <c r="I6" s="27">
        <f>'Capital Cost'!$E6*CapitalChargeRate+'Fuel Cost'!I6 + 'O&amp;M Cost'!$D6</f>
        <v>376.49485571554271</v>
      </c>
      <c r="J6" s="27">
        <f>'Capital Cost'!$E6*CapitalChargeRate+'Fuel Cost'!J6 + 'O&amp;M Cost'!$D6</f>
        <v>379.11538761011559</v>
      </c>
      <c r="K6" s="27">
        <f>'Capital Cost'!$E6*CapitalChargeRate+'Fuel Cost'!K6 + 'O&amp;M Cost'!$D6</f>
        <v>381.76998641931795</v>
      </c>
      <c r="L6" s="27">
        <f>'Capital Cost'!$E6*CapitalChargeRate+'Fuel Cost'!L6 + 'O&amp;M Cost'!$D6</f>
        <v>384.45909501303993</v>
      </c>
      <c r="M6" s="27">
        <f>'Capital Cost'!$E6*CapitalChargeRate+'Fuel Cost'!M6 + 'O&amp;M Cost'!$D6</f>
        <v>387.18316201848023</v>
      </c>
      <c r="N6" s="27">
        <f>'Capital Cost'!$E6*CapitalChargeRate+'Fuel Cost'!N6 + 'O&amp;M Cost'!$D6</f>
        <v>389.94264189499131</v>
      </c>
      <c r="O6" s="27">
        <f>'Capital Cost'!$E6*CapitalChargeRate+'Fuel Cost'!O6 + 'O&amp;M Cost'!$D6</f>
        <v>392.73799500989696</v>
      </c>
      <c r="P6" s="27">
        <f>'Capital Cost'!$E6*CapitalChargeRate+'Fuel Cost'!P6 + 'O&amp;M Cost'!$D6</f>
        <v>395.56968771529648</v>
      </c>
      <c r="Q6" s="27">
        <f>'Capital Cost'!$E6*CapitalChargeRate+'Fuel Cost'!Q6 + 'O&amp;M Cost'!$D6</f>
        <v>398.43819242586608</v>
      </c>
      <c r="R6" s="27">
        <f>'Capital Cost'!$E6*CapitalChargeRate+'Fuel Cost'!R6 + 'O&amp;M Cost'!$D6</f>
        <v>401.34398769767319</v>
      </c>
      <c r="S6" s="27">
        <f>'Capital Cost'!$E6*CapitalChargeRate+'Fuel Cost'!S6 + 'O&amp;M Cost'!$D6</f>
        <v>404.28755830801379</v>
      </c>
      <c r="T6" s="27">
        <f>'Capital Cost'!$E6*CapitalChargeRate+'Fuel Cost'!T6 + 'O&amp;M Cost'!$D6</f>
        <v>407.26939533628877</v>
      </c>
      <c r="U6" s="27">
        <f>'Capital Cost'!$E6*CapitalChargeRate+'Fuel Cost'!U6 + 'O&amp;M Cost'!$D6</f>
        <v>410.28999624593132</v>
      </c>
      <c r="V6" s="27">
        <f>'Capital Cost'!$E6*CapitalChargeRate+'Fuel Cost'!V6 + 'O&amp;M Cost'!$D6</f>
        <v>413.34986496739918</v>
      </c>
      <c r="W6" s="27">
        <f>'Capital Cost'!$E6*CapitalChargeRate+'Fuel Cost'!W6 + 'O&amp;M Cost'!$D6</f>
        <v>416.44951198224624</v>
      </c>
    </row>
    <row r="7" spans="1:23">
      <c r="A7" s="9" t="str">
        <f>+'Device Energy Use'!A7</f>
        <v>Gas Tank</v>
      </c>
      <c r="B7" s="27">
        <f>'Capital Cost'!$E7*CapitalChargeRate+'Fuel Cost'!B7 + 'O&amp;M Cost'!$D7</f>
        <v>286.98914186170344</v>
      </c>
      <c r="C7" s="27">
        <f>'Capital Cost'!$E7*CapitalChargeRate+'Fuel Cost'!C7 + 'O&amp;M Cost'!$D7</f>
        <v>289.92979503255253</v>
      </c>
      <c r="D7" s="27">
        <f>'Capital Cost'!$E7*CapitalChargeRate+'Fuel Cost'!D7 + 'O&amp;M Cost'!$D7</f>
        <v>292.91455800096429</v>
      </c>
      <c r="E7" s="27">
        <f>'Capital Cost'!$E7*CapitalChargeRate+'Fuel Cost'!E7 + 'O&amp;M Cost'!$D7</f>
        <v>295.94409241390224</v>
      </c>
      <c r="F7" s="27">
        <f>'Capital Cost'!$E7*CapitalChargeRate+'Fuel Cost'!F7 + 'O&amp;M Cost'!$D7</f>
        <v>299.01906984303423</v>
      </c>
      <c r="G7" s="27">
        <f>'Capital Cost'!$E7*CapitalChargeRate+'Fuel Cost'!G7 + 'O&amp;M Cost'!$D7</f>
        <v>302.14017193360326</v>
      </c>
      <c r="H7" s="27">
        <f>'Capital Cost'!$E7*CapitalChargeRate+'Fuel Cost'!H7 + 'O&amp;M Cost'!$D7</f>
        <v>305.30809055553084</v>
      </c>
      <c r="I7" s="27">
        <f>'Capital Cost'!$E7*CapitalChargeRate+'Fuel Cost'!I7 + 'O&amp;M Cost'!$D7</f>
        <v>308.52352795678723</v>
      </c>
      <c r="J7" s="27">
        <f>'Capital Cost'!$E7*CapitalChargeRate+'Fuel Cost'!J7 + 'O&amp;M Cost'!$D7</f>
        <v>311.78719691906258</v>
      </c>
      <c r="K7" s="27">
        <f>'Capital Cost'!$E7*CapitalChargeRate+'Fuel Cost'!K7 + 'O&amp;M Cost'!$D7</f>
        <v>315.09982091577194</v>
      </c>
      <c r="L7" s="27">
        <f>'Capital Cost'!$E7*CapitalChargeRate+'Fuel Cost'!L7 + 'O&amp;M Cost'!$D7</f>
        <v>318.46213427243202</v>
      </c>
      <c r="M7" s="27">
        <f>'Capital Cost'!$E7*CapitalChargeRate+'Fuel Cost'!M7 + 'O&amp;M Cost'!$D7</f>
        <v>321.87488232944202</v>
      </c>
      <c r="N7" s="27">
        <f>'Capital Cost'!$E7*CapitalChargeRate+'Fuel Cost'!N7 + 'O&amp;M Cost'!$D7</f>
        <v>325.33882160730707</v>
      </c>
      <c r="O7" s="27">
        <f>'Capital Cost'!$E7*CapitalChargeRate+'Fuel Cost'!O7 + 'O&amp;M Cost'!$D7</f>
        <v>328.85471997434018</v>
      </c>
      <c r="P7" s="27">
        <f>'Capital Cost'!$E7*CapitalChargeRate+'Fuel Cost'!P7 + 'O&amp;M Cost'!$D7</f>
        <v>332.42335681687882</v>
      </c>
      <c r="Q7" s="27">
        <f>'Capital Cost'!$E7*CapitalChargeRate+'Fuel Cost'!Q7 + 'O&amp;M Cost'!$D7</f>
        <v>336.04552321205546</v>
      </c>
      <c r="R7" s="27">
        <f>'Capital Cost'!$E7*CapitalChargeRate+'Fuel Cost'!R7 + 'O&amp;M Cost'!$D7</f>
        <v>339.72202210315976</v>
      </c>
      <c r="S7" s="27">
        <f>'Capital Cost'!$E7*CapitalChargeRate+'Fuel Cost'!S7 + 'O&amp;M Cost'!$D7</f>
        <v>343.45366847763063</v>
      </c>
      <c r="T7" s="27">
        <f>'Capital Cost'!$E7*CapitalChargeRate+'Fuel Cost'!T7 + 'O&amp;M Cost'!$D7</f>
        <v>347.24128954771857</v>
      </c>
      <c r="U7" s="27">
        <f>'Capital Cost'!$E7*CapitalChargeRate+'Fuel Cost'!U7 + 'O&amp;M Cost'!$D7</f>
        <v>351.08572493385782</v>
      </c>
      <c r="V7" s="27">
        <f>'Capital Cost'!$E7*CapitalChargeRate+'Fuel Cost'!V7 + 'O&amp;M Cost'!$D7</f>
        <v>354.98782685078913</v>
      </c>
      <c r="W7" s="27">
        <f>'Capital Cost'!$E7*CapitalChargeRate+'Fuel Cost'!W7 + 'O&amp;M Cost'!$D7</f>
        <v>358.94846029647448</v>
      </c>
    </row>
    <row r="8" spans="1:23">
      <c r="A8" s="9" t="str">
        <f>+'Device Energy Use'!A8</f>
        <v>Instant Gas</v>
      </c>
      <c r="B8" s="27">
        <f>'Capital Cost'!$E8*CapitalChargeRate+'Fuel Cost'!B8 + 'O&amp;M Cost'!$D8</f>
        <v>615.11625870986154</v>
      </c>
      <c r="C8" s="27">
        <f>'Capital Cost'!$E8*CapitalChargeRate+'Fuel Cost'!C8 + 'O&amp;M Cost'!$D8</f>
        <v>617.68050834098335</v>
      </c>
      <c r="D8" s="27">
        <f>'Capital Cost'!$E8*CapitalChargeRate+'Fuel Cost'!D8 + 'O&amp;M Cost'!$D8</f>
        <v>620.28322171657192</v>
      </c>
      <c r="E8" s="27">
        <f>'Capital Cost'!$E8*CapitalChargeRate+'Fuel Cost'!E8 + 'O&amp;M Cost'!$D8</f>
        <v>622.92497579279438</v>
      </c>
      <c r="F8" s="27">
        <f>'Capital Cost'!$E8*CapitalChargeRate+'Fuel Cost'!F8 + 'O&amp;M Cost'!$D8</f>
        <v>625.60635618015999</v>
      </c>
      <c r="G8" s="27">
        <f>'Capital Cost'!$E8*CapitalChargeRate+'Fuel Cost'!G8 + 'O&amp;M Cost'!$D8</f>
        <v>628.32795727333632</v>
      </c>
      <c r="H8" s="27">
        <f>'Capital Cost'!$E8*CapitalChargeRate+'Fuel Cost'!H8 + 'O&amp;M Cost'!$D8</f>
        <v>631.09038238291009</v>
      </c>
      <c r="I8" s="27">
        <f>'Capital Cost'!$E8*CapitalChargeRate+'Fuel Cost'!I8 + 'O&amp;M Cost'!$D8</f>
        <v>633.89424386912765</v>
      </c>
      <c r="J8" s="27">
        <f>'Capital Cost'!$E8*CapitalChargeRate+'Fuel Cost'!J8 + 'O&amp;M Cost'!$D8</f>
        <v>636.74016327763843</v>
      </c>
      <c r="K8" s="27">
        <f>'Capital Cost'!$E8*CapitalChargeRate+'Fuel Cost'!K8 + 'O&amp;M Cost'!$D8</f>
        <v>639.62877147727681</v>
      </c>
      <c r="L8" s="27">
        <f>'Capital Cost'!$E8*CapitalChargeRate+'Fuel Cost'!L8 + 'O&amp;M Cost'!$D8</f>
        <v>642.56070879990966</v>
      </c>
      <c r="M8" s="27">
        <f>'Capital Cost'!$E8*CapitalChargeRate+'Fuel Cost'!M8 + 'O&amp;M Cost'!$D8</f>
        <v>645.53662518238229</v>
      </c>
      <c r="N8" s="27">
        <f>'Capital Cost'!$E8*CapitalChargeRate+'Fuel Cost'!N8 + 'O&amp;M Cost'!$D8</f>
        <v>648.55718031059178</v>
      </c>
      <c r="O8" s="27">
        <f>'Capital Cost'!$E8*CapitalChargeRate+'Fuel Cost'!O8 + 'O&amp;M Cost'!$D8</f>
        <v>651.62304376572456</v>
      </c>
      <c r="P8" s="27">
        <f>'Capital Cost'!$E8*CapitalChargeRate+'Fuel Cost'!P8 + 'O&amp;M Cost'!$D8</f>
        <v>654.73489517268422</v>
      </c>
      <c r="Q8" s="27">
        <f>'Capital Cost'!$E8*CapitalChargeRate+'Fuel Cost'!Q8 + 'O&amp;M Cost'!$D8</f>
        <v>657.89342435074832</v>
      </c>
      <c r="R8" s="27">
        <f>'Capital Cost'!$E8*CapitalChargeRate+'Fuel Cost'!R8 + 'O&amp;M Cost'!$D8</f>
        <v>661.09933146648336</v>
      </c>
      <c r="S8" s="27">
        <f>'Capital Cost'!$E8*CapitalChargeRate+'Fuel Cost'!S8 + 'O&amp;M Cost'!$D8</f>
        <v>664.35332718895438</v>
      </c>
      <c r="T8" s="27">
        <f>'Capital Cost'!$E8*CapitalChargeRate+'Fuel Cost'!T8 + 'O&amp;M Cost'!$D8</f>
        <v>667.65613284726237</v>
      </c>
      <c r="U8" s="27">
        <f>'Capital Cost'!$E8*CapitalChargeRate+'Fuel Cost'!U8 + 'O&amp;M Cost'!$D8</f>
        <v>671.00848059044529</v>
      </c>
      <c r="V8" s="27">
        <f>'Capital Cost'!$E8*CapitalChargeRate+'Fuel Cost'!V8 + 'O&amp;M Cost'!$D8</f>
        <v>674.41111354977579</v>
      </c>
      <c r="W8" s="27">
        <f>'Capital Cost'!$E8*CapitalChargeRate+'Fuel Cost'!W8 + 'O&amp;M Cost'!$D8</f>
        <v>677.86478600349619</v>
      </c>
    </row>
    <row r="9" spans="1:23">
      <c r="A9" s="9" t="str">
        <f>+'Device Energy Use'!A9</f>
        <v>Condensing Gas</v>
      </c>
      <c r="B9" s="27">
        <f>'Capital Cost'!$E9*CapitalChargeRate+'Fuel Cost'!B9 + 'O&amp;M Cost'!$D9</f>
        <v>427.63720985056227</v>
      </c>
      <c r="C9" s="27">
        <f>'Capital Cost'!$E9*CapitalChargeRate+'Fuel Cost'!C9 + 'O&amp;M Cost'!$D9</f>
        <v>430.30935718974433</v>
      </c>
      <c r="D9" s="27">
        <f>'Capital Cost'!$E9*CapitalChargeRate+'Fuel Cost'!D9 + 'O&amp;M Cost'!$D9</f>
        <v>433.02158673901408</v>
      </c>
      <c r="E9" s="27">
        <f>'Capital Cost'!$E9*CapitalChargeRate+'Fuel Cost'!E9 + 'O&amp;M Cost'!$D9</f>
        <v>435.77449973152295</v>
      </c>
      <c r="F9" s="27">
        <f>'Capital Cost'!$E9*CapitalChargeRate+'Fuel Cost'!F9 + 'O&amp;M Cost'!$D9</f>
        <v>438.56870641891942</v>
      </c>
      <c r="G9" s="27">
        <f>'Capital Cost'!$E9*CapitalChargeRate+'Fuel Cost'!G9 + 'O&amp;M Cost'!$D9</f>
        <v>441.40482620662681</v>
      </c>
      <c r="H9" s="27">
        <f>'Capital Cost'!$E9*CapitalChargeRate+'Fuel Cost'!H9 + 'O&amp;M Cost'!$D9</f>
        <v>444.28348779114981</v>
      </c>
      <c r="I9" s="27">
        <f>'Capital Cost'!$E9*CapitalChargeRate+'Fuel Cost'!I9 + 'O&amp;M Cost'!$D9</f>
        <v>447.20532929944068</v>
      </c>
      <c r="J9" s="27">
        <f>'Capital Cost'!$E9*CapitalChargeRate+'Fuel Cost'!J9 + 'O&amp;M Cost'!$D9</f>
        <v>450.17099843035589</v>
      </c>
      <c r="K9" s="27">
        <f>'Capital Cost'!$E9*CapitalChargeRate+'Fuel Cost'!K9 + 'O&amp;M Cost'!$D9</f>
        <v>453.1811525982348</v>
      </c>
      <c r="L9" s="27">
        <f>'Capital Cost'!$E9*CapitalChargeRate+'Fuel Cost'!L9 + 'O&amp;M Cost'!$D9</f>
        <v>456.23645907863192</v>
      </c>
      <c r="M9" s="27">
        <f>'Capital Cost'!$E9*CapitalChargeRate+'Fuel Cost'!M9 + 'O&amp;M Cost'!$D9</f>
        <v>459.33759515623501</v>
      </c>
      <c r="N9" s="27">
        <f>'Capital Cost'!$E9*CapitalChargeRate+'Fuel Cost'!N9 + 'O&amp;M Cost'!$D9</f>
        <v>462.48524827500216</v>
      </c>
      <c r="O9" s="27">
        <f>'Capital Cost'!$E9*CapitalChargeRate+'Fuel Cost'!O9 + 'O&amp;M Cost'!$D9</f>
        <v>465.68011619055085</v>
      </c>
      <c r="P9" s="27">
        <f>'Capital Cost'!$E9*CapitalChargeRate+'Fuel Cost'!P9 + 'O&amp;M Cost'!$D9</f>
        <v>468.9229071248327</v>
      </c>
      <c r="Q9" s="27">
        <f>'Capital Cost'!$E9*CapitalChargeRate+'Fuel Cost'!Q9 + 'O&amp;M Cost'!$D9</f>
        <v>472.21433992312882</v>
      </c>
      <c r="R9" s="27">
        <f>'Capital Cost'!$E9*CapitalChargeRate+'Fuel Cost'!R9 + 'O&amp;M Cost'!$D9</f>
        <v>475.55514421339933</v>
      </c>
      <c r="S9" s="27">
        <f>'Capital Cost'!$E9*CapitalChargeRate+'Fuel Cost'!S9 + 'O&amp;M Cost'!$D9</f>
        <v>478.94606056802388</v>
      </c>
      <c r="T9" s="27">
        <f>'Capital Cost'!$E9*CapitalChargeRate+'Fuel Cost'!T9 + 'O&amp;M Cost'!$D9</f>
        <v>482.38784066796785</v>
      </c>
      <c r="U9" s="27">
        <f>'Capital Cost'!$E9*CapitalChargeRate+'Fuel Cost'!U9 + 'O&amp;M Cost'!$D9</f>
        <v>485.88124746941094</v>
      </c>
      <c r="V9" s="27">
        <f>'Capital Cost'!$E9*CapitalChargeRate+'Fuel Cost'!V9 + 'O&amp;M Cost'!$D9</f>
        <v>489.42705537287577</v>
      </c>
      <c r="W9" s="27">
        <f>'Capital Cost'!$E9*CapitalChargeRate+'Fuel Cost'!W9 + 'O&amp;M Cost'!$D9</f>
        <v>493.02605039489248</v>
      </c>
    </row>
    <row r="11" spans="1:23">
      <c r="A11" s="28" t="s">
        <v>87</v>
      </c>
    </row>
    <row r="13" spans="1:23">
      <c r="A13" s="9" t="s">
        <v>91</v>
      </c>
      <c r="B13" s="27">
        <f>MIN(B6,B8,B9)</f>
        <v>359.06898032660297</v>
      </c>
      <c r="C13" s="27">
        <f t="shared" ref="C13:W13" si="0">MIN(C6,C8,C9)</f>
        <v>361.46297584111966</v>
      </c>
      <c r="D13" s="27">
        <f t="shared" si="0"/>
        <v>363.88809329732499</v>
      </c>
      <c r="E13" s="27">
        <f t="shared" si="0"/>
        <v>366.34473728046106</v>
      </c>
      <c r="F13" s="27">
        <f t="shared" si="0"/>
        <v>368.83331763537785</v>
      </c>
      <c r="G13" s="27">
        <f t="shared" si="0"/>
        <v>371.3542495349086</v>
      </c>
      <c r="H13" s="27">
        <f t="shared" si="0"/>
        <v>373.90795354913325</v>
      </c>
      <c r="I13" s="27">
        <f t="shared" si="0"/>
        <v>376.49485571554271</v>
      </c>
      <c r="J13" s="27">
        <f t="shared" si="0"/>
        <v>379.11538761011559</v>
      </c>
      <c r="K13" s="27">
        <f t="shared" si="0"/>
        <v>381.76998641931795</v>
      </c>
      <c r="L13" s="27">
        <f t="shared" si="0"/>
        <v>384.45909501303993</v>
      </c>
      <c r="M13" s="27">
        <f t="shared" si="0"/>
        <v>387.18316201848023</v>
      </c>
      <c r="N13" s="27">
        <f t="shared" si="0"/>
        <v>389.94264189499131</v>
      </c>
      <c r="O13" s="27">
        <f t="shared" si="0"/>
        <v>392.73799500989696</v>
      </c>
      <c r="P13" s="27">
        <f t="shared" si="0"/>
        <v>395.56968771529648</v>
      </c>
      <c r="Q13" s="27">
        <f t="shared" si="0"/>
        <v>398.43819242586608</v>
      </c>
      <c r="R13" s="27">
        <f t="shared" si="0"/>
        <v>401.34398769767319</v>
      </c>
      <c r="S13" s="27">
        <f t="shared" si="0"/>
        <v>404.28755830801379</v>
      </c>
      <c r="T13" s="27">
        <f t="shared" si="0"/>
        <v>407.26939533628877</v>
      </c>
      <c r="U13" s="27">
        <f t="shared" si="0"/>
        <v>410.28999624593132</v>
      </c>
      <c r="V13" s="27">
        <f t="shared" si="0"/>
        <v>413.34986496739918</v>
      </c>
      <c r="W13" s="27">
        <f t="shared" si="0"/>
        <v>416.44951198224624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21"/>
  <dimension ref="A1:W10"/>
  <sheetViews>
    <sheetView workbookViewId="0"/>
  </sheetViews>
  <sheetFormatPr defaultColWidth="9.140625" defaultRowHeight="15.75"/>
  <cols>
    <col min="1" max="1" width="20.7109375" style="9" customWidth="1"/>
    <col min="2" max="7" width="9.7109375" style="9" customWidth="1"/>
    <col min="8" max="8" width="8.7109375" style="9" bestFit="1" customWidth="1"/>
    <col min="9" max="29" width="9.28515625" style="9" bestFit="1" customWidth="1"/>
    <col min="30" max="16384" width="9.140625" style="9"/>
  </cols>
  <sheetData>
    <row r="1" spans="1:23">
      <c r="A1" s="147" t="str">
        <f>CONCATENATE("Segment:  ",State,", Single Family, ", SpaceHeat, ", ", TankSize,", ", StartWH, " is starting water heater")</f>
        <v>Segment:  Oregon, Single Family, Gas FAF, &gt;55 Gallons, Electric Resistance is starting water heater</v>
      </c>
    </row>
    <row r="3" spans="1:23" ht="24.75" customHeight="1">
      <c r="A3" s="25" t="s">
        <v>35</v>
      </c>
    </row>
    <row r="4" spans="1:23" s="22" customFormat="1">
      <c r="A4" s="20" t="str">
        <f>+'Device Energy Use'!A4</f>
        <v>Water Heat Ending</v>
      </c>
      <c r="B4" s="21">
        <f>+'Retail Rates'!B4</f>
        <v>2014</v>
      </c>
      <c r="C4" s="21">
        <f>+'Retail Rates'!C4</f>
        <v>2015</v>
      </c>
      <c r="D4" s="21">
        <f>+'Retail Rates'!D4</f>
        <v>2016</v>
      </c>
      <c r="E4" s="21">
        <f>+'Retail Rates'!E4</f>
        <v>2017</v>
      </c>
      <c r="F4" s="21">
        <f>+'Retail Rates'!F4</f>
        <v>2018</v>
      </c>
      <c r="G4" s="21">
        <f>+'Retail Rates'!G4</f>
        <v>2019</v>
      </c>
      <c r="H4" s="21">
        <f>+'Retail Rates'!H4</f>
        <v>2020</v>
      </c>
      <c r="I4" s="21">
        <f>+'Retail Rates'!I4</f>
        <v>2021</v>
      </c>
      <c r="J4" s="21">
        <f>+'Retail Rates'!J4</f>
        <v>2022</v>
      </c>
      <c r="K4" s="21">
        <f>+'Retail Rates'!K4</f>
        <v>2023</v>
      </c>
      <c r="L4" s="21">
        <f>+'Retail Rates'!L4</f>
        <v>2024</v>
      </c>
      <c r="M4" s="21">
        <f>+'Retail Rates'!M4</f>
        <v>2025</v>
      </c>
      <c r="N4" s="21">
        <f>+'Retail Rates'!N4</f>
        <v>2026</v>
      </c>
      <c r="O4" s="21">
        <f>+'Retail Rates'!O4</f>
        <v>2027</v>
      </c>
      <c r="P4" s="21">
        <f>+'Retail Rates'!P4</f>
        <v>2028</v>
      </c>
      <c r="Q4" s="21">
        <f>+'Retail Rates'!Q4</f>
        <v>2029</v>
      </c>
      <c r="R4" s="21">
        <f>+'Retail Rates'!R4</f>
        <v>2030</v>
      </c>
      <c r="S4" s="21">
        <f>+'Retail Rates'!S4</f>
        <v>2031</v>
      </c>
      <c r="T4" s="21">
        <f>+'Retail Rates'!T4</f>
        <v>2032</v>
      </c>
      <c r="U4" s="21">
        <f>+'Retail Rates'!U4</f>
        <v>2033</v>
      </c>
      <c r="V4" s="21">
        <f>+'Retail Rates'!V4</f>
        <v>2034</v>
      </c>
      <c r="W4" s="21">
        <f>+'Retail Rates'!W4</f>
        <v>2035</v>
      </c>
    </row>
    <row r="5" spans="1:23">
      <c r="A5" s="15" t="str">
        <f>+'Device Energy Use'!A5</f>
        <v>Electric Resistance</v>
      </c>
      <c r="B5" s="11">
        <f>+'Device Energy Use'!$D5*('Retail Rates'!B$5*'Device Energy Use'!$E5+'Retail Rates'!B$6*(1-'Device Energy Use'!$E5))</f>
        <v>337.64741139505077</v>
      </c>
      <c r="C5" s="11">
        <f>+'Device Energy Use'!$D5*('Retail Rates'!C$5*'Device Energy Use'!$E5+'Retail Rates'!C$6*(1-'Device Energy Use'!$E5))</f>
        <v>342.03682774318639</v>
      </c>
      <c r="D5" s="11">
        <f>+'Device Energy Use'!$D5*('Retail Rates'!D$5*'Device Energy Use'!$E5+'Retail Rates'!D$6*(1-'Device Energy Use'!$E5))</f>
        <v>346.48330650384781</v>
      </c>
      <c r="E5" s="11">
        <f>+'Device Energy Use'!$D5*('Retail Rates'!E$5*'Device Energy Use'!$E5+'Retail Rates'!E$6*(1-'Device Energy Use'!$E5))</f>
        <v>350.98758948839782</v>
      </c>
      <c r="F5" s="11">
        <f>+'Device Energy Use'!$D5*('Retail Rates'!F$5*'Device Energy Use'!$E5+'Retail Rates'!F$6*(1-'Device Energy Use'!$E5))</f>
        <v>355.55042815174693</v>
      </c>
      <c r="G5" s="11">
        <f>+'Device Energy Use'!$D5*('Retail Rates'!G$5*'Device Energy Use'!$E5+'Retail Rates'!G$6*(1-'Device Energy Use'!$E5))</f>
        <v>360.17258371771965</v>
      </c>
      <c r="H5" s="11">
        <f>+'Device Energy Use'!$D5*('Retail Rates'!H$5*'Device Energy Use'!$E5+'Retail Rates'!H$6*(1-'Device Energy Use'!$E5))</f>
        <v>364.85482730604997</v>
      </c>
      <c r="I5" s="11">
        <f>+'Device Energy Use'!$D5*('Retail Rates'!I$5*'Device Energy Use'!$E5+'Retail Rates'!I$6*(1-'Device Energy Use'!$E5))</f>
        <v>369.59794006102851</v>
      </c>
      <c r="J5" s="11">
        <f>+'Device Energy Use'!$D5*('Retail Rates'!J$5*'Device Energy Use'!$E5+'Retail Rates'!J$6*(1-'Device Energy Use'!$E5))</f>
        <v>374.40271328182183</v>
      </c>
      <c r="K5" s="11">
        <f>+'Device Energy Use'!$D5*('Retail Rates'!K$5*'Device Energy Use'!$E5+'Retail Rates'!K$6*(1-'Device Energy Use'!$E5))</f>
        <v>379.2699485544855</v>
      </c>
      <c r="L5" s="11">
        <f>+'Device Energy Use'!$D5*('Retail Rates'!L$5*'Device Energy Use'!$E5+'Retail Rates'!L$6*(1-'Device Energy Use'!$E5))</f>
        <v>384.20045788569382</v>
      </c>
      <c r="M5" s="11">
        <f>+'Device Energy Use'!$D5*('Retail Rates'!M$5*'Device Energy Use'!$E5+'Retail Rates'!M$6*(1-'Device Energy Use'!$E5))</f>
        <v>389.19506383820783</v>
      </c>
      <c r="N5" s="11">
        <f>+'Device Energy Use'!$D5*('Retail Rates'!N$5*'Device Energy Use'!$E5+'Retail Rates'!N$6*(1-'Device Energy Use'!$E5))</f>
        <v>394.25459966810445</v>
      </c>
      <c r="O5" s="11">
        <f>+'Device Energy Use'!$D5*('Retail Rates'!O$5*'Device Energy Use'!$E5+'Retail Rates'!O$6*(1-'Device Energy Use'!$E5))</f>
        <v>399.37990946378977</v>
      </c>
      <c r="P5" s="11">
        <f>+'Device Energy Use'!$D5*('Retail Rates'!P$5*'Device Energy Use'!$E5+'Retail Rates'!P$6*(1-'Device Energy Use'!$E5))</f>
        <v>404.57184828681903</v>
      </c>
      <c r="Q5" s="11">
        <f>+'Device Energy Use'!$D5*('Retail Rates'!Q$5*'Device Energy Use'!$E5+'Retail Rates'!Q$6*(1-'Device Energy Use'!$E5))</f>
        <v>409.83128231454765</v>
      </c>
      <c r="R5" s="11">
        <f>+'Device Energy Use'!$D5*('Retail Rates'!R$5*'Device Energy Use'!$E5+'Retail Rates'!R$6*(1-'Device Energy Use'!$E5))</f>
        <v>415.15908898463675</v>
      </c>
      <c r="S5" s="11">
        <f>+'Device Energy Use'!$D5*('Retail Rates'!S$5*'Device Energy Use'!$E5+'Retail Rates'!S$6*(1-'Device Energy Use'!$E5))</f>
        <v>420.55615714143698</v>
      </c>
      <c r="T5" s="11">
        <f>+'Device Energy Use'!$D5*('Retail Rates'!T$5*'Device Energy Use'!$E5+'Retail Rates'!T$6*(1-'Device Energy Use'!$E5))</f>
        <v>426.02338718427563</v>
      </c>
      <c r="U5" s="11">
        <f>+'Device Energy Use'!$D5*('Retail Rates'!U$5*'Device Energy Use'!$E5+'Retail Rates'!U$6*(1-'Device Energy Use'!$E5))</f>
        <v>431.56169121767118</v>
      </c>
      <c r="V5" s="11">
        <f>+'Device Energy Use'!$D5*('Retail Rates'!V$5*'Device Energy Use'!$E5+'Retail Rates'!V$6*(1-'Device Energy Use'!$E5))</f>
        <v>437.1719932035009</v>
      </c>
      <c r="W5" s="11">
        <f>+'Device Energy Use'!$D5*('Retail Rates'!W$5*'Device Energy Use'!$E5+'Retail Rates'!W$6*(1-'Device Energy Use'!$E5))</f>
        <v>442.85522911514636</v>
      </c>
    </row>
    <row r="6" spans="1:23">
      <c r="A6" s="15" t="str">
        <f>+'Device Energy Use'!A6</f>
        <v>HPWH</v>
      </c>
      <c r="B6" s="11">
        <f>+'Device Energy Use'!$D6*('Retail Rates'!B$5*'Device Energy Use'!$E6+'Retail Rates'!B$6*(1-'Device Energy Use'!$E6))</f>
        <v>184.1535011166668</v>
      </c>
      <c r="C6" s="11">
        <f>+'Device Energy Use'!$D6*('Retail Rates'!C$5*'Device Energy Use'!$E6+'Retail Rates'!C$6*(1-'Device Energy Use'!$E6))</f>
        <v>186.54749663118346</v>
      </c>
      <c r="D6" s="11">
        <f>+'Device Energy Use'!$D6*('Retail Rates'!D$5*'Device Energy Use'!$E6+'Retail Rates'!D$6*(1-'Device Energy Use'!$E6))</f>
        <v>188.97261408738882</v>
      </c>
      <c r="E6" s="11">
        <f>+'Device Energy Use'!$D6*('Retail Rates'!E$5*'Device Energy Use'!$E6+'Retail Rates'!E$6*(1-'Device Energy Use'!$E6))</f>
        <v>191.42925807052487</v>
      </c>
      <c r="F6" s="11">
        <f>+'Device Energy Use'!$D6*('Retail Rates'!F$5*'Device Energy Use'!$E6+'Retail Rates'!F$6*(1-'Device Energy Use'!$E6))</f>
        <v>193.91783842544169</v>
      </c>
      <c r="G6" s="11">
        <f>+'Device Energy Use'!$D6*('Retail Rates'!G$5*'Device Energy Use'!$E6+'Retail Rates'!G$6*(1-'Device Energy Use'!$E6))</f>
        <v>196.43877032497241</v>
      </c>
      <c r="H6" s="11">
        <f>+'Device Energy Use'!$D6*('Retail Rates'!H$5*'Device Energy Use'!$E6+'Retail Rates'!H$6*(1-'Device Energy Use'!$E6))</f>
        <v>198.99247433919703</v>
      </c>
      <c r="I6" s="11">
        <f>+'Device Energy Use'!$D6*('Retail Rates'!I$5*'Device Energy Use'!$E6+'Retail Rates'!I$6*(1-'Device Energy Use'!$E6))</f>
        <v>201.57937650560655</v>
      </c>
      <c r="J6" s="11">
        <f>+'Device Energy Use'!$D6*('Retail Rates'!J$5*'Device Energy Use'!$E6+'Retail Rates'!J$6*(1-'Device Energy Use'!$E6))</f>
        <v>204.19990840017942</v>
      </c>
      <c r="K6" s="11">
        <f>+'Device Energy Use'!$D6*('Retail Rates'!K$5*'Device Energy Use'!$E6+'Retail Rates'!K$6*(1-'Device Energy Use'!$E6))</f>
        <v>206.85450720938175</v>
      </c>
      <c r="L6" s="11">
        <f>+'Device Energy Use'!$D6*('Retail Rates'!L$5*'Device Energy Use'!$E6+'Retail Rates'!L$6*(1-'Device Energy Use'!$E6))</f>
        <v>209.54361580310371</v>
      </c>
      <c r="M6" s="11">
        <f>+'Device Energy Use'!$D6*('Retail Rates'!M$5*'Device Energy Use'!$E6+'Retail Rates'!M$6*(1-'Device Energy Use'!$E6))</f>
        <v>212.26768280854404</v>
      </c>
      <c r="N6" s="11">
        <f>+'Device Energy Use'!$D6*('Retail Rates'!N$5*'Device Energy Use'!$E6+'Retail Rates'!N$6*(1-'Device Energy Use'!$E6))</f>
        <v>215.02716268505509</v>
      </c>
      <c r="O6" s="11">
        <f>+'Device Energy Use'!$D6*('Retail Rates'!O$5*'Device Energy Use'!$E6+'Retail Rates'!O$6*(1-'Device Energy Use'!$E6))</f>
        <v>217.82251579996077</v>
      </c>
      <c r="P6" s="11">
        <f>+'Device Energy Use'!$D6*('Retail Rates'!P$5*'Device Energy Use'!$E6+'Retail Rates'!P$6*(1-'Device Energy Use'!$E6))</f>
        <v>220.65420850536026</v>
      </c>
      <c r="Q6" s="11">
        <f>+'Device Energy Use'!$D6*('Retail Rates'!Q$5*'Device Energy Use'!$E6+'Retail Rates'!Q$6*(1-'Device Energy Use'!$E6))</f>
        <v>223.52271321592991</v>
      </c>
      <c r="R6" s="11">
        <f>+'Device Energy Use'!$D6*('Retail Rates'!R$5*'Device Energy Use'!$E6+'Retail Rates'!R$6*(1-'Device Energy Use'!$E6))</f>
        <v>226.42850848773699</v>
      </c>
      <c r="S6" s="11">
        <f>+'Device Energy Use'!$D6*('Retail Rates'!S$5*'Device Energy Use'!$E6+'Retail Rates'!S$6*(1-'Device Energy Use'!$E6))</f>
        <v>229.37207909807756</v>
      </c>
      <c r="T6" s="11">
        <f>+'Device Energy Use'!$D6*('Retail Rates'!T$5*'Device Energy Use'!$E6+'Retail Rates'!T$6*(1-'Device Energy Use'!$E6))</f>
        <v>232.35391612635254</v>
      </c>
      <c r="U6" s="11">
        <f>+'Device Energy Use'!$D6*('Retail Rates'!U$5*'Device Energy Use'!$E6+'Retail Rates'!U$6*(1-'Device Energy Use'!$E6))</f>
        <v>235.3745170359951</v>
      </c>
      <c r="V6" s="11">
        <f>+'Device Energy Use'!$D6*('Retail Rates'!V$5*'Device Energy Use'!$E6+'Retail Rates'!V$6*(1-'Device Energy Use'!$E6))</f>
        <v>238.43438575746302</v>
      </c>
      <c r="W6" s="11">
        <f>+'Device Energy Use'!$D6*('Retail Rates'!W$5*'Device Energy Use'!$E6+'Retail Rates'!W$6*(1-'Device Energy Use'!$E6))</f>
        <v>241.53403277231001</v>
      </c>
    </row>
    <row r="7" spans="1:23">
      <c r="A7" s="15" t="str">
        <f>+'Device Energy Use'!A7</f>
        <v>Gas Tank</v>
      </c>
      <c r="B7" s="11">
        <f>+'Device Energy Use'!$D7*('Retail Rates'!B$5*'Device Energy Use'!$E7+'Retail Rates'!B$6*(1-'Device Energy Use'!$E7))</f>
        <v>196.04354472327037</v>
      </c>
      <c r="C7" s="11">
        <f>+'Device Energy Use'!$D7*('Retail Rates'!C$5*'Device Energy Use'!$E7+'Retail Rates'!C$6*(1-'Device Energy Use'!$E7))</f>
        <v>198.98419789411943</v>
      </c>
      <c r="D7" s="11">
        <f>+'Device Energy Use'!$D7*('Retail Rates'!D$5*'Device Energy Use'!$E7+'Retail Rates'!D$6*(1-'Device Energy Use'!$E7))</f>
        <v>201.96896086253122</v>
      </c>
      <c r="E7" s="11">
        <f>+'Device Energy Use'!$D7*('Retail Rates'!E$5*'Device Energy Use'!$E7+'Retail Rates'!E$6*(1-'Device Energy Use'!$E7))</f>
        <v>204.99849527546917</v>
      </c>
      <c r="F7" s="11">
        <f>+'Device Energy Use'!$D7*('Retail Rates'!F$5*'Device Energy Use'!$E7+'Retail Rates'!F$6*(1-'Device Energy Use'!$E7))</f>
        <v>208.07347270460119</v>
      </c>
      <c r="G7" s="11">
        <f>+'Device Energy Use'!$D7*('Retail Rates'!G$5*'Device Energy Use'!$E7+'Retail Rates'!G$6*(1-'Device Energy Use'!$E7))</f>
        <v>211.19457479517018</v>
      </c>
      <c r="H7" s="11">
        <f>+'Device Energy Use'!$D7*('Retail Rates'!H$5*'Device Energy Use'!$E7+'Retail Rates'!H$6*(1-'Device Energy Use'!$E7))</f>
        <v>214.36249341709774</v>
      </c>
      <c r="I7" s="11">
        <f>+'Device Energy Use'!$D7*('Retail Rates'!I$5*'Device Energy Use'!$E7+'Retail Rates'!I$6*(1-'Device Energy Use'!$E7))</f>
        <v>217.57793081835419</v>
      </c>
      <c r="J7" s="11">
        <f>+'Device Energy Use'!$D7*('Retail Rates'!J$5*'Device Energy Use'!$E7+'Retail Rates'!J$6*(1-'Device Energy Use'!$E7))</f>
        <v>220.84159978062948</v>
      </c>
      <c r="K7" s="11">
        <f>+'Device Energy Use'!$D7*('Retail Rates'!K$5*'Device Energy Use'!$E7+'Retail Rates'!K$6*(1-'Device Energy Use'!$E7))</f>
        <v>224.1542237773389</v>
      </c>
      <c r="L7" s="11">
        <f>+'Device Energy Use'!$D7*('Retail Rates'!L$5*'Device Energy Use'!$E7+'Retail Rates'!L$6*(1-'Device Energy Use'!$E7))</f>
        <v>227.51653713399895</v>
      </c>
      <c r="M7" s="11">
        <f>+'Device Energy Use'!$D7*('Retail Rates'!M$5*'Device Energy Use'!$E7+'Retail Rates'!M$6*(1-'Device Energy Use'!$E7))</f>
        <v>230.92928519100892</v>
      </c>
      <c r="N7" s="11">
        <f>+'Device Energy Use'!$D7*('Retail Rates'!N$5*'Device Energy Use'!$E7+'Retail Rates'!N$6*(1-'Device Energy Use'!$E7))</f>
        <v>234.39322446887402</v>
      </c>
      <c r="O7" s="11">
        <f>+'Device Energy Use'!$D7*('Retail Rates'!O$5*'Device Energy Use'!$E7+'Retail Rates'!O$6*(1-'Device Energy Use'!$E7))</f>
        <v>237.90912283590711</v>
      </c>
      <c r="P7" s="11">
        <f>+'Device Energy Use'!$D7*('Retail Rates'!P$5*'Device Energy Use'!$E7+'Retail Rates'!P$6*(1-'Device Energy Use'!$E7))</f>
        <v>241.47775967844572</v>
      </c>
      <c r="Q7" s="11">
        <f>+'Device Energy Use'!$D7*('Retail Rates'!Q$5*'Device Energy Use'!$E7+'Retail Rates'!Q$6*(1-'Device Energy Use'!$E7))</f>
        <v>245.09992607362238</v>
      </c>
      <c r="R7" s="11">
        <f>+'Device Energy Use'!$D7*('Retail Rates'!R$5*'Device Energy Use'!$E7+'Retail Rates'!R$6*(1-'Device Energy Use'!$E7))</f>
        <v>248.77642496472669</v>
      </c>
      <c r="S7" s="11">
        <f>+'Device Energy Use'!$D7*('Retail Rates'!S$5*'Device Energy Use'!$E7+'Retail Rates'!S$6*(1-'Device Energy Use'!$E7))</f>
        <v>252.50807133919756</v>
      </c>
      <c r="T7" s="11">
        <f>+'Device Energy Use'!$D7*('Retail Rates'!T$5*'Device Energy Use'!$E7+'Retail Rates'!T$6*(1-'Device Energy Use'!$E7))</f>
        <v>256.29569240928549</v>
      </c>
      <c r="U7" s="11">
        <f>+'Device Energy Use'!$D7*('Retail Rates'!U$5*'Device Energy Use'!$E7+'Retail Rates'!U$6*(1-'Device Energy Use'!$E7))</f>
        <v>260.14012779542475</v>
      </c>
      <c r="V7" s="11">
        <f>+'Device Energy Use'!$D7*('Retail Rates'!V$5*'Device Energy Use'!$E7+'Retail Rates'!V$6*(1-'Device Energy Use'!$E7))</f>
        <v>264.04222971235606</v>
      </c>
      <c r="W7" s="11">
        <f>+'Device Energy Use'!$D7*('Retail Rates'!W$5*'Device Energy Use'!$E7+'Retail Rates'!W$6*(1-'Device Energy Use'!$E7))</f>
        <v>268.00286315804141</v>
      </c>
    </row>
    <row r="8" spans="1:23">
      <c r="A8" s="15" t="str">
        <f>+'Device Energy Use'!A8</f>
        <v>Instant Gas</v>
      </c>
      <c r="B8" s="11">
        <f>+'Device Energy Use'!$D8*('Retail Rates'!B$5*'Device Energy Use'!$E8+'Retail Rates'!B$6*(1-'Device Energy Use'!$E8))</f>
        <v>170.9499754081175</v>
      </c>
      <c r="C8" s="11">
        <f>+'Device Energy Use'!$D8*('Retail Rates'!C$5*'Device Energy Use'!$E8+'Retail Rates'!C$6*(1-'Device Energy Use'!$E8))</f>
        <v>173.51422503923925</v>
      </c>
      <c r="D8" s="11">
        <f>+'Device Energy Use'!$D8*('Retail Rates'!D$5*'Device Energy Use'!$E8+'Retail Rates'!D$6*(1-'Device Energy Use'!$E8))</f>
        <v>176.11693841482781</v>
      </c>
      <c r="E8" s="11">
        <f>+'Device Energy Use'!$D8*('Retail Rates'!E$5*'Device Energy Use'!$E8+'Retail Rates'!E$6*(1-'Device Energy Use'!$E8))</f>
        <v>178.75869249105023</v>
      </c>
      <c r="F8" s="11">
        <f>+'Device Energy Use'!$D8*('Retail Rates'!F$5*'Device Energy Use'!$E8+'Retail Rates'!F$6*(1-'Device Energy Use'!$E8))</f>
        <v>181.44007287841598</v>
      </c>
      <c r="G8" s="11">
        <f>+'Device Energy Use'!$D8*('Retail Rates'!G$5*'Device Energy Use'!$E8+'Retail Rates'!G$6*(1-'Device Energy Use'!$E8))</f>
        <v>184.16167397159219</v>
      </c>
      <c r="H8" s="11">
        <f>+'Device Energy Use'!$D8*('Retail Rates'!H$5*'Device Energy Use'!$E8+'Retail Rates'!H$6*(1-'Device Energy Use'!$E8))</f>
        <v>186.92409908116608</v>
      </c>
      <c r="I8" s="11">
        <f>+'Device Energy Use'!$D8*('Retail Rates'!I$5*'Device Energy Use'!$E8+'Retail Rates'!I$6*(1-'Device Energy Use'!$E8))</f>
        <v>189.72796056738355</v>
      </c>
      <c r="J8" s="11">
        <f>+'Device Energy Use'!$D8*('Retail Rates'!J$5*'Device Energy Use'!$E8+'Retail Rates'!J$6*(1-'Device Energy Use'!$E8))</f>
        <v>192.57387997589427</v>
      </c>
      <c r="K8" s="11">
        <f>+'Device Energy Use'!$D8*('Retail Rates'!K$5*'Device Energy Use'!$E8+'Retail Rates'!K$6*(1-'Device Energy Use'!$E8))</f>
        <v>195.46248817553268</v>
      </c>
      <c r="L8" s="11">
        <f>+'Device Energy Use'!$D8*('Retail Rates'!L$5*'Device Energy Use'!$E8+'Retail Rates'!L$6*(1-'Device Energy Use'!$E8))</f>
        <v>198.39442549816565</v>
      </c>
      <c r="M8" s="11">
        <f>+'Device Energy Use'!$D8*('Retail Rates'!M$5*'Device Energy Use'!$E8+'Retail Rates'!M$6*(1-'Device Energy Use'!$E8))</f>
        <v>201.37034188063811</v>
      </c>
      <c r="N8" s="11">
        <f>+'Device Energy Use'!$D8*('Retail Rates'!N$5*'Device Energy Use'!$E8+'Retail Rates'!N$6*(1-'Device Energy Use'!$E8))</f>
        <v>204.39089700884765</v>
      </c>
      <c r="O8" s="11">
        <f>+'Device Energy Use'!$D8*('Retail Rates'!O$5*'Device Energy Use'!$E8+'Retail Rates'!O$6*(1-'Device Energy Use'!$E8))</f>
        <v>207.45676046398037</v>
      </c>
      <c r="P8" s="11">
        <f>+'Device Energy Use'!$D8*('Retail Rates'!P$5*'Device Energy Use'!$E8+'Retail Rates'!P$6*(1-'Device Energy Use'!$E8))</f>
        <v>210.56861187094006</v>
      </c>
      <c r="Q8" s="11">
        <f>+'Device Energy Use'!$D8*('Retail Rates'!Q$5*'Device Energy Use'!$E8+'Retail Rates'!Q$6*(1-'Device Energy Use'!$E8))</f>
        <v>213.72714104900413</v>
      </c>
      <c r="R8" s="11">
        <f>+'Device Energy Use'!$D8*('Retail Rates'!R$5*'Device Energy Use'!$E8+'Retail Rates'!R$6*(1-'Device Energy Use'!$E8))</f>
        <v>216.93304816473918</v>
      </c>
      <c r="S8" s="11">
        <f>+'Device Energy Use'!$D8*('Retail Rates'!S$5*'Device Energy Use'!$E8+'Retail Rates'!S$6*(1-'Device Energy Use'!$E8))</f>
        <v>220.18704388721025</v>
      </c>
      <c r="T8" s="11">
        <f>+'Device Energy Use'!$D8*('Retail Rates'!T$5*'Device Energy Use'!$E8+'Retail Rates'!T$6*(1-'Device Energy Use'!$E8))</f>
        <v>223.48984954551835</v>
      </c>
      <c r="U8" s="11">
        <f>+'Device Energy Use'!$D8*('Retail Rates'!U$5*'Device Energy Use'!$E8+'Retail Rates'!U$6*(1-'Device Energy Use'!$E8))</f>
        <v>226.8421972887011</v>
      </c>
      <c r="V8" s="11">
        <f>+'Device Energy Use'!$D8*('Retail Rates'!V$5*'Device Energy Use'!$E8+'Retail Rates'!V$6*(1-'Device Energy Use'!$E8))</f>
        <v>230.2448302480316</v>
      </c>
      <c r="W8" s="11">
        <f>+'Device Energy Use'!$D8*('Retail Rates'!W$5*'Device Energy Use'!$E8+'Retail Rates'!W$6*(1-'Device Energy Use'!$E8))</f>
        <v>233.69850270175206</v>
      </c>
    </row>
    <row r="9" spans="1:23">
      <c r="A9" s="15" t="str">
        <f>+'Device Energy Use'!A9</f>
        <v>Condensing Gas</v>
      </c>
      <c r="B9" s="11">
        <f>+'Device Energy Use'!$D9*('Retail Rates'!B$5*'Device Energy Use'!$E9+'Retail Rates'!B$6*(1-'Device Energy Use'!$E9))</f>
        <v>178.14315594547065</v>
      </c>
      <c r="C9" s="11">
        <f>+'Device Energy Use'!$D9*('Retail Rates'!C$5*'Device Energy Use'!$E9+'Retail Rates'!C$6*(1-'Device Energy Use'!$E9))</f>
        <v>180.81530328465271</v>
      </c>
      <c r="D9" s="11">
        <f>+'Device Energy Use'!$D9*('Retail Rates'!D$5*'Device Energy Use'!$E9+'Retail Rates'!D$6*(1-'Device Energy Use'!$E9))</f>
        <v>183.52753283392249</v>
      </c>
      <c r="E9" s="11">
        <f>+'Device Energy Use'!$D9*('Retail Rates'!E$5*'Device Energy Use'!$E9+'Retail Rates'!E$6*(1-'Device Energy Use'!$E9))</f>
        <v>186.28044582643133</v>
      </c>
      <c r="F9" s="11">
        <f>+'Device Energy Use'!$D9*('Retail Rates'!F$5*'Device Energy Use'!$E9+'Retail Rates'!F$6*(1-'Device Energy Use'!$E9))</f>
        <v>189.07465251382777</v>
      </c>
      <c r="G9" s="11">
        <f>+'Device Energy Use'!$D9*('Retail Rates'!G$5*'Device Energy Use'!$E9+'Retail Rates'!G$6*(1-'Device Energy Use'!$E9))</f>
        <v>191.91077230153519</v>
      </c>
      <c r="H9" s="11">
        <f>+'Device Energy Use'!$D9*('Retail Rates'!H$5*'Device Energy Use'!$E9+'Retail Rates'!H$6*(1-'Device Energy Use'!$E9))</f>
        <v>194.78943388605819</v>
      </c>
      <c r="I9" s="11">
        <f>+'Device Energy Use'!$D9*('Retail Rates'!I$5*'Device Energy Use'!$E9+'Retail Rates'!I$6*(1-'Device Energy Use'!$E9))</f>
        <v>197.71127539434906</v>
      </c>
      <c r="J9" s="11">
        <f>+'Device Energy Use'!$D9*('Retail Rates'!J$5*'Device Energy Use'!$E9+'Retail Rates'!J$6*(1-'Device Energy Use'!$E9))</f>
        <v>200.67694452526428</v>
      </c>
      <c r="K9" s="11">
        <f>+'Device Energy Use'!$D9*('Retail Rates'!K$5*'Device Energy Use'!$E9+'Retail Rates'!K$6*(1-'Device Energy Use'!$E9))</f>
        <v>203.68709869314321</v>
      </c>
      <c r="L9" s="11">
        <f>+'Device Energy Use'!$D9*('Retail Rates'!L$5*'Device Energy Use'!$E9+'Retail Rates'!L$6*(1-'Device Energy Use'!$E9))</f>
        <v>206.74240517354033</v>
      </c>
      <c r="M9" s="11">
        <f>+'Device Energy Use'!$D9*('Retail Rates'!M$5*'Device Energy Use'!$E9+'Retail Rates'!M$6*(1-'Device Energy Use'!$E9))</f>
        <v>209.84354125114342</v>
      </c>
      <c r="N9" s="11">
        <f>+'Device Energy Use'!$D9*('Retail Rates'!N$5*'Device Energy Use'!$E9+'Retail Rates'!N$6*(1-'Device Energy Use'!$E9))</f>
        <v>212.99119436991054</v>
      </c>
      <c r="O9" s="11">
        <f>+'Device Energy Use'!$D9*('Retail Rates'!O$5*'Device Energy Use'!$E9+'Retail Rates'!O$6*(1-'Device Energy Use'!$E9))</f>
        <v>216.1860622854592</v>
      </c>
      <c r="P9" s="11">
        <f>+'Device Energy Use'!$D9*('Retail Rates'!P$5*'Device Energy Use'!$E9+'Retail Rates'!P$6*(1-'Device Energy Use'!$E9))</f>
        <v>219.42885321974106</v>
      </c>
      <c r="Q9" s="11">
        <f>+'Device Energy Use'!$D9*('Retail Rates'!Q$5*'Device Energy Use'!$E9+'Retail Rates'!Q$6*(1-'Device Energy Use'!$E9))</f>
        <v>222.72028601803717</v>
      </c>
      <c r="R9" s="11">
        <f>+'Device Energy Use'!$D9*('Retail Rates'!R$5*'Device Energy Use'!$E9+'Retail Rates'!R$6*(1-'Device Energy Use'!$E9))</f>
        <v>226.06109030830768</v>
      </c>
      <c r="S9" s="11">
        <f>+'Device Energy Use'!$D9*('Retail Rates'!S$5*'Device Energy Use'!$E9+'Retail Rates'!S$6*(1-'Device Energy Use'!$E9))</f>
        <v>229.45200666293229</v>
      </c>
      <c r="T9" s="11">
        <f>+'Device Energy Use'!$D9*('Retail Rates'!T$5*'Device Energy Use'!$E9+'Retail Rates'!T$6*(1-'Device Energy Use'!$E9))</f>
        <v>232.89378676287623</v>
      </c>
      <c r="U9" s="11">
        <f>+'Device Energy Use'!$D9*('Retail Rates'!U$5*'Device Energy Use'!$E9+'Retail Rates'!U$6*(1-'Device Energy Use'!$E9))</f>
        <v>236.38719356431935</v>
      </c>
      <c r="V9" s="11">
        <f>+'Device Energy Use'!$D9*('Retail Rates'!V$5*'Device Energy Use'!$E9+'Retail Rates'!V$6*(1-'Device Energy Use'!$E9))</f>
        <v>239.93300146778412</v>
      </c>
      <c r="W9" s="11">
        <f>+'Device Energy Use'!$D9*('Retail Rates'!W$5*'Device Energy Use'!$E9+'Retail Rates'!W$6*(1-'Device Energy Use'!$E9))</f>
        <v>243.53199648980086</v>
      </c>
    </row>
    <row r="10" spans="1:23">
      <c r="G10" s="15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22"/>
  <dimension ref="A1:K16"/>
  <sheetViews>
    <sheetView workbookViewId="0"/>
  </sheetViews>
  <sheetFormatPr defaultColWidth="8.85546875" defaultRowHeight="15.75"/>
  <cols>
    <col min="1" max="1" width="20.7109375" style="2" customWidth="1"/>
    <col min="2" max="2" width="17" style="5" customWidth="1"/>
    <col min="3" max="3" width="14.7109375" style="2" customWidth="1"/>
    <col min="4" max="7" width="12.7109375" style="2" customWidth="1"/>
    <col min="8" max="8" width="17" style="2" bestFit="1" customWidth="1"/>
    <col min="9" max="9" width="18.28515625" style="2" bestFit="1" customWidth="1"/>
    <col min="10" max="10" width="13" style="5" customWidth="1"/>
    <col min="11" max="11" width="12.28515625" style="2" bestFit="1" customWidth="1"/>
    <col min="12" max="12" width="9.140625" style="2" customWidth="1"/>
    <col min="13" max="16384" width="8.85546875" style="2"/>
  </cols>
  <sheetData>
    <row r="1" spans="1:11">
      <c r="A1" s="147" t="str">
        <f>CONCATENATE("Segment:  ",State,", Single Family, ", SpaceHeat, ", ", TankSize,", ", StartWH, " is starting water heater")</f>
        <v>Segment:  Oregon, Single Family, Gas FAF, &gt;55 Gallons, Electric Resistance is starting water heater</v>
      </c>
    </row>
    <row r="3" spans="1:11" ht="23.25" customHeight="1">
      <c r="A3" s="26" t="s">
        <v>83</v>
      </c>
    </row>
    <row r="4" spans="1:11" s="19" customFormat="1" ht="47.25">
      <c r="A4" s="17" t="s">
        <v>0</v>
      </c>
      <c r="B4" s="17" t="str">
        <f>'Input Assumptions'!B26</f>
        <v>Electricity Required (KWh/ device/Yr)</v>
      </c>
      <c r="C4" s="17" t="str">
        <f>'Input Assumptions'!C26</f>
        <v>Gas Required (mmBtu/ device/Yr)</v>
      </c>
      <c r="D4" s="18" t="s">
        <v>16</v>
      </c>
      <c r="E4" s="17" t="str">
        <f>'Input Assumptions'!E26</f>
        <v>Electric Technology</v>
      </c>
    </row>
    <row r="5" spans="1:11">
      <c r="A5" s="2" t="str">
        <f>'Input Assumptions'!D45</f>
        <v>Electric Resistance</v>
      </c>
      <c r="B5" s="57">
        <f>'Input Assumptions'!B27</f>
        <v>3355.4343604471896</v>
      </c>
      <c r="C5" s="6">
        <f>'Input Assumptions'!C27</f>
        <v>0</v>
      </c>
      <c r="D5" s="6">
        <f>'Input Assumptions'!B27*3412/1000000+'Input Assumptions'!C27</f>
        <v>11.448742037845811</v>
      </c>
      <c r="E5" s="5">
        <f>'Input Assumptions'!E27</f>
        <v>1</v>
      </c>
      <c r="J5" s="2"/>
    </row>
    <row r="6" spans="1:11">
      <c r="A6" s="2" t="str">
        <f>'Input Assumptions'!D46</f>
        <v>HPWH</v>
      </c>
      <c r="B6" s="57">
        <f>'Input Assumptions'!B28</f>
        <v>1830.0598920349698</v>
      </c>
      <c r="C6" s="6">
        <f>'Input Assumptions'!C28</f>
        <v>0</v>
      </c>
      <c r="D6" s="6">
        <f>'Input Assumptions'!B28*3412/1000000+'Input Assumptions'!C28</f>
        <v>6.2441643516233176</v>
      </c>
      <c r="E6" s="5">
        <f>'Input Assumptions'!E28</f>
        <v>1</v>
      </c>
      <c r="J6" s="2"/>
    </row>
    <row r="7" spans="1:11">
      <c r="A7" s="2" t="str">
        <f>'Input Assumptions'!D47</f>
        <v>Gas Tank</v>
      </c>
      <c r="B7" s="57">
        <f>'Input Assumptions'!B29</f>
        <v>0</v>
      </c>
      <c r="C7" s="6">
        <f>'Input Assumptions'!C29</f>
        <v>17.346578845220922</v>
      </c>
      <c r="D7" s="6">
        <f>'Input Assumptions'!B29*3412/1000000+'Input Assumptions'!C29</f>
        <v>17.346578845220922</v>
      </c>
      <c r="E7" s="5">
        <f>'Input Assumptions'!E29</f>
        <v>0</v>
      </c>
      <c r="G7" s="171"/>
      <c r="J7" s="2"/>
    </row>
    <row r="8" spans="1:11">
      <c r="A8" s="2" t="str">
        <f>'Input Assumptions'!D48</f>
        <v>Instant Gas</v>
      </c>
      <c r="B8" s="57">
        <f>'Input Assumptions'!B30</f>
        <v>0</v>
      </c>
      <c r="C8" s="6">
        <f>'Input Assumptions'!C30</f>
        <v>15.126217143193161</v>
      </c>
      <c r="D8" s="6">
        <f>'Input Assumptions'!B30*3412/1000000+'Input Assumptions'!C30</f>
        <v>15.126217143193161</v>
      </c>
      <c r="E8" s="5">
        <f>'Input Assumptions'!E30</f>
        <v>0</v>
      </c>
      <c r="G8" s="171"/>
      <c r="J8" s="2"/>
    </row>
    <row r="9" spans="1:11">
      <c r="A9" s="2" t="str">
        <f>'Input Assumptions'!D49</f>
        <v>Condensing Gas</v>
      </c>
      <c r="B9" s="57">
        <f>'Input Assumptions'!B31</f>
        <v>0</v>
      </c>
      <c r="C9" s="6">
        <f>'Input Assumptions'!C31</f>
        <v>15.762693460305449</v>
      </c>
      <c r="D9" s="6">
        <f>'Input Assumptions'!B31*3412/1000000+'Input Assumptions'!C31</f>
        <v>15.762693460305449</v>
      </c>
      <c r="E9" s="5">
        <f>'Input Assumptions'!E31</f>
        <v>0</v>
      </c>
      <c r="J9" s="2"/>
    </row>
    <row r="10" spans="1:11">
      <c r="A10" s="1"/>
      <c r="B10" s="7"/>
      <c r="H10" s="3"/>
      <c r="I10" s="4"/>
      <c r="J10" s="6"/>
      <c r="K10" s="8"/>
    </row>
    <row r="13" spans="1:11">
      <c r="J13" s="2"/>
    </row>
    <row r="14" spans="1:11">
      <c r="J14" s="2"/>
    </row>
    <row r="15" spans="1:11">
      <c r="J15" s="2"/>
    </row>
    <row r="16" spans="1:11">
      <c r="J16" s="2"/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23"/>
  <dimension ref="A1:E10"/>
  <sheetViews>
    <sheetView workbookViewId="0"/>
  </sheetViews>
  <sheetFormatPr defaultColWidth="8.85546875" defaultRowHeight="15.75"/>
  <cols>
    <col min="1" max="1" width="21.7109375" style="2" customWidth="1"/>
    <col min="2" max="2" width="17.42578125" style="5" customWidth="1"/>
    <col min="3" max="3" width="12.85546875" style="2" customWidth="1"/>
    <col min="4" max="4" width="18.140625" style="2" customWidth="1"/>
    <col min="5" max="5" width="15.7109375" style="2" customWidth="1"/>
    <col min="6" max="11" width="12.7109375" style="2" customWidth="1"/>
    <col min="12" max="16384" width="8.85546875" style="2"/>
  </cols>
  <sheetData>
    <row r="1" spans="1:5">
      <c r="A1" s="147" t="str">
        <f>CONCATENATE("Segment:  ",State,", Single Family, ", SpaceHeat, ", ", TankSize,", ", StartWH, " is starting water heater")</f>
        <v>Segment:  Oregon, Single Family, Gas FAF, &gt;55 Gallons, Electric Resistance is starting water heater</v>
      </c>
    </row>
    <row r="2" spans="1:5" ht="18.75">
      <c r="A2" s="146"/>
    </row>
    <row r="3" spans="1:5" ht="23.25" customHeight="1">
      <c r="A3" s="26" t="s">
        <v>82</v>
      </c>
    </row>
    <row r="4" spans="1:5" s="19" customFormat="1" ht="47.25">
      <c r="A4" s="17" t="s">
        <v>0</v>
      </c>
      <c r="B4" s="17" t="str">
        <f>'Input Assumptions'!B35</f>
        <v>Capital Cost (Various Real $)</v>
      </c>
      <c r="C4" s="17" t="str">
        <f>'Input Assumptions'!C35</f>
        <v>Units of Dollars</v>
      </c>
      <c r="D4" s="17" t="s">
        <v>134</v>
      </c>
      <c r="E4" s="17" t="s">
        <v>20</v>
      </c>
    </row>
    <row r="5" spans="1:5">
      <c r="A5" s="2" t="str">
        <f>'Input Assumptions'!D45</f>
        <v>Electric Resistance</v>
      </c>
      <c r="B5" s="61">
        <f>'Input Assumptions'!B36</f>
        <v>590</v>
      </c>
      <c r="C5" s="102" t="str">
        <f>'Input Assumptions'!C36</f>
        <v>2008$</v>
      </c>
      <c r="D5" s="62">
        <f>Inflation!AB5/Inflation!X5</f>
        <v>1.0627615062761504</v>
      </c>
      <c r="E5" s="60">
        <f>B5*D5</f>
        <v>627.02928870292874</v>
      </c>
    </row>
    <row r="6" spans="1:5">
      <c r="A6" s="2" t="str">
        <f>'Input Assumptions'!D46</f>
        <v>HPWH</v>
      </c>
      <c r="B6" s="61">
        <f>'Input Assumptions'!B37</f>
        <v>1621</v>
      </c>
      <c r="C6" s="102" t="str">
        <f>'Input Assumptions'!C37</f>
        <v>2011$</v>
      </c>
      <c r="D6" s="62">
        <f>Inflation!AB5/Inflation!AA5</f>
        <v>1.0177579455423003</v>
      </c>
      <c r="E6" s="60">
        <f>B6*D6</f>
        <v>1649.7856297240687</v>
      </c>
    </row>
    <row r="7" spans="1:5">
      <c r="A7" s="2" t="str">
        <f>'Input Assumptions'!D47</f>
        <v>Gas Tank</v>
      </c>
      <c r="B7" s="61">
        <f>'Input Assumptions'!B38</f>
        <v>785</v>
      </c>
      <c r="C7" s="102" t="str">
        <f>'Input Assumptions'!C38</f>
        <v>2013$</v>
      </c>
      <c r="D7" s="62">
        <f>Inflation!$AB$5/Inflation!$AC$5</f>
        <v>0.98250549450549451</v>
      </c>
      <c r="E7" s="60">
        <f>B7*D7</f>
        <v>771.26681318681324</v>
      </c>
    </row>
    <row r="8" spans="1:5">
      <c r="A8" s="2" t="str">
        <f>'Input Assumptions'!D48</f>
        <v>Instant Gas</v>
      </c>
      <c r="B8" s="61">
        <f>'Input Assumptions'!B39</f>
        <v>3760</v>
      </c>
      <c r="C8" s="102" t="str">
        <f>'Input Assumptions'!C39</f>
        <v>2013$</v>
      </c>
      <c r="D8" s="62">
        <f>Inflation!$AB$5/Inflation!$AC$5</f>
        <v>0.98250549450549451</v>
      </c>
      <c r="E8" s="60">
        <f>B8*D8</f>
        <v>3694.2206593406595</v>
      </c>
    </row>
    <row r="9" spans="1:5">
      <c r="A9" s="2" t="str">
        <f>'Input Assumptions'!D49</f>
        <v>Condensing Gas</v>
      </c>
      <c r="B9" s="61">
        <f>'Input Assumptions'!B40</f>
        <v>2084.4625924555244</v>
      </c>
      <c r="C9" s="102" t="str">
        <f>'Input Assumptions'!C40</f>
        <v>2006$</v>
      </c>
      <c r="D9" s="62">
        <f>Inflation!$AB$5/Inflation!$V$5</f>
        <v>1.1175999999999999</v>
      </c>
      <c r="E9" s="60">
        <f>B9*D9</f>
        <v>2329.595393328294</v>
      </c>
    </row>
    <row r="10" spans="1:5">
      <c r="A10" s="1"/>
      <c r="B10" s="7"/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 codeName="Sheet24"/>
  <dimension ref="A1:J10"/>
  <sheetViews>
    <sheetView workbookViewId="0">
      <selection activeCell="A2" sqref="A2"/>
    </sheetView>
  </sheetViews>
  <sheetFormatPr defaultColWidth="8.85546875" defaultRowHeight="15.75"/>
  <cols>
    <col min="1" max="1" width="22.7109375" style="2" customWidth="1"/>
    <col min="2" max="2" width="15.7109375" style="5" customWidth="1"/>
    <col min="3" max="5" width="15.7109375" style="2" customWidth="1"/>
    <col min="6" max="10" width="12.7109375" style="2" customWidth="1"/>
    <col min="11" max="16384" width="8.85546875" style="2"/>
  </cols>
  <sheetData>
    <row r="1" spans="1:10">
      <c r="A1" s="147" t="str">
        <f>CONCATENATE("Segment:  ",State,", Single Family, ", SpaceHeat, ", ", TankSize,", ", StartWH, " is starting water heater")</f>
        <v>Segment:  Oregon, Single Family, Gas FAF, &gt;55 Gallons, Electric Resistance is starting water heater</v>
      </c>
      <c r="B1" s="138"/>
      <c r="C1" s="137"/>
      <c r="D1" s="137"/>
      <c r="E1" s="137"/>
      <c r="F1" s="137"/>
      <c r="G1" s="137"/>
      <c r="H1" s="137"/>
      <c r="I1" s="137"/>
      <c r="J1" s="137"/>
    </row>
    <row r="2" spans="1:10" ht="18.75">
      <c r="A2" s="146"/>
      <c r="B2" s="138"/>
      <c r="C2" s="137"/>
      <c r="D2" s="137"/>
      <c r="E2" s="137"/>
      <c r="F2" s="137"/>
      <c r="G2" s="137"/>
      <c r="H2" s="137"/>
      <c r="I2" s="137"/>
      <c r="J2" s="137"/>
    </row>
    <row r="3" spans="1:10" ht="23.25" customHeight="1">
      <c r="A3" s="26" t="s">
        <v>84</v>
      </c>
    </row>
    <row r="4" spans="1:10" s="19" customFormat="1" ht="47.25">
      <c r="A4" s="139" t="s">
        <v>133</v>
      </c>
      <c r="B4" s="145" t="str">
        <f>'Input Assumptions'!D26</f>
        <v>O&amp;M Cost (2006$/ device/Yr)</v>
      </c>
      <c r="C4" s="145" t="s">
        <v>64</v>
      </c>
      <c r="D4" s="145" t="s">
        <v>21</v>
      </c>
    </row>
    <row r="5" spans="1:10">
      <c r="A5" s="2" t="str">
        <f>'Input Assumptions'!D45</f>
        <v>Electric Resistance</v>
      </c>
      <c r="B5" s="60">
        <f>'Input Assumptions'!D27</f>
        <v>4.0147653217481896</v>
      </c>
      <c r="C5" s="62">
        <f>Inflation!$AB$5/Inflation!$V$5</f>
        <v>1.1175999999999999</v>
      </c>
      <c r="D5" s="60">
        <f>B5*C5</f>
        <v>4.4869017235857767</v>
      </c>
    </row>
    <row r="6" spans="1:10">
      <c r="A6" s="2" t="str">
        <f>'Input Assumptions'!D46</f>
        <v>HPWH</v>
      </c>
      <c r="B6" s="60">
        <f>'Input Assumptions'!D28</f>
        <v>8.8912994251335906</v>
      </c>
      <c r="C6" s="62">
        <f>Inflation!$AB$5/Inflation!$V$5</f>
        <v>1.1175999999999999</v>
      </c>
      <c r="D6" s="60">
        <f>B6*C6</f>
        <v>9.9369162375292994</v>
      </c>
    </row>
    <row r="7" spans="1:10">
      <c r="A7" s="2" t="str">
        <f>'Input Assumptions'!D47</f>
        <v>Gas Tank</v>
      </c>
      <c r="B7" s="60">
        <f>'Input Assumptions'!D29</f>
        <v>12.364813725618941</v>
      </c>
      <c r="C7" s="62">
        <f>Inflation!$AB$5/Inflation!$V$5</f>
        <v>1.1175999999999999</v>
      </c>
      <c r="D7" s="60">
        <f>B7*C7</f>
        <v>13.818915819751727</v>
      </c>
    </row>
    <row r="8" spans="1:10">
      <c r="A8" s="2" t="str">
        <f>'Input Assumptions'!D48</f>
        <v>Instant Gas</v>
      </c>
      <c r="B8" s="60">
        <f>'Input Assumptions'!D30</f>
        <v>66.879220980384858</v>
      </c>
      <c r="C8" s="62">
        <f>Inflation!$AB$5/Inflation!$V$5</f>
        <v>1.1175999999999999</v>
      </c>
      <c r="D8" s="60">
        <f>B8*C8</f>
        <v>74.744217367678118</v>
      </c>
    </row>
    <row r="9" spans="1:10">
      <c r="A9" s="2" t="str">
        <f>'Input Assumptions'!D49</f>
        <v>Condensing Gas</v>
      </c>
      <c r="B9" s="60">
        <f>'Input Assumptions'!D31</f>
        <v>14.794662287278264</v>
      </c>
      <c r="C9" s="62">
        <f>Inflation!$AB$5/Inflation!$V$5</f>
        <v>1.1175999999999999</v>
      </c>
      <c r="D9" s="60">
        <f>B9*C9</f>
        <v>16.534514572262186</v>
      </c>
    </row>
    <row r="10" spans="1:10">
      <c r="A10" s="1"/>
      <c r="B10" s="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L51"/>
  <sheetViews>
    <sheetView workbookViewId="0">
      <selection activeCell="A36" sqref="A36"/>
    </sheetView>
  </sheetViews>
  <sheetFormatPr defaultColWidth="9.140625" defaultRowHeight="15.75"/>
  <cols>
    <col min="1" max="1" width="45.28515625" style="9" customWidth="1"/>
    <col min="2" max="2" width="19.7109375" style="9" customWidth="1"/>
    <col min="3" max="3" width="19" style="9" customWidth="1"/>
    <col min="4" max="4" width="16.140625" style="9" customWidth="1"/>
    <col min="5" max="5" width="15.7109375" style="9" customWidth="1"/>
    <col min="6" max="9" width="12.7109375" style="9" customWidth="1"/>
    <col min="10" max="10" width="14.140625" style="9" customWidth="1"/>
    <col min="11" max="11" width="9.140625" style="9"/>
    <col min="12" max="12" width="10.5703125" style="9" customWidth="1"/>
    <col min="13" max="13" width="12.28515625" style="9" customWidth="1"/>
    <col min="14" max="16384" width="9.140625" style="9"/>
  </cols>
  <sheetData>
    <row r="1" spans="1:10">
      <c r="A1" s="147" t="str">
        <f>CONCATENATE("Segment:  ",State,", Single Family, ", SpaceHeat, ", ", TankSize,", ", StartWH, " is starting water heater")</f>
        <v>Segment:  Oregon, Single Family, Gas FAF, &gt;55 Gallons, Electric Resistance is starting water heater</v>
      </c>
    </row>
    <row r="3" spans="1:10">
      <c r="A3" s="25" t="s">
        <v>65</v>
      </c>
      <c r="J3" s="44"/>
    </row>
    <row r="4" spans="1:10">
      <c r="A4" s="173" t="s">
        <v>86</v>
      </c>
      <c r="C4" s="12"/>
    </row>
    <row r="5" spans="1:10">
      <c r="A5" s="174" t="s">
        <v>85</v>
      </c>
    </row>
    <row r="6" spans="1:10">
      <c r="A6" s="76"/>
    </row>
    <row r="7" spans="1:10">
      <c r="A7" s="12" t="s">
        <v>132</v>
      </c>
    </row>
    <row r="8" spans="1:10">
      <c r="A8" s="65" t="s">
        <v>37</v>
      </c>
      <c r="B8" s="70" t="s">
        <v>36</v>
      </c>
      <c r="C8" s="106" t="s">
        <v>49</v>
      </c>
      <c r="D8" s="81"/>
      <c r="E8" s="81"/>
      <c r="F8" s="81"/>
      <c r="G8" s="92"/>
    </row>
    <row r="9" spans="1:10">
      <c r="A9" s="66" t="s">
        <v>15</v>
      </c>
      <c r="B9" s="71" t="s">
        <v>171</v>
      </c>
      <c r="C9" s="44"/>
      <c r="D9" s="44"/>
      <c r="E9" s="44"/>
      <c r="F9" s="44"/>
      <c r="G9" s="67"/>
    </row>
    <row r="10" spans="1:10">
      <c r="A10" s="66" t="s">
        <v>89</v>
      </c>
      <c r="B10" s="71" t="s">
        <v>7</v>
      </c>
      <c r="C10" s="44"/>
      <c r="D10" s="44"/>
      <c r="E10" s="44"/>
      <c r="F10" s="44"/>
      <c r="G10" s="67"/>
    </row>
    <row r="11" spans="1:10">
      <c r="A11" s="66" t="s">
        <v>69</v>
      </c>
      <c r="B11" s="71" t="s">
        <v>8</v>
      </c>
      <c r="C11" s="44"/>
      <c r="D11" s="44"/>
      <c r="E11" s="44"/>
      <c r="F11" s="44"/>
      <c r="G11" s="67"/>
    </row>
    <row r="12" spans="1:10">
      <c r="A12" s="66" t="s">
        <v>70</v>
      </c>
      <c r="B12" s="71" t="s">
        <v>164</v>
      </c>
      <c r="C12" s="44"/>
      <c r="E12" s="44"/>
      <c r="F12" s="44"/>
      <c r="G12" s="67"/>
    </row>
    <row r="13" spans="1:10">
      <c r="A13" s="66" t="s">
        <v>170</v>
      </c>
      <c r="B13" s="97">
        <v>21569</v>
      </c>
      <c r="C13" s="59" t="s">
        <v>118</v>
      </c>
      <c r="D13" s="44"/>
      <c r="E13" s="44"/>
      <c r="F13" s="44"/>
      <c r="G13" s="67"/>
    </row>
    <row r="14" spans="1:10">
      <c r="A14" s="66" t="s">
        <v>42</v>
      </c>
      <c r="B14" s="72">
        <v>14</v>
      </c>
      <c r="C14" s="44" t="s">
        <v>90</v>
      </c>
      <c r="D14" s="44"/>
      <c r="E14" s="44"/>
      <c r="F14" s="44"/>
      <c r="G14" s="67"/>
    </row>
    <row r="15" spans="1:10">
      <c r="A15" s="68" t="s">
        <v>48</v>
      </c>
      <c r="B15" s="98">
        <v>0.04</v>
      </c>
      <c r="C15" s="44" t="s">
        <v>66</v>
      </c>
      <c r="D15" s="44"/>
      <c r="E15" s="44"/>
      <c r="F15" s="44"/>
      <c r="G15" s="67"/>
    </row>
    <row r="16" spans="1:10">
      <c r="A16" s="68" t="s">
        <v>59</v>
      </c>
      <c r="B16" s="119">
        <v>0.1</v>
      </c>
      <c r="C16" s="44" t="s">
        <v>60</v>
      </c>
      <c r="D16" s="44"/>
      <c r="E16" s="44"/>
      <c r="F16" s="44"/>
      <c r="G16" s="67"/>
    </row>
    <row r="17" spans="1:12">
      <c r="A17" s="68" t="s">
        <v>119</v>
      </c>
      <c r="B17" s="72">
        <v>6470</v>
      </c>
      <c r="C17" s="44" t="s">
        <v>120</v>
      </c>
      <c r="D17" s="44"/>
      <c r="E17" s="44"/>
      <c r="F17" s="44"/>
      <c r="G17" s="67"/>
    </row>
    <row r="18" spans="1:12">
      <c r="A18" s="68" t="s">
        <v>143</v>
      </c>
      <c r="B18" s="72">
        <v>3.4119999999999999</v>
      </c>
      <c r="C18" s="44"/>
      <c r="D18" s="44"/>
      <c r="E18" s="44"/>
      <c r="F18" s="44"/>
      <c r="G18" s="67"/>
    </row>
    <row r="19" spans="1:12">
      <c r="A19" s="66" t="s">
        <v>38</v>
      </c>
      <c r="B19" s="72">
        <v>-2.2999999999999998</v>
      </c>
      <c r="C19" s="44"/>
      <c r="D19" s="44"/>
      <c r="E19" s="44"/>
      <c r="F19" s="44"/>
      <c r="G19" s="67"/>
    </row>
    <row r="20" spans="1:12">
      <c r="A20" s="156" t="s">
        <v>92</v>
      </c>
      <c r="B20" s="120" t="s">
        <v>93</v>
      </c>
      <c r="C20" s="41"/>
      <c r="D20" s="41"/>
      <c r="E20" s="41"/>
      <c r="F20" s="41"/>
      <c r="G20" s="69"/>
    </row>
    <row r="21" spans="1:12">
      <c r="A21" s="75" t="s">
        <v>71</v>
      </c>
    </row>
    <row r="22" spans="1:12">
      <c r="A22" s="28" t="s">
        <v>28</v>
      </c>
    </row>
    <row r="23" spans="1:12">
      <c r="A23" s="30" t="s">
        <v>27</v>
      </c>
    </row>
    <row r="25" spans="1:12">
      <c r="A25" s="12" t="str">
        <f>CONCATENATE("Energy Usage and O&amp;M Costs by Water Heater Type - ",State,", ", SpaceHeat,", Starting with ",StartWH," ",TankSize)</f>
        <v>Energy Usage and O&amp;M Costs by Water Heater Type - Oregon, Gas FAF, Starting with Electric Resistance &gt;55 Gallons</v>
      </c>
    </row>
    <row r="26" spans="1:12" ht="47.25">
      <c r="A26" s="88" t="s">
        <v>0</v>
      </c>
      <c r="B26" s="88" t="s">
        <v>131</v>
      </c>
      <c r="C26" s="88" t="s">
        <v>130</v>
      </c>
      <c r="D26" s="88" t="s">
        <v>129</v>
      </c>
      <c r="E26" s="88" t="s">
        <v>17</v>
      </c>
      <c r="F26" s="88" t="s">
        <v>49</v>
      </c>
      <c r="G26" s="81"/>
      <c r="H26" s="81"/>
      <c r="I26" s="81"/>
      <c r="J26" s="81"/>
      <c r="K26" s="81"/>
      <c r="L26" s="92"/>
    </row>
    <row r="27" spans="1:12">
      <c r="A27" s="2" t="s">
        <v>8</v>
      </c>
      <c r="B27" s="176">
        <v>3355.4343604471896</v>
      </c>
      <c r="C27" s="177">
        <v>0</v>
      </c>
      <c r="D27" s="178">
        <v>4.0147653217481896</v>
      </c>
      <c r="E27" s="179">
        <v>1</v>
      </c>
      <c r="F27" s="59" t="s">
        <v>58</v>
      </c>
      <c r="G27" s="44"/>
      <c r="H27" s="44"/>
      <c r="I27" s="44"/>
      <c r="J27" s="44"/>
      <c r="K27" s="44"/>
      <c r="L27" s="67"/>
    </row>
    <row r="28" spans="1:12">
      <c r="A28" s="2" t="s">
        <v>11</v>
      </c>
      <c r="B28" s="175">
        <v>1830.0598920349698</v>
      </c>
      <c r="C28" s="112">
        <v>0</v>
      </c>
      <c r="D28" s="113">
        <v>8.8912994251335906</v>
      </c>
      <c r="E28" s="114">
        <v>1</v>
      </c>
      <c r="F28" s="59" t="s">
        <v>58</v>
      </c>
      <c r="G28" s="44"/>
      <c r="H28" s="44"/>
      <c r="I28" s="44"/>
      <c r="J28" s="44"/>
      <c r="K28" s="44"/>
      <c r="L28" s="67"/>
    </row>
    <row r="29" spans="1:12">
      <c r="A29" s="2" t="s">
        <v>12</v>
      </c>
      <c r="B29" s="176">
        <v>0</v>
      </c>
      <c r="C29" s="177">
        <v>17.346578845220922</v>
      </c>
      <c r="D29" s="178">
        <v>12.364813725618941</v>
      </c>
      <c r="E29" s="179">
        <v>0</v>
      </c>
      <c r="F29" s="59" t="s">
        <v>58</v>
      </c>
      <c r="G29" s="44"/>
      <c r="H29" s="44"/>
      <c r="I29" s="44"/>
      <c r="J29" s="44"/>
      <c r="K29" s="44"/>
      <c r="L29" s="67"/>
    </row>
    <row r="30" spans="1:12">
      <c r="A30" s="2" t="s">
        <v>13</v>
      </c>
      <c r="B30" s="111">
        <v>0</v>
      </c>
      <c r="C30" s="112">
        <v>15.126217143193161</v>
      </c>
      <c r="D30" s="113">
        <v>66.879220980384858</v>
      </c>
      <c r="E30" s="114">
        <v>0</v>
      </c>
      <c r="F30" s="59" t="s">
        <v>58</v>
      </c>
      <c r="G30" s="44"/>
      <c r="H30" s="44"/>
      <c r="I30" s="44"/>
      <c r="J30" s="44"/>
      <c r="K30" s="44"/>
      <c r="L30" s="67"/>
    </row>
    <row r="31" spans="1:12">
      <c r="A31" s="78" t="s">
        <v>14</v>
      </c>
      <c r="B31" s="115">
        <v>0</v>
      </c>
      <c r="C31" s="116">
        <v>15.762693460305449</v>
      </c>
      <c r="D31" s="117">
        <v>14.794662287278264</v>
      </c>
      <c r="E31" s="118">
        <v>0</v>
      </c>
      <c r="F31" s="105" t="s">
        <v>58</v>
      </c>
      <c r="G31" s="41"/>
      <c r="H31" s="41"/>
      <c r="I31" s="41"/>
      <c r="J31" s="41"/>
      <c r="K31" s="41"/>
      <c r="L31" s="69"/>
    </row>
    <row r="32" spans="1:12">
      <c r="A32" s="180" t="s">
        <v>165</v>
      </c>
      <c r="B32" s="176"/>
      <c r="C32" s="177"/>
      <c r="D32" s="178"/>
      <c r="E32" s="179"/>
      <c r="F32" s="59"/>
      <c r="G32" s="44"/>
      <c r="H32" s="44"/>
      <c r="I32" s="44"/>
      <c r="J32" s="44"/>
      <c r="K32" s="44"/>
      <c r="L32" s="44"/>
    </row>
    <row r="33" spans="1:12">
      <c r="A33" s="77"/>
      <c r="B33" s="77"/>
      <c r="C33" s="77"/>
      <c r="D33" s="77"/>
      <c r="E33" s="77"/>
      <c r="F33" s="77"/>
      <c r="G33" s="77"/>
      <c r="H33" s="77"/>
      <c r="I33" s="77"/>
      <c r="J33" s="77"/>
      <c r="K33" s="58"/>
      <c r="L33" s="77"/>
    </row>
    <row r="34" spans="1:12">
      <c r="A34" s="12" t="str">
        <f>CONCATENATE("Capital Cost by Water Heater Type - ",State,", ", SpaceHeat,", Starting with ",StartWH," ",TankSize)</f>
        <v>Capital Cost by Water Heater Type - Oregon, Gas FAF, Starting with Electric Resistance &gt;55 Gallons</v>
      </c>
      <c r="B34" s="77"/>
      <c r="C34" s="77"/>
      <c r="D34" s="5"/>
      <c r="E34" s="2"/>
      <c r="F34" s="2"/>
      <c r="G34" s="77"/>
      <c r="H34" s="77"/>
      <c r="I34" s="77"/>
      <c r="J34" s="77"/>
      <c r="K34" s="77"/>
      <c r="L34" s="77"/>
    </row>
    <row r="35" spans="1:12" ht="31.5">
      <c r="A35" s="103" t="s">
        <v>0</v>
      </c>
      <c r="B35" s="103" t="s">
        <v>128</v>
      </c>
      <c r="C35" s="103" t="s">
        <v>63</v>
      </c>
      <c r="D35" s="104" t="s">
        <v>49</v>
      </c>
      <c r="E35" s="104"/>
      <c r="F35" s="104"/>
      <c r="G35" s="104"/>
      <c r="H35" s="104"/>
      <c r="I35" s="104"/>
      <c r="J35" s="104"/>
      <c r="K35" s="104"/>
      <c r="L35" s="104"/>
    </row>
    <row r="36" spans="1:12">
      <c r="A36" s="2" t="s">
        <v>8</v>
      </c>
      <c r="B36" s="107">
        <v>590</v>
      </c>
      <c r="C36" s="108" t="s">
        <v>53</v>
      </c>
      <c r="D36" s="54" t="s">
        <v>54</v>
      </c>
    </row>
    <row r="37" spans="1:12">
      <c r="A37" s="2" t="s">
        <v>11</v>
      </c>
      <c r="B37" s="107">
        <v>1621</v>
      </c>
      <c r="C37" s="108" t="s">
        <v>52</v>
      </c>
      <c r="D37" s="54" t="s">
        <v>55</v>
      </c>
    </row>
    <row r="38" spans="1:12">
      <c r="A38" s="2" t="s">
        <v>12</v>
      </c>
      <c r="B38" s="107">
        <v>785</v>
      </c>
      <c r="C38" s="108" t="s">
        <v>51</v>
      </c>
      <c r="D38" s="54" t="s">
        <v>56</v>
      </c>
    </row>
    <row r="39" spans="1:12">
      <c r="A39" s="2" t="s">
        <v>13</v>
      </c>
      <c r="B39" s="107">
        <v>3760</v>
      </c>
      <c r="C39" s="108" t="s">
        <v>51</v>
      </c>
      <c r="D39" s="54" t="s">
        <v>56</v>
      </c>
    </row>
    <row r="40" spans="1:12">
      <c r="A40" s="41" t="s">
        <v>14</v>
      </c>
      <c r="B40" s="109">
        <v>2084.4625924555244</v>
      </c>
      <c r="C40" s="110" t="s">
        <v>57</v>
      </c>
      <c r="D40" s="105" t="s">
        <v>50</v>
      </c>
      <c r="E40" s="41"/>
      <c r="F40" s="41"/>
      <c r="G40" s="41"/>
      <c r="H40" s="41"/>
      <c r="I40" s="41"/>
      <c r="J40" s="41"/>
      <c r="K40" s="41"/>
      <c r="L40" s="41"/>
    </row>
    <row r="41" spans="1:12">
      <c r="A41" s="44"/>
      <c r="B41" s="107"/>
      <c r="C41" s="142"/>
      <c r="D41" s="59"/>
      <c r="E41" s="44"/>
      <c r="F41" s="44"/>
      <c r="G41" s="44"/>
      <c r="H41" s="44"/>
      <c r="I41" s="44"/>
      <c r="J41" s="44"/>
      <c r="K41" s="44"/>
      <c r="L41" s="44"/>
    </row>
    <row r="43" spans="1:12" s="16" customFormat="1">
      <c r="A43" s="64" t="s">
        <v>26</v>
      </c>
    </row>
    <row r="44" spans="1:12" s="16" customFormat="1" ht="31.5">
      <c r="A44" s="140" t="s">
        <v>1</v>
      </c>
      <c r="B44" s="141" t="s">
        <v>2</v>
      </c>
      <c r="C44" s="141" t="s">
        <v>3</v>
      </c>
      <c r="D44" s="141" t="s">
        <v>4</v>
      </c>
      <c r="E44" s="141" t="s">
        <v>5</v>
      </c>
      <c r="F44" s="141" t="s">
        <v>6</v>
      </c>
      <c r="G44" s="141" t="s">
        <v>22</v>
      </c>
      <c r="H44" s="141" t="s">
        <v>23</v>
      </c>
    </row>
    <row r="45" spans="1:12" s="16" customFormat="1">
      <c r="A45" s="129">
        <v>5112121</v>
      </c>
      <c r="B45" s="100" t="s">
        <v>7</v>
      </c>
      <c r="C45" s="100" t="s">
        <v>8</v>
      </c>
      <c r="D45" s="100" t="s">
        <v>8</v>
      </c>
      <c r="E45" s="100" t="s">
        <v>9</v>
      </c>
      <c r="F45" s="100" t="s">
        <v>10</v>
      </c>
      <c r="G45" s="100" t="s">
        <v>24</v>
      </c>
      <c r="H45" s="100" t="s">
        <v>25</v>
      </c>
    </row>
    <row r="46" spans="1:12" s="16" customFormat="1">
      <c r="A46" s="129">
        <v>5112121</v>
      </c>
      <c r="B46" s="100" t="s">
        <v>7</v>
      </c>
      <c r="C46" s="100" t="s">
        <v>8</v>
      </c>
      <c r="D46" s="100" t="s">
        <v>11</v>
      </c>
      <c r="E46" s="100" t="s">
        <v>9</v>
      </c>
      <c r="F46" s="100" t="s">
        <v>10</v>
      </c>
      <c r="G46" s="100" t="s">
        <v>24</v>
      </c>
      <c r="H46" s="100" t="s">
        <v>25</v>
      </c>
    </row>
    <row r="47" spans="1:12" s="16" customFormat="1">
      <c r="A47" s="129">
        <v>5112121</v>
      </c>
      <c r="B47" s="100" t="s">
        <v>7</v>
      </c>
      <c r="C47" s="100" t="s">
        <v>8</v>
      </c>
      <c r="D47" s="100" t="s">
        <v>12</v>
      </c>
      <c r="E47" s="100" t="s">
        <v>9</v>
      </c>
      <c r="F47" s="100" t="s">
        <v>10</v>
      </c>
      <c r="G47" s="100" t="s">
        <v>24</v>
      </c>
      <c r="H47" s="100" t="s">
        <v>25</v>
      </c>
    </row>
    <row r="48" spans="1:12" s="16" customFormat="1">
      <c r="A48" s="129">
        <v>5112121</v>
      </c>
      <c r="B48" s="100" t="s">
        <v>7</v>
      </c>
      <c r="C48" s="100" t="s">
        <v>8</v>
      </c>
      <c r="D48" s="100" t="s">
        <v>13</v>
      </c>
      <c r="E48" s="100" t="s">
        <v>9</v>
      </c>
      <c r="F48" s="100" t="s">
        <v>10</v>
      </c>
      <c r="G48" s="100" t="s">
        <v>24</v>
      </c>
      <c r="H48" s="100" t="s">
        <v>25</v>
      </c>
    </row>
    <row r="49" spans="1:8" s="16" customFormat="1">
      <c r="A49" s="129">
        <v>5112121</v>
      </c>
      <c r="B49" s="100" t="s">
        <v>7</v>
      </c>
      <c r="C49" s="100" t="s">
        <v>8</v>
      </c>
      <c r="D49" s="100" t="s">
        <v>14</v>
      </c>
      <c r="E49" s="100" t="s">
        <v>9</v>
      </c>
      <c r="F49" s="100" t="s">
        <v>10</v>
      </c>
      <c r="G49" s="100" t="s">
        <v>24</v>
      </c>
      <c r="H49" s="100" t="s">
        <v>25</v>
      </c>
    </row>
    <row r="50" spans="1:8" s="16" customFormat="1">
      <c r="A50" s="73" t="s">
        <v>29</v>
      </c>
    </row>
    <row r="51" spans="1:8" s="16" customFormat="1"/>
  </sheetData>
  <conditionalFormatting sqref="C28">
    <cfRule type="expression" dxfId="23" priority="31">
      <formula>AND($D27="Electric Resistance",$H27="MF")</formula>
    </cfRule>
    <cfRule type="expression" dxfId="22" priority="32">
      <formula>$D28="HPWH"</formula>
    </cfRule>
    <cfRule type="expression" dxfId="21" priority="33">
      <formula>AND($D28="Electric Resistance",$H28="SF")</formula>
    </cfRule>
  </conditionalFormatting>
  <conditionalFormatting sqref="D31">
    <cfRule type="expression" dxfId="20" priority="19">
      <formula>AND($D30="Electric Resistance",$H30="MF")</formula>
    </cfRule>
    <cfRule type="expression" dxfId="19" priority="20">
      <formula>$D31="HPWH"</formula>
    </cfRule>
    <cfRule type="expression" dxfId="18" priority="21">
      <formula>AND($D31="Electric Resistance",$H31="SF")</formula>
    </cfRule>
  </conditionalFormatting>
  <conditionalFormatting sqref="D30">
    <cfRule type="expression" dxfId="17" priority="16">
      <formula>AND($D29="Electric Resistance",$H29="MF")</formula>
    </cfRule>
    <cfRule type="expression" dxfId="16" priority="17">
      <formula>$D30="HPWH"</formula>
    </cfRule>
    <cfRule type="expression" dxfId="15" priority="18">
      <formula>AND($D30="Electric Resistance",$H30="SF")</formula>
    </cfRule>
  </conditionalFormatting>
  <conditionalFormatting sqref="B40">
    <cfRule type="expression" dxfId="14" priority="13">
      <formula>AND($D39="Electric Resistance",$H39="MF")</formula>
    </cfRule>
    <cfRule type="expression" dxfId="13" priority="14">
      <formula>$D40="HPWH"</formula>
    </cfRule>
    <cfRule type="expression" dxfId="12" priority="15">
      <formula>AND($D40="Electric Resistance",$H40="SF")</formula>
    </cfRule>
  </conditionalFormatting>
  <conditionalFormatting sqref="B28">
    <cfRule type="expression" dxfId="11" priority="10">
      <formula>AND($D27="Electric Resistance",$H27="MF")</formula>
    </cfRule>
    <cfRule type="expression" dxfId="10" priority="11">
      <formula>$D28="HPWH"</formula>
    </cfRule>
    <cfRule type="expression" dxfId="9" priority="12">
      <formula>AND($D28="Electric Resistance",$H28="SF")</formula>
    </cfRule>
  </conditionalFormatting>
  <conditionalFormatting sqref="C31">
    <cfRule type="expression" dxfId="8" priority="7">
      <formula>AND($D30="Electric Resistance",$H30="MF")</formula>
    </cfRule>
    <cfRule type="expression" dxfId="7" priority="8">
      <formula>$D31="HPWH"</formula>
    </cfRule>
    <cfRule type="expression" dxfId="6" priority="9">
      <formula>AND($D31="Electric Resistance",$H31="SF")</formula>
    </cfRule>
  </conditionalFormatting>
  <conditionalFormatting sqref="C30">
    <cfRule type="expression" dxfId="5" priority="4">
      <formula>AND($D29="Electric Resistance",$H29="MF")</formula>
    </cfRule>
    <cfRule type="expression" dxfId="4" priority="5">
      <formula>$D30="HPWH"</formula>
    </cfRule>
    <cfRule type="expression" dxfId="3" priority="6">
      <formula>AND($D30="Electric Resistance",$H30="SF")</formula>
    </cfRule>
  </conditionalFormatting>
  <conditionalFormatting sqref="D28">
    <cfRule type="expression" dxfId="2" priority="1">
      <formula>AND($D27="Electric Resistance",$H27="MF")</formula>
    </cfRule>
    <cfRule type="expression" dxfId="1" priority="2">
      <formula>$D28="HPWH"</formula>
    </cfRule>
    <cfRule type="expression" dxfId="0" priority="3">
      <formula>AND($D28="Electric Resistance",$H28="SF")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W31"/>
  <sheetViews>
    <sheetView workbookViewId="0">
      <selection activeCell="A7" sqref="A7"/>
    </sheetView>
  </sheetViews>
  <sheetFormatPr defaultRowHeight="15"/>
  <cols>
    <col min="1" max="1" width="22.85546875" customWidth="1"/>
    <col min="2" max="2" width="12.28515625" customWidth="1"/>
    <col min="3" max="9" width="9.7109375" customWidth="1"/>
  </cols>
  <sheetData>
    <row r="1" spans="1:23" ht="15.75">
      <c r="A1" s="147" t="str">
        <f>CONCATENATE("Segment:  ",State,", Single Family, ", SpaceHeat, ", ", TankSize,", ", StartWH, " is starting water heater")</f>
        <v>Segment:  Oregon, Single Family, Gas FAF, &gt;55 Gallons, Electric Resistance is starting water heater</v>
      </c>
    </row>
    <row r="3" spans="1:23" s="9" customFormat="1" ht="22.5" customHeight="1">
      <c r="A3" s="25" t="s">
        <v>67</v>
      </c>
    </row>
    <row r="4" spans="1:23" s="9" customFormat="1" ht="15.75">
      <c r="A4" s="28" t="s">
        <v>34</v>
      </c>
    </row>
    <row r="5" spans="1:23" s="9" customFormat="1" ht="15.75">
      <c r="A5" s="29" t="s">
        <v>31</v>
      </c>
    </row>
    <row r="6" spans="1:23" s="9" customFormat="1" ht="15.75">
      <c r="A6" s="29" t="s">
        <v>32</v>
      </c>
    </row>
    <row r="7" spans="1:23" s="9" customFormat="1" ht="15.75">
      <c r="A7" s="125"/>
    </row>
    <row r="8" spans="1:23" s="9" customFormat="1" ht="15.75">
      <c r="A8" s="126" t="str">
        <f>CONCATENATE($A$3," - ",'Input Assumptions'!$B$9," ", 'Input Assumptions'!$B$10," Space Heat, ", 'Input Assumptions'!$B$11," ", 'Input Assumptions'!$B$12)</f>
        <v>Non-Price Factor Assumptions ($/$) - Oregon Gas FAF Space Heat, Electric Resistance &gt;55 Gallons</v>
      </c>
    </row>
    <row r="9" spans="1:23" s="23" customFormat="1" ht="15.75">
      <c r="A9" s="143" t="str">
        <f>+'Device Energy Use'!A4</f>
        <v>Water Heat Ending</v>
      </c>
      <c r="B9" s="144">
        <v>2014</v>
      </c>
      <c r="C9" s="144">
        <v>2015</v>
      </c>
      <c r="D9" s="144">
        <v>2016</v>
      </c>
      <c r="E9" s="144">
        <v>2017</v>
      </c>
      <c r="F9" s="144">
        <v>2018</v>
      </c>
      <c r="G9" s="144">
        <v>2019</v>
      </c>
      <c r="H9" s="144">
        <v>2020</v>
      </c>
      <c r="I9" s="144">
        <v>2021</v>
      </c>
      <c r="J9" s="144">
        <v>2022</v>
      </c>
      <c r="K9" s="144">
        <v>2023</v>
      </c>
      <c r="L9" s="144">
        <v>2024</v>
      </c>
      <c r="M9" s="144">
        <v>2025</v>
      </c>
      <c r="N9" s="144">
        <v>2026</v>
      </c>
      <c r="O9" s="144">
        <v>2027</v>
      </c>
      <c r="P9" s="144">
        <v>2028</v>
      </c>
      <c r="Q9" s="144">
        <v>2029</v>
      </c>
      <c r="R9" s="144">
        <v>2030</v>
      </c>
      <c r="S9" s="144">
        <v>2031</v>
      </c>
      <c r="T9" s="144">
        <v>2032</v>
      </c>
      <c r="U9" s="144">
        <v>2033</v>
      </c>
      <c r="V9" s="144">
        <v>2034</v>
      </c>
      <c r="W9" s="144">
        <v>2035</v>
      </c>
    </row>
    <row r="10" spans="1:23" s="9" customFormat="1" ht="15.75">
      <c r="A10" s="9" t="str">
        <f>+'Device Energy Use'!A5</f>
        <v>Electric Resistance</v>
      </c>
      <c r="B10" s="181">
        <v>10</v>
      </c>
      <c r="C10" s="181">
        <v>-10</v>
      </c>
      <c r="D10" s="181">
        <f>C10</f>
        <v>-10</v>
      </c>
      <c r="E10" s="181">
        <f t="shared" ref="E10:W10" si="0">D10</f>
        <v>-10</v>
      </c>
      <c r="F10" s="181">
        <f t="shared" si="0"/>
        <v>-10</v>
      </c>
      <c r="G10" s="181">
        <f t="shared" si="0"/>
        <v>-10</v>
      </c>
      <c r="H10" s="181">
        <f t="shared" si="0"/>
        <v>-10</v>
      </c>
      <c r="I10" s="181">
        <f t="shared" si="0"/>
        <v>-10</v>
      </c>
      <c r="J10" s="181">
        <f t="shared" si="0"/>
        <v>-10</v>
      </c>
      <c r="K10" s="181">
        <f t="shared" si="0"/>
        <v>-10</v>
      </c>
      <c r="L10" s="181">
        <f t="shared" si="0"/>
        <v>-10</v>
      </c>
      <c r="M10" s="181">
        <f t="shared" si="0"/>
        <v>-10</v>
      </c>
      <c r="N10" s="181">
        <f t="shared" si="0"/>
        <v>-10</v>
      </c>
      <c r="O10" s="181">
        <f t="shared" si="0"/>
        <v>-10</v>
      </c>
      <c r="P10" s="181">
        <f t="shared" si="0"/>
        <v>-10</v>
      </c>
      <c r="Q10" s="181">
        <f t="shared" si="0"/>
        <v>-10</v>
      </c>
      <c r="R10" s="181">
        <f t="shared" si="0"/>
        <v>-10</v>
      </c>
      <c r="S10" s="181">
        <f t="shared" si="0"/>
        <v>-10</v>
      </c>
      <c r="T10" s="181">
        <f t="shared" si="0"/>
        <v>-10</v>
      </c>
      <c r="U10" s="181">
        <f t="shared" si="0"/>
        <v>-10</v>
      </c>
      <c r="V10" s="181">
        <f t="shared" si="0"/>
        <v>-10</v>
      </c>
      <c r="W10" s="181">
        <f t="shared" si="0"/>
        <v>-10</v>
      </c>
    </row>
    <row r="11" spans="1:23" s="9" customFormat="1" ht="15.75">
      <c r="A11" s="9" t="str">
        <f>+'Device Energy Use'!A6</f>
        <v>HPWH</v>
      </c>
      <c r="B11" s="181">
        <v>0</v>
      </c>
      <c r="C11" s="181">
        <f t="shared" ref="C11:W11" si="1">B11*$I$16</f>
        <v>0</v>
      </c>
      <c r="D11" s="181">
        <f t="shared" si="1"/>
        <v>0</v>
      </c>
      <c r="E11" s="181">
        <f t="shared" si="1"/>
        <v>0</v>
      </c>
      <c r="F11" s="181">
        <f t="shared" si="1"/>
        <v>0</v>
      </c>
      <c r="G11" s="181">
        <f t="shared" si="1"/>
        <v>0</v>
      </c>
      <c r="H11" s="181">
        <f t="shared" si="1"/>
        <v>0</v>
      </c>
      <c r="I11" s="181">
        <f t="shared" si="1"/>
        <v>0</v>
      </c>
      <c r="J11" s="181">
        <f t="shared" si="1"/>
        <v>0</v>
      </c>
      <c r="K11" s="181">
        <f t="shared" si="1"/>
        <v>0</v>
      </c>
      <c r="L11" s="181">
        <f t="shared" si="1"/>
        <v>0</v>
      </c>
      <c r="M11" s="181">
        <f t="shared" si="1"/>
        <v>0</v>
      </c>
      <c r="N11" s="181">
        <f t="shared" si="1"/>
        <v>0</v>
      </c>
      <c r="O11" s="181">
        <f t="shared" si="1"/>
        <v>0</v>
      </c>
      <c r="P11" s="181">
        <f t="shared" si="1"/>
        <v>0</v>
      </c>
      <c r="Q11" s="181">
        <f t="shared" si="1"/>
        <v>0</v>
      </c>
      <c r="R11" s="181">
        <f t="shared" si="1"/>
        <v>0</v>
      </c>
      <c r="S11" s="181">
        <f t="shared" si="1"/>
        <v>0</v>
      </c>
      <c r="T11" s="181">
        <f t="shared" si="1"/>
        <v>0</v>
      </c>
      <c r="U11" s="181">
        <f t="shared" si="1"/>
        <v>0</v>
      </c>
      <c r="V11" s="181">
        <f t="shared" si="1"/>
        <v>0</v>
      </c>
      <c r="W11" s="181">
        <f t="shared" si="1"/>
        <v>0</v>
      </c>
    </row>
    <row r="12" spans="1:23" s="9" customFormat="1" ht="15.75">
      <c r="A12" s="9" t="str">
        <f>+'Device Energy Use'!A7</f>
        <v>Gas Tank</v>
      </c>
      <c r="B12" s="181">
        <v>-10</v>
      </c>
      <c r="C12" s="181">
        <f t="shared" ref="C12:W12" si="2">B12</f>
        <v>-10</v>
      </c>
      <c r="D12" s="181">
        <f t="shared" si="2"/>
        <v>-10</v>
      </c>
      <c r="E12" s="181">
        <f t="shared" si="2"/>
        <v>-10</v>
      </c>
      <c r="F12" s="181">
        <f t="shared" si="2"/>
        <v>-10</v>
      </c>
      <c r="G12" s="181">
        <f t="shared" si="2"/>
        <v>-10</v>
      </c>
      <c r="H12" s="181">
        <f t="shared" si="2"/>
        <v>-10</v>
      </c>
      <c r="I12" s="181">
        <f t="shared" si="2"/>
        <v>-10</v>
      </c>
      <c r="J12" s="181">
        <f t="shared" si="2"/>
        <v>-10</v>
      </c>
      <c r="K12" s="181">
        <f t="shared" si="2"/>
        <v>-10</v>
      </c>
      <c r="L12" s="181">
        <f t="shared" si="2"/>
        <v>-10</v>
      </c>
      <c r="M12" s="181">
        <f t="shared" si="2"/>
        <v>-10</v>
      </c>
      <c r="N12" s="181">
        <f t="shared" si="2"/>
        <v>-10</v>
      </c>
      <c r="O12" s="181">
        <f t="shared" si="2"/>
        <v>-10</v>
      </c>
      <c r="P12" s="181">
        <f t="shared" si="2"/>
        <v>-10</v>
      </c>
      <c r="Q12" s="181">
        <f t="shared" si="2"/>
        <v>-10</v>
      </c>
      <c r="R12" s="181">
        <f t="shared" si="2"/>
        <v>-10</v>
      </c>
      <c r="S12" s="181">
        <f t="shared" si="2"/>
        <v>-10</v>
      </c>
      <c r="T12" s="181">
        <f t="shared" si="2"/>
        <v>-10</v>
      </c>
      <c r="U12" s="181">
        <f t="shared" si="2"/>
        <v>-10</v>
      </c>
      <c r="V12" s="181">
        <f t="shared" si="2"/>
        <v>-10</v>
      </c>
      <c r="W12" s="181">
        <f t="shared" si="2"/>
        <v>-10</v>
      </c>
    </row>
    <row r="13" spans="1:23" s="9" customFormat="1" ht="15.75">
      <c r="A13" s="9" t="str">
        <f>+'Device Energy Use'!A8</f>
        <v>Instant Gas</v>
      </c>
      <c r="B13" s="181">
        <v>0</v>
      </c>
      <c r="C13" s="181">
        <f t="shared" ref="C13:W13" si="3">B13*$I$16</f>
        <v>0</v>
      </c>
      <c r="D13" s="181">
        <f t="shared" si="3"/>
        <v>0</v>
      </c>
      <c r="E13" s="181">
        <f t="shared" si="3"/>
        <v>0</v>
      </c>
      <c r="F13" s="181">
        <f t="shared" si="3"/>
        <v>0</v>
      </c>
      <c r="G13" s="181">
        <f t="shared" si="3"/>
        <v>0</v>
      </c>
      <c r="H13" s="181">
        <f t="shared" si="3"/>
        <v>0</v>
      </c>
      <c r="I13" s="181">
        <f t="shared" si="3"/>
        <v>0</v>
      </c>
      <c r="J13" s="181">
        <f t="shared" si="3"/>
        <v>0</v>
      </c>
      <c r="K13" s="181">
        <f t="shared" si="3"/>
        <v>0</v>
      </c>
      <c r="L13" s="181">
        <f t="shared" si="3"/>
        <v>0</v>
      </c>
      <c r="M13" s="181">
        <f t="shared" si="3"/>
        <v>0</v>
      </c>
      <c r="N13" s="181">
        <f t="shared" si="3"/>
        <v>0</v>
      </c>
      <c r="O13" s="181">
        <f t="shared" si="3"/>
        <v>0</v>
      </c>
      <c r="P13" s="181">
        <f t="shared" si="3"/>
        <v>0</v>
      </c>
      <c r="Q13" s="181">
        <f t="shared" si="3"/>
        <v>0</v>
      </c>
      <c r="R13" s="181">
        <f t="shared" si="3"/>
        <v>0</v>
      </c>
      <c r="S13" s="181">
        <f t="shared" si="3"/>
        <v>0</v>
      </c>
      <c r="T13" s="181">
        <f t="shared" si="3"/>
        <v>0</v>
      </c>
      <c r="U13" s="181">
        <f t="shared" si="3"/>
        <v>0</v>
      </c>
      <c r="V13" s="181">
        <f t="shared" si="3"/>
        <v>0</v>
      </c>
      <c r="W13" s="181">
        <f t="shared" si="3"/>
        <v>0</v>
      </c>
    </row>
    <row r="14" spans="1:23" s="9" customFormat="1" ht="15.75">
      <c r="A14" s="9" t="str">
        <f>+'Device Energy Use'!A9</f>
        <v>Condensing Gas</v>
      </c>
      <c r="B14" s="181">
        <v>0</v>
      </c>
      <c r="C14" s="181">
        <f t="shared" ref="C14:W14" si="4">B14*$I$16</f>
        <v>0</v>
      </c>
      <c r="D14" s="181">
        <f t="shared" si="4"/>
        <v>0</v>
      </c>
      <c r="E14" s="181">
        <f t="shared" si="4"/>
        <v>0</v>
      </c>
      <c r="F14" s="181">
        <f t="shared" si="4"/>
        <v>0</v>
      </c>
      <c r="G14" s="181">
        <f t="shared" si="4"/>
        <v>0</v>
      </c>
      <c r="H14" s="181">
        <f t="shared" si="4"/>
        <v>0</v>
      </c>
      <c r="I14" s="181">
        <f t="shared" si="4"/>
        <v>0</v>
      </c>
      <c r="J14" s="181">
        <f t="shared" si="4"/>
        <v>0</v>
      </c>
      <c r="K14" s="181">
        <f t="shared" si="4"/>
        <v>0</v>
      </c>
      <c r="L14" s="181">
        <f t="shared" si="4"/>
        <v>0</v>
      </c>
      <c r="M14" s="181">
        <f t="shared" si="4"/>
        <v>0</v>
      </c>
      <c r="N14" s="181">
        <f t="shared" si="4"/>
        <v>0</v>
      </c>
      <c r="O14" s="181">
        <f t="shared" si="4"/>
        <v>0</v>
      </c>
      <c r="P14" s="181">
        <f t="shared" si="4"/>
        <v>0</v>
      </c>
      <c r="Q14" s="181">
        <f t="shared" si="4"/>
        <v>0</v>
      </c>
      <c r="R14" s="181">
        <f t="shared" si="4"/>
        <v>0</v>
      </c>
      <c r="S14" s="181">
        <f t="shared" si="4"/>
        <v>0</v>
      </c>
      <c r="T14" s="181">
        <f t="shared" si="4"/>
        <v>0</v>
      </c>
      <c r="U14" s="181">
        <f t="shared" si="4"/>
        <v>0</v>
      </c>
      <c r="V14" s="181">
        <f t="shared" si="4"/>
        <v>0</v>
      </c>
      <c r="W14" s="181">
        <f t="shared" si="4"/>
        <v>0</v>
      </c>
    </row>
    <row r="15" spans="1:23" s="9" customFormat="1" ht="15.75"/>
    <row r="16" spans="1:23" s="9" customFormat="1" ht="15.75">
      <c r="A16" s="36" t="s">
        <v>169</v>
      </c>
      <c r="I16" s="35">
        <v>1</v>
      </c>
    </row>
    <row r="17" spans="1:23" s="9" customFormat="1" ht="15.75">
      <c r="A17" s="31"/>
    </row>
    <row r="18" spans="1:23" s="9" customFormat="1" ht="15.75">
      <c r="A18" s="126" t="str">
        <f>CONCATENATE("Impact of Non-Price Factors on Market Share (%)"," - ",'Input Assumptions'!$B$9," ", 'Input Assumptions'!$B$10," Space Heat, ", 'Input Assumptions'!$B$11," ", 'Input Assumptions'!$B$12)</f>
        <v>Impact of Non-Price Factors on Market Share (%) - Oregon Gas FAF Space Heat, Electric Resistance &gt;55 Gallons</v>
      </c>
    </row>
    <row r="19" spans="1:23" s="9" customFormat="1" ht="15.75">
      <c r="A19" s="143" t="str">
        <f t="shared" ref="A19:W19" si="5">A9</f>
        <v>Water Heat Ending</v>
      </c>
      <c r="B19" s="144">
        <f t="shared" si="5"/>
        <v>2014</v>
      </c>
      <c r="C19" s="144">
        <f t="shared" si="5"/>
        <v>2015</v>
      </c>
      <c r="D19" s="144">
        <f t="shared" si="5"/>
        <v>2016</v>
      </c>
      <c r="E19" s="144">
        <f t="shared" si="5"/>
        <v>2017</v>
      </c>
      <c r="F19" s="144">
        <f t="shared" si="5"/>
        <v>2018</v>
      </c>
      <c r="G19" s="144">
        <f t="shared" si="5"/>
        <v>2019</v>
      </c>
      <c r="H19" s="144">
        <f t="shared" si="5"/>
        <v>2020</v>
      </c>
      <c r="I19" s="144">
        <f t="shared" si="5"/>
        <v>2021</v>
      </c>
      <c r="J19" s="144">
        <f t="shared" si="5"/>
        <v>2022</v>
      </c>
      <c r="K19" s="144">
        <f t="shared" si="5"/>
        <v>2023</v>
      </c>
      <c r="L19" s="144">
        <f t="shared" si="5"/>
        <v>2024</v>
      </c>
      <c r="M19" s="144">
        <f t="shared" si="5"/>
        <v>2025</v>
      </c>
      <c r="N19" s="144">
        <f t="shared" si="5"/>
        <v>2026</v>
      </c>
      <c r="O19" s="144">
        <f t="shared" si="5"/>
        <v>2027</v>
      </c>
      <c r="P19" s="144">
        <f t="shared" si="5"/>
        <v>2028</v>
      </c>
      <c r="Q19" s="144">
        <f t="shared" si="5"/>
        <v>2029</v>
      </c>
      <c r="R19" s="144">
        <f t="shared" si="5"/>
        <v>2030</v>
      </c>
      <c r="S19" s="144">
        <f t="shared" si="5"/>
        <v>2031</v>
      </c>
      <c r="T19" s="144">
        <f t="shared" si="5"/>
        <v>2032</v>
      </c>
      <c r="U19" s="144">
        <f t="shared" si="5"/>
        <v>2033</v>
      </c>
      <c r="V19" s="144">
        <f t="shared" si="5"/>
        <v>2034</v>
      </c>
      <c r="W19" s="144">
        <f t="shared" si="5"/>
        <v>2035</v>
      </c>
    </row>
    <row r="20" spans="1:23" s="9" customFormat="1" ht="15.75">
      <c r="A20" s="10" t="str">
        <f>A10</f>
        <v>Electric Resistance</v>
      </c>
      <c r="B20" s="127">
        <f>EXP(B10)</f>
        <v>22026.465794806718</v>
      </c>
      <c r="C20" s="127">
        <f>EXP(C10)</f>
        <v>4.5399929762484854E-5</v>
      </c>
      <c r="D20" s="127">
        <f t="shared" ref="D20:W24" si="6">EXP(D10)</f>
        <v>4.5399929762484854E-5</v>
      </c>
      <c r="E20" s="127">
        <f t="shared" si="6"/>
        <v>4.5399929762484854E-5</v>
      </c>
      <c r="F20" s="127">
        <f t="shared" si="6"/>
        <v>4.5399929762484854E-5</v>
      </c>
      <c r="G20" s="127">
        <f t="shared" si="6"/>
        <v>4.5399929762484854E-5</v>
      </c>
      <c r="H20" s="127">
        <f t="shared" si="6"/>
        <v>4.5399929762484854E-5</v>
      </c>
      <c r="I20" s="127">
        <f t="shared" si="6"/>
        <v>4.5399929762484854E-5</v>
      </c>
      <c r="J20" s="127">
        <f t="shared" si="6"/>
        <v>4.5399929762484854E-5</v>
      </c>
      <c r="K20" s="127">
        <f t="shared" si="6"/>
        <v>4.5399929762484854E-5</v>
      </c>
      <c r="L20" s="127">
        <f t="shared" si="6"/>
        <v>4.5399929762484854E-5</v>
      </c>
      <c r="M20" s="127">
        <f t="shared" si="6"/>
        <v>4.5399929762484854E-5</v>
      </c>
      <c r="N20" s="127">
        <f t="shared" si="6"/>
        <v>4.5399929762484854E-5</v>
      </c>
      <c r="O20" s="127">
        <f t="shared" si="6"/>
        <v>4.5399929762484854E-5</v>
      </c>
      <c r="P20" s="127">
        <f t="shared" si="6"/>
        <v>4.5399929762484854E-5</v>
      </c>
      <c r="Q20" s="127">
        <f t="shared" si="6"/>
        <v>4.5399929762484854E-5</v>
      </c>
      <c r="R20" s="127">
        <f t="shared" si="6"/>
        <v>4.5399929762484854E-5</v>
      </c>
      <c r="S20" s="127">
        <f t="shared" si="6"/>
        <v>4.5399929762484854E-5</v>
      </c>
      <c r="T20" s="127">
        <f t="shared" si="6"/>
        <v>4.5399929762484854E-5</v>
      </c>
      <c r="U20" s="127">
        <f t="shared" si="6"/>
        <v>4.5399929762484854E-5</v>
      </c>
      <c r="V20" s="127">
        <f t="shared" si="6"/>
        <v>4.5399929762484854E-5</v>
      </c>
      <c r="W20" s="127">
        <f t="shared" si="6"/>
        <v>4.5399929762484854E-5</v>
      </c>
    </row>
    <row r="21" spans="1:23" s="9" customFormat="1" ht="15.75">
      <c r="A21" s="10" t="str">
        <f>A11</f>
        <v>HPWH</v>
      </c>
      <c r="B21" s="127">
        <f>EXP(B11)</f>
        <v>1</v>
      </c>
      <c r="C21" s="127">
        <f t="shared" ref="C21:R24" si="7">EXP(C11)</f>
        <v>1</v>
      </c>
      <c r="D21" s="127">
        <f t="shared" si="7"/>
        <v>1</v>
      </c>
      <c r="E21" s="127">
        <f t="shared" si="7"/>
        <v>1</v>
      </c>
      <c r="F21" s="127">
        <f t="shared" si="7"/>
        <v>1</v>
      </c>
      <c r="G21" s="127">
        <f t="shared" si="7"/>
        <v>1</v>
      </c>
      <c r="H21" s="127">
        <f t="shared" si="7"/>
        <v>1</v>
      </c>
      <c r="I21" s="127">
        <f t="shared" si="7"/>
        <v>1</v>
      </c>
      <c r="J21" s="127">
        <f t="shared" si="7"/>
        <v>1</v>
      </c>
      <c r="K21" s="127">
        <f t="shared" si="7"/>
        <v>1</v>
      </c>
      <c r="L21" s="127">
        <f t="shared" si="7"/>
        <v>1</v>
      </c>
      <c r="M21" s="127">
        <f t="shared" si="7"/>
        <v>1</v>
      </c>
      <c r="N21" s="127">
        <f t="shared" si="7"/>
        <v>1</v>
      </c>
      <c r="O21" s="127">
        <f t="shared" si="7"/>
        <v>1</v>
      </c>
      <c r="P21" s="127">
        <f t="shared" si="7"/>
        <v>1</v>
      </c>
      <c r="Q21" s="127">
        <f t="shared" si="7"/>
        <v>1</v>
      </c>
      <c r="R21" s="127">
        <f t="shared" si="7"/>
        <v>1</v>
      </c>
      <c r="S21" s="127">
        <f t="shared" si="6"/>
        <v>1</v>
      </c>
      <c r="T21" s="127">
        <f t="shared" si="6"/>
        <v>1</v>
      </c>
      <c r="U21" s="127">
        <f t="shared" si="6"/>
        <v>1</v>
      </c>
      <c r="V21" s="127">
        <f t="shared" si="6"/>
        <v>1</v>
      </c>
      <c r="W21" s="127">
        <f t="shared" si="6"/>
        <v>1</v>
      </c>
    </row>
    <row r="22" spans="1:23" ht="15.75">
      <c r="A22" s="10" t="str">
        <f>A12</f>
        <v>Gas Tank</v>
      </c>
      <c r="B22" s="127">
        <f t="shared" ref="B22:B24" si="8">EXP(B12)</f>
        <v>4.5399929762484854E-5</v>
      </c>
      <c r="C22" s="127">
        <f t="shared" si="7"/>
        <v>4.5399929762484854E-5</v>
      </c>
      <c r="D22" s="127">
        <f t="shared" si="6"/>
        <v>4.5399929762484854E-5</v>
      </c>
      <c r="E22" s="127">
        <f t="shared" si="6"/>
        <v>4.5399929762484854E-5</v>
      </c>
      <c r="F22" s="127">
        <f t="shared" si="6"/>
        <v>4.5399929762484854E-5</v>
      </c>
      <c r="G22" s="127">
        <f t="shared" si="6"/>
        <v>4.5399929762484854E-5</v>
      </c>
      <c r="H22" s="127">
        <f t="shared" si="6"/>
        <v>4.5399929762484854E-5</v>
      </c>
      <c r="I22" s="127">
        <f t="shared" si="6"/>
        <v>4.5399929762484854E-5</v>
      </c>
      <c r="J22" s="127">
        <f t="shared" si="6"/>
        <v>4.5399929762484854E-5</v>
      </c>
      <c r="K22" s="127">
        <f t="shared" si="6"/>
        <v>4.5399929762484854E-5</v>
      </c>
      <c r="L22" s="127">
        <f t="shared" si="6"/>
        <v>4.5399929762484854E-5</v>
      </c>
      <c r="M22" s="127">
        <f t="shared" si="6"/>
        <v>4.5399929762484854E-5</v>
      </c>
      <c r="N22" s="127">
        <f t="shared" si="6"/>
        <v>4.5399929762484854E-5</v>
      </c>
      <c r="O22" s="127">
        <f t="shared" si="6"/>
        <v>4.5399929762484854E-5</v>
      </c>
      <c r="P22" s="127">
        <f t="shared" si="6"/>
        <v>4.5399929762484854E-5</v>
      </c>
      <c r="Q22" s="127">
        <f t="shared" si="6"/>
        <v>4.5399929762484854E-5</v>
      </c>
      <c r="R22" s="127">
        <f t="shared" si="6"/>
        <v>4.5399929762484854E-5</v>
      </c>
      <c r="S22" s="127">
        <f t="shared" si="6"/>
        <v>4.5399929762484854E-5</v>
      </c>
      <c r="T22" s="127">
        <f t="shared" si="6"/>
        <v>4.5399929762484854E-5</v>
      </c>
      <c r="U22" s="127">
        <f t="shared" si="6"/>
        <v>4.5399929762484854E-5</v>
      </c>
      <c r="V22" s="127">
        <f t="shared" si="6"/>
        <v>4.5399929762484854E-5</v>
      </c>
      <c r="W22" s="127">
        <f t="shared" si="6"/>
        <v>4.5399929762484854E-5</v>
      </c>
    </row>
    <row r="23" spans="1:23" ht="15.75">
      <c r="A23" s="10" t="str">
        <f>A13</f>
        <v>Instant Gas</v>
      </c>
      <c r="B23" s="127">
        <f t="shared" si="8"/>
        <v>1</v>
      </c>
      <c r="C23" s="127">
        <f t="shared" si="7"/>
        <v>1</v>
      </c>
      <c r="D23" s="127">
        <f t="shared" si="6"/>
        <v>1</v>
      </c>
      <c r="E23" s="127">
        <f t="shared" si="6"/>
        <v>1</v>
      </c>
      <c r="F23" s="127">
        <f t="shared" si="6"/>
        <v>1</v>
      </c>
      <c r="G23" s="127">
        <f t="shared" si="6"/>
        <v>1</v>
      </c>
      <c r="H23" s="127">
        <f t="shared" si="6"/>
        <v>1</v>
      </c>
      <c r="I23" s="127">
        <f t="shared" si="6"/>
        <v>1</v>
      </c>
      <c r="J23" s="127">
        <f t="shared" si="6"/>
        <v>1</v>
      </c>
      <c r="K23" s="127">
        <f t="shared" si="6"/>
        <v>1</v>
      </c>
      <c r="L23" s="127">
        <f t="shared" si="6"/>
        <v>1</v>
      </c>
      <c r="M23" s="127">
        <f t="shared" si="6"/>
        <v>1</v>
      </c>
      <c r="N23" s="127">
        <f t="shared" si="6"/>
        <v>1</v>
      </c>
      <c r="O23" s="127">
        <f t="shared" si="6"/>
        <v>1</v>
      </c>
      <c r="P23" s="127">
        <f t="shared" si="6"/>
        <v>1</v>
      </c>
      <c r="Q23" s="127">
        <f t="shared" si="6"/>
        <v>1</v>
      </c>
      <c r="R23" s="127">
        <f t="shared" si="6"/>
        <v>1</v>
      </c>
      <c r="S23" s="127">
        <f t="shared" si="6"/>
        <v>1</v>
      </c>
      <c r="T23" s="127">
        <f t="shared" si="6"/>
        <v>1</v>
      </c>
      <c r="U23" s="127">
        <f t="shared" si="6"/>
        <v>1</v>
      </c>
      <c r="V23" s="127">
        <f t="shared" si="6"/>
        <v>1</v>
      </c>
      <c r="W23" s="127">
        <f t="shared" si="6"/>
        <v>1</v>
      </c>
    </row>
    <row r="24" spans="1:23" ht="15.75">
      <c r="A24" s="10" t="str">
        <f>A14</f>
        <v>Condensing Gas</v>
      </c>
      <c r="B24" s="127">
        <f t="shared" si="8"/>
        <v>1</v>
      </c>
      <c r="C24" s="127">
        <f t="shared" si="7"/>
        <v>1</v>
      </c>
      <c r="D24" s="127">
        <f t="shared" si="6"/>
        <v>1</v>
      </c>
      <c r="E24" s="127">
        <f t="shared" si="6"/>
        <v>1</v>
      </c>
      <c r="F24" s="127">
        <f t="shared" si="6"/>
        <v>1</v>
      </c>
      <c r="G24" s="127">
        <f t="shared" si="6"/>
        <v>1</v>
      </c>
      <c r="H24" s="127">
        <f t="shared" si="6"/>
        <v>1</v>
      </c>
      <c r="I24" s="127">
        <f t="shared" si="6"/>
        <v>1</v>
      </c>
      <c r="J24" s="127">
        <f t="shared" si="6"/>
        <v>1</v>
      </c>
      <c r="K24" s="127">
        <f t="shared" si="6"/>
        <v>1</v>
      </c>
      <c r="L24" s="127">
        <f t="shared" si="6"/>
        <v>1</v>
      </c>
      <c r="M24" s="127">
        <f t="shared" si="6"/>
        <v>1</v>
      </c>
      <c r="N24" s="127">
        <f t="shared" si="6"/>
        <v>1</v>
      </c>
      <c r="O24" s="127">
        <f t="shared" si="6"/>
        <v>1</v>
      </c>
      <c r="P24" s="127">
        <f t="shared" si="6"/>
        <v>1</v>
      </c>
      <c r="Q24" s="127">
        <f t="shared" si="6"/>
        <v>1</v>
      </c>
      <c r="R24" s="127">
        <f t="shared" si="6"/>
        <v>1</v>
      </c>
      <c r="S24" s="127">
        <f t="shared" si="6"/>
        <v>1</v>
      </c>
      <c r="T24" s="127">
        <f t="shared" si="6"/>
        <v>1</v>
      </c>
      <c r="U24" s="127">
        <f t="shared" si="6"/>
        <v>1</v>
      </c>
      <c r="V24" s="127">
        <f t="shared" si="6"/>
        <v>1</v>
      </c>
      <c r="W24" s="127">
        <f t="shared" si="6"/>
        <v>1</v>
      </c>
    </row>
    <row r="25" spans="1:23" ht="15.75">
      <c r="A25" s="10"/>
    </row>
    <row r="26" spans="1:23" s="9" customFormat="1" ht="15.75">
      <c r="A26" s="36" t="s">
        <v>33</v>
      </c>
    </row>
    <row r="27" spans="1:23" s="9" customFormat="1" ht="15.75">
      <c r="A27" s="34" t="s">
        <v>166</v>
      </c>
    </row>
    <row r="28" spans="1:23" s="9" customFormat="1" ht="15.75">
      <c r="A28" s="34" t="s">
        <v>167</v>
      </c>
    </row>
    <row r="29" spans="1:23" s="9" customFormat="1" ht="15.75">
      <c r="A29" s="34" t="s">
        <v>168</v>
      </c>
    </row>
    <row r="30" spans="1:23" s="9" customFormat="1" ht="15.75">
      <c r="A30" s="34"/>
    </row>
    <row r="31" spans="1:23" ht="15.75">
      <c r="A31" s="1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AA9"/>
  <sheetViews>
    <sheetView workbookViewId="0">
      <selection activeCell="F19" sqref="F19"/>
    </sheetView>
  </sheetViews>
  <sheetFormatPr defaultColWidth="9.140625" defaultRowHeight="15.75"/>
  <cols>
    <col min="1" max="1" width="12.7109375" style="9" customWidth="1"/>
    <col min="2" max="16384" width="9.140625" style="9"/>
  </cols>
  <sheetData>
    <row r="1" spans="1:27">
      <c r="A1" s="147" t="str">
        <f>CONCATENATE("Segment:  ",State,", Single Family, ", SpaceHeat, ", ", TankSize,", ", StartWH, " is starting water heater")</f>
        <v>Segment:  Oregon, Single Family, Gas FAF, &gt;55 Gallons, Electric Resistance is starting water heater</v>
      </c>
    </row>
    <row r="3" spans="1:27" ht="26.25" customHeight="1">
      <c r="A3" s="25" t="str">
        <f>CONCATENATE('Input Assumptions'!B9," Retail Rates (2012$/mmBtu)")</f>
        <v>Oregon Retail Rates (2012$/mmBtu)</v>
      </c>
    </row>
    <row r="4" spans="1:27">
      <c r="B4" s="12">
        <v>2014</v>
      </c>
      <c r="C4" s="12">
        <v>2015</v>
      </c>
      <c r="D4" s="12">
        <v>2016</v>
      </c>
      <c r="E4" s="12">
        <v>2017</v>
      </c>
      <c r="F4" s="12">
        <v>2018</v>
      </c>
      <c r="G4" s="12">
        <v>2019</v>
      </c>
      <c r="H4" s="12">
        <v>2020</v>
      </c>
      <c r="I4" s="12">
        <v>2021</v>
      </c>
      <c r="J4" s="12">
        <v>2022</v>
      </c>
      <c r="K4" s="12">
        <v>2023</v>
      </c>
      <c r="L4" s="12">
        <v>2024</v>
      </c>
      <c r="M4" s="12">
        <v>2025</v>
      </c>
      <c r="N4" s="12">
        <v>2026</v>
      </c>
      <c r="O4" s="12">
        <v>2027</v>
      </c>
      <c r="P4" s="12">
        <v>2028</v>
      </c>
      <c r="Q4" s="12">
        <v>2029</v>
      </c>
      <c r="R4" s="12">
        <v>2030</v>
      </c>
      <c r="S4" s="12">
        <v>2031</v>
      </c>
      <c r="T4" s="12">
        <v>2032</v>
      </c>
      <c r="U4" s="12">
        <v>2033</v>
      </c>
      <c r="V4" s="12">
        <v>2034</v>
      </c>
      <c r="W4" s="12">
        <v>2035</v>
      </c>
    </row>
    <row r="5" spans="1:27">
      <c r="A5" s="9" t="s">
        <v>18</v>
      </c>
      <c r="B5" s="63">
        <v>29.492097059999992</v>
      </c>
      <c r="C5" s="63">
        <v>29.875494321779989</v>
      </c>
      <c r="D5" s="63">
        <v>30.263875747963127</v>
      </c>
      <c r="E5" s="63">
        <v>30.657306132686646</v>
      </c>
      <c r="F5" s="63">
        <v>31.05585111241157</v>
      </c>
      <c r="G5" s="63">
        <v>31.459577176872919</v>
      </c>
      <c r="H5" s="63">
        <v>31.868551680172263</v>
      </c>
      <c r="I5" s="63">
        <v>32.282842852014497</v>
      </c>
      <c r="J5" s="63">
        <v>32.702519809090681</v>
      </c>
      <c r="K5" s="63">
        <v>33.127652566608859</v>
      </c>
      <c r="L5" s="63">
        <v>33.558312049974774</v>
      </c>
      <c r="M5" s="63">
        <v>33.994570106624444</v>
      </c>
      <c r="N5" s="63">
        <v>34.436499518010557</v>
      </c>
      <c r="O5" s="63">
        <v>34.88417401174469</v>
      </c>
      <c r="P5" s="63">
        <v>35.337668273897371</v>
      </c>
      <c r="Q5" s="63">
        <v>35.79705796145803</v>
      </c>
      <c r="R5" s="63">
        <v>36.262419714956984</v>
      </c>
      <c r="S5" s="63">
        <v>36.733831171251424</v>
      </c>
      <c r="T5" s="63">
        <v>37.211370976477689</v>
      </c>
      <c r="U5" s="63">
        <v>37.695118799171894</v>
      </c>
      <c r="V5" s="63">
        <v>38.185155343561128</v>
      </c>
      <c r="W5" s="63">
        <v>38.681562363027417</v>
      </c>
      <c r="X5" s="10"/>
      <c r="Y5" s="10"/>
      <c r="Z5" s="10"/>
      <c r="AA5" s="10"/>
    </row>
    <row r="6" spans="1:27">
      <c r="A6" s="9" t="s">
        <v>19</v>
      </c>
      <c r="B6" s="63">
        <v>11.301568249999997</v>
      </c>
      <c r="C6" s="63">
        <v>11.471091773749997</v>
      </c>
      <c r="D6" s="63">
        <v>11.643158150356246</v>
      </c>
      <c r="E6" s="63">
        <v>11.817805522611589</v>
      </c>
      <c r="F6" s="63">
        <v>11.995072605450762</v>
      </c>
      <c r="G6" s="63">
        <v>12.174998694532523</v>
      </c>
      <c r="H6" s="63">
        <v>12.35762367495051</v>
      </c>
      <c r="I6" s="63">
        <v>12.542988030074767</v>
      </c>
      <c r="J6" s="63">
        <v>12.731132850525887</v>
      </c>
      <c r="K6" s="63">
        <v>12.922099843283775</v>
      </c>
      <c r="L6" s="63">
        <v>13.115931340933029</v>
      </c>
      <c r="M6" s="63">
        <v>13.312670311047023</v>
      </c>
      <c r="N6" s="63">
        <v>13.512360365712727</v>
      </c>
      <c r="O6" s="63">
        <v>13.715045771198417</v>
      </c>
      <c r="P6" s="63">
        <v>13.920771457766392</v>
      </c>
      <c r="Q6" s="63">
        <v>14.129583029632887</v>
      </c>
      <c r="R6" s="63">
        <v>14.341526775077378</v>
      </c>
      <c r="S6" s="63">
        <v>14.556649676703538</v>
      </c>
      <c r="T6" s="63">
        <v>14.774999421854089</v>
      </c>
      <c r="U6" s="63">
        <v>14.996624413181898</v>
      </c>
      <c r="V6" s="63">
        <v>15.221573779379625</v>
      </c>
      <c r="W6" s="63">
        <v>15.449897386070319</v>
      </c>
      <c r="X6" s="11"/>
      <c r="Y6" s="11"/>
      <c r="Z6" s="11"/>
      <c r="AA6" s="11"/>
    </row>
    <row r="8" spans="1:27">
      <c r="A8" s="28" t="s">
        <v>68</v>
      </c>
    </row>
    <row r="9" spans="1:27">
      <c r="A9" s="76" t="s">
        <v>85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W8"/>
  <sheetViews>
    <sheetView workbookViewId="0">
      <selection activeCell="D18" sqref="D18"/>
    </sheetView>
  </sheetViews>
  <sheetFormatPr defaultColWidth="9.140625" defaultRowHeight="15.75"/>
  <cols>
    <col min="1" max="1" width="25.7109375" style="9" customWidth="1"/>
    <col min="2" max="16384" width="9.140625" style="9"/>
  </cols>
  <sheetData>
    <row r="1" spans="1:23">
      <c r="A1" s="147" t="str">
        <f>CONCATENATE("Segment:  ",State,", Single Family, ", SpaceHeat, ", ", TankSize,", ", StartWH, " is starting water heater")</f>
        <v>Segment:  Oregon, Single Family, Gas FAF, &gt;55 Gallons, Electric Resistance is starting water heater</v>
      </c>
    </row>
    <row r="3" spans="1:23">
      <c r="A3" s="12" t="s">
        <v>121</v>
      </c>
    </row>
    <row r="4" spans="1:23">
      <c r="B4" s="9">
        <v>2014</v>
      </c>
      <c r="C4" s="9">
        <v>2015</v>
      </c>
      <c r="D4" s="9">
        <v>2016</v>
      </c>
      <c r="E4" s="9">
        <v>2017</v>
      </c>
      <c r="F4" s="9">
        <v>2018</v>
      </c>
      <c r="G4" s="9">
        <v>2019</v>
      </c>
      <c r="H4" s="9">
        <v>2020</v>
      </c>
      <c r="I4" s="9">
        <v>2021</v>
      </c>
      <c r="J4" s="9">
        <v>2022</v>
      </c>
      <c r="K4" s="9">
        <v>2023</v>
      </c>
      <c r="L4" s="9">
        <v>2024</v>
      </c>
      <c r="M4" s="9">
        <v>2025</v>
      </c>
      <c r="N4" s="9">
        <v>2026</v>
      </c>
      <c r="O4" s="9">
        <v>2027</v>
      </c>
      <c r="P4" s="9">
        <v>2028</v>
      </c>
      <c r="Q4" s="9">
        <v>2029</v>
      </c>
      <c r="R4" s="9">
        <v>2030</v>
      </c>
      <c r="S4" s="9">
        <v>2031</v>
      </c>
      <c r="T4" s="9">
        <v>2032</v>
      </c>
      <c r="U4" s="9">
        <v>2033</v>
      </c>
      <c r="V4" s="9">
        <v>2034</v>
      </c>
      <c r="W4" s="9">
        <v>2035</v>
      </c>
    </row>
    <row r="5" spans="1:23">
      <c r="A5" s="9" t="s">
        <v>123</v>
      </c>
      <c r="B5" s="63">
        <v>4.3899999999999997</v>
      </c>
      <c r="C5" s="63">
        <v>4.2699999999999996</v>
      </c>
      <c r="D5" s="63">
        <v>4.2699999999999996</v>
      </c>
      <c r="E5" s="63">
        <v>4.32</v>
      </c>
      <c r="F5" s="63">
        <v>4.3899999999999997</v>
      </c>
      <c r="G5" s="63">
        <v>4.47</v>
      </c>
      <c r="H5" s="63">
        <v>4.66</v>
      </c>
      <c r="I5" s="63">
        <v>4.75</v>
      </c>
      <c r="J5" s="63">
        <v>4.8499999999999996</v>
      </c>
      <c r="K5" s="63">
        <v>4.95</v>
      </c>
      <c r="L5" s="63">
        <v>5.04</v>
      </c>
      <c r="M5" s="63">
        <v>5.27</v>
      </c>
      <c r="N5" s="63">
        <v>5.4</v>
      </c>
      <c r="O5" s="63">
        <v>5.53</v>
      </c>
      <c r="P5" s="63">
        <v>5.67</v>
      </c>
      <c r="Q5" s="63">
        <v>5.81</v>
      </c>
      <c r="R5" s="63">
        <v>6.06</v>
      </c>
      <c r="S5" s="63">
        <v>6.21</v>
      </c>
      <c r="T5" s="63">
        <v>6.36</v>
      </c>
      <c r="U5" s="63">
        <v>6.52</v>
      </c>
      <c r="V5" s="63">
        <v>6.69</v>
      </c>
      <c r="W5" s="63">
        <v>6.85</v>
      </c>
    </row>
    <row r="7" spans="1:23">
      <c r="A7" s="28" t="s">
        <v>122</v>
      </c>
    </row>
    <row r="8" spans="1:23">
      <c r="A8" s="28" t="s">
        <v>163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AY7"/>
  <sheetViews>
    <sheetView workbookViewId="0"/>
  </sheetViews>
  <sheetFormatPr defaultColWidth="9.140625" defaultRowHeight="15.75"/>
  <cols>
    <col min="1" max="1" width="12.7109375" style="9" customWidth="1"/>
    <col min="2" max="3" width="9.140625" style="9"/>
    <col min="4" max="4" width="9.28515625" style="9" customWidth="1"/>
    <col min="5" max="16384" width="9.140625" style="9"/>
  </cols>
  <sheetData>
    <row r="1" spans="1:51">
      <c r="A1" s="147" t="str">
        <f>CONCATENATE("Segment:  ",State,", Single Family, ", SpaceHeat, ", ", TankSize,", ", StartWH, " is starting water heater")</f>
        <v>Segment:  Oregon, Single Family, Gas FAF, &gt;55 Gallons, Electric Resistance is starting water heater</v>
      </c>
    </row>
    <row r="3" spans="1:51">
      <c r="A3" s="25" t="s">
        <v>153</v>
      </c>
    </row>
    <row r="4" spans="1:51" ht="16.5" customHeight="1">
      <c r="B4" s="12">
        <v>1986</v>
      </c>
      <c r="C4" s="12">
        <v>1987</v>
      </c>
      <c r="D4" s="12">
        <v>1988</v>
      </c>
      <c r="E4" s="12">
        <v>1989</v>
      </c>
      <c r="F4" s="12">
        <v>1990</v>
      </c>
      <c r="G4" s="12">
        <v>1991</v>
      </c>
      <c r="H4" s="12">
        <v>1992</v>
      </c>
      <c r="I4" s="12">
        <v>1993</v>
      </c>
      <c r="J4" s="12">
        <v>1994</v>
      </c>
      <c r="K4" s="12">
        <v>1995</v>
      </c>
      <c r="L4" s="12">
        <v>1996</v>
      </c>
      <c r="M4" s="12">
        <v>1997</v>
      </c>
      <c r="N4" s="12">
        <v>1998</v>
      </c>
      <c r="O4" s="12">
        <v>1999</v>
      </c>
      <c r="P4" s="12">
        <v>2000</v>
      </c>
      <c r="Q4" s="12">
        <v>2001</v>
      </c>
      <c r="R4" s="12">
        <v>2002</v>
      </c>
      <c r="S4" s="12">
        <v>2003</v>
      </c>
      <c r="T4" s="12">
        <v>2004</v>
      </c>
      <c r="U4" s="12">
        <v>2005</v>
      </c>
      <c r="V4" s="12">
        <v>2006</v>
      </c>
      <c r="W4" s="12">
        <v>2007</v>
      </c>
      <c r="X4" s="12">
        <v>2008</v>
      </c>
      <c r="Y4" s="12">
        <v>2009</v>
      </c>
      <c r="Z4" s="12">
        <v>2010</v>
      </c>
      <c r="AA4" s="12">
        <v>2011</v>
      </c>
      <c r="AB4" s="12">
        <v>2012</v>
      </c>
      <c r="AC4" s="12">
        <v>2013</v>
      </c>
      <c r="AD4" s="12">
        <v>2014</v>
      </c>
      <c r="AE4" s="12">
        <v>2015</v>
      </c>
      <c r="AF4" s="12">
        <v>2016</v>
      </c>
      <c r="AG4" s="12">
        <v>2017</v>
      </c>
      <c r="AH4" s="12">
        <v>2018</v>
      </c>
      <c r="AI4" s="12">
        <v>2019</v>
      </c>
      <c r="AJ4" s="12">
        <v>2020</v>
      </c>
      <c r="AK4" s="12">
        <v>2021</v>
      </c>
      <c r="AL4" s="12">
        <v>2022</v>
      </c>
      <c r="AM4" s="12">
        <v>2023</v>
      </c>
      <c r="AN4" s="12">
        <v>2024</v>
      </c>
      <c r="AO4" s="12">
        <v>2025</v>
      </c>
      <c r="AP4" s="12">
        <v>2026</v>
      </c>
      <c r="AQ4" s="12">
        <v>2027</v>
      </c>
      <c r="AR4" s="12">
        <v>2028</v>
      </c>
      <c r="AS4" s="12">
        <v>2029</v>
      </c>
      <c r="AT4" s="12">
        <v>2030</v>
      </c>
      <c r="AU4" s="12">
        <v>2031</v>
      </c>
      <c r="AV4" s="12">
        <v>2032</v>
      </c>
      <c r="AW4" s="12">
        <v>2033</v>
      </c>
      <c r="AX4" s="12">
        <v>2034</v>
      </c>
      <c r="AY4" s="12">
        <v>2035</v>
      </c>
    </row>
    <row r="5" spans="1:51" ht="18" customHeight="1">
      <c r="A5" s="9" t="s">
        <v>61</v>
      </c>
      <c r="B5" s="99">
        <v>0.64119999999999999</v>
      </c>
      <c r="C5" s="99">
        <v>0.65359999999999996</v>
      </c>
      <c r="D5" s="99">
        <v>0.67</v>
      </c>
      <c r="E5" s="99">
        <v>0.68910000000000005</v>
      </c>
      <c r="F5" s="99">
        <v>0.71</v>
      </c>
      <c r="G5" s="99">
        <v>0.73029999999999995</v>
      </c>
      <c r="H5" s="99">
        <v>0.74450000000000005</v>
      </c>
      <c r="I5" s="99">
        <v>0.75929999999999997</v>
      </c>
      <c r="J5" s="99">
        <v>0.77359999999999995</v>
      </c>
      <c r="K5" s="99">
        <v>0.78790000000000004</v>
      </c>
      <c r="L5" s="99">
        <v>0.80169999999999997</v>
      </c>
      <c r="M5" s="99">
        <v>0.81420000000000003</v>
      </c>
      <c r="N5" s="99">
        <v>0.82279999999999998</v>
      </c>
      <c r="O5" s="99">
        <v>0.83430000000000004</v>
      </c>
      <c r="P5" s="99">
        <v>0.85209999999999997</v>
      </c>
      <c r="Q5" s="99">
        <v>0.87250000000000005</v>
      </c>
      <c r="R5" s="99">
        <v>0.8881</v>
      </c>
      <c r="S5" s="99">
        <v>0.90780000000000005</v>
      </c>
      <c r="T5" s="99">
        <v>0.93559999999999999</v>
      </c>
      <c r="U5" s="99">
        <v>0.96870000000000001</v>
      </c>
      <c r="V5" s="99">
        <v>1</v>
      </c>
      <c r="W5" s="99">
        <v>1.0289999999999999</v>
      </c>
      <c r="X5" s="99">
        <v>1.0516000000000001</v>
      </c>
      <c r="Y5" s="99">
        <v>1.0609999999999999</v>
      </c>
      <c r="Z5" s="99">
        <v>1.0751999999999999</v>
      </c>
      <c r="AA5" s="99">
        <v>1.0981000000000001</v>
      </c>
      <c r="AB5" s="99">
        <v>1.1175999999999999</v>
      </c>
      <c r="AC5" s="99">
        <v>1.1375</v>
      </c>
      <c r="AD5" s="99">
        <v>1.1549</v>
      </c>
      <c r="AE5" s="99">
        <v>1.1735</v>
      </c>
      <c r="AF5" s="99">
        <v>1.1930000000000001</v>
      </c>
      <c r="AG5" s="99">
        <v>1.2121</v>
      </c>
      <c r="AH5" s="99">
        <v>1.2324999999999999</v>
      </c>
      <c r="AI5" s="99">
        <v>1.2525999999999999</v>
      </c>
      <c r="AJ5" s="99">
        <v>1.2734000000000001</v>
      </c>
      <c r="AK5" s="99">
        <v>1.2952999999999999</v>
      </c>
      <c r="AL5" s="99">
        <v>1.3178000000000001</v>
      </c>
      <c r="AM5" s="99">
        <v>1.3408</v>
      </c>
      <c r="AN5" s="99">
        <v>1.3636999999999999</v>
      </c>
      <c r="AO5" s="99">
        <v>1.387</v>
      </c>
      <c r="AP5" s="99">
        <v>1.4109</v>
      </c>
      <c r="AQ5" s="99">
        <v>1.4353</v>
      </c>
      <c r="AR5" s="99">
        <v>1.4602999999999999</v>
      </c>
      <c r="AS5" s="99">
        <v>1.4864999999999999</v>
      </c>
      <c r="AT5" s="99">
        <v>1.5133000000000001</v>
      </c>
      <c r="AU5" s="99">
        <v>1.5411999999999999</v>
      </c>
      <c r="AV5" s="99">
        <v>1.5692999999999999</v>
      </c>
      <c r="AW5" s="99">
        <v>1.5978000000000001</v>
      </c>
      <c r="AX5" s="99">
        <v>1.627</v>
      </c>
      <c r="AY5" s="99">
        <v>1.6566000000000001</v>
      </c>
    </row>
    <row r="7" spans="1:51">
      <c r="A7" s="28" t="s">
        <v>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W14"/>
  <sheetViews>
    <sheetView workbookViewId="0">
      <selection activeCell="A2" sqref="A2"/>
    </sheetView>
  </sheetViews>
  <sheetFormatPr defaultColWidth="9.140625" defaultRowHeight="15.75"/>
  <cols>
    <col min="1" max="1" width="50" style="9" customWidth="1"/>
    <col min="2" max="2" width="13.5703125" style="9" customWidth="1"/>
    <col min="3" max="3" width="15" style="9" customWidth="1"/>
    <col min="4" max="4" width="12.7109375" style="9" customWidth="1"/>
    <col min="5" max="5" width="9.7109375" style="9" customWidth="1"/>
    <col min="6" max="16384" width="9.140625" style="9"/>
  </cols>
  <sheetData>
    <row r="1" spans="1:23">
      <c r="A1" s="147" t="str">
        <f>CONCATENATE("Segment:  ",State,", Single Family, ", SpaceHeat, ", ", TankSize,", ", StartWH, " is starting water heater")</f>
        <v>Segment:  Oregon, Single Family, Gas FAF, &gt;55 Gallons, Electric Resistance is starting water heater</v>
      </c>
    </row>
    <row r="2" spans="1:23">
      <c r="G2" s="130"/>
    </row>
    <row r="3" spans="1:23">
      <c r="A3" s="12" t="s">
        <v>127</v>
      </c>
      <c r="G3" s="130"/>
    </row>
    <row r="4" spans="1:23" ht="31.5">
      <c r="A4" s="65" t="s">
        <v>157</v>
      </c>
      <c r="B4" s="136" t="s">
        <v>126</v>
      </c>
    </row>
    <row r="5" spans="1:23">
      <c r="A5" s="170" t="s">
        <v>154</v>
      </c>
      <c r="B5" s="133">
        <f>'Consumer Cost'!B7</f>
        <v>12.719472616365067</v>
      </c>
    </row>
    <row r="6" spans="1:23">
      <c r="A6" s="169" t="s">
        <v>155</v>
      </c>
      <c r="B6" s="134">
        <f>'Utility Cost'!B4</f>
        <v>-4.3313850460872025</v>
      </c>
    </row>
    <row r="7" spans="1:23">
      <c r="A7" s="56" t="s">
        <v>156</v>
      </c>
      <c r="B7" s="134">
        <f>NPV(DiscountRate,B14:W14)</f>
        <v>8.3880875702778805</v>
      </c>
    </row>
    <row r="8" spans="1:23">
      <c r="B8" s="130"/>
    </row>
    <row r="9" spans="1:23">
      <c r="B9" s="130"/>
    </row>
    <row r="10" spans="1:23">
      <c r="A10" s="12" t="s">
        <v>152</v>
      </c>
      <c r="B10" s="130"/>
    </row>
    <row r="11" spans="1:23">
      <c r="A11" s="104"/>
      <c r="B11" s="164">
        <f>'Utility Cost'!B7</f>
        <v>2014</v>
      </c>
      <c r="C11" s="164">
        <f>'Utility Cost'!C7</f>
        <v>2015</v>
      </c>
      <c r="D11" s="164">
        <f>'Utility Cost'!D7</f>
        <v>2016</v>
      </c>
      <c r="E11" s="164">
        <f>'Utility Cost'!E7</f>
        <v>2017</v>
      </c>
      <c r="F11" s="164">
        <f>'Utility Cost'!F7</f>
        <v>2018</v>
      </c>
      <c r="G11" s="164">
        <f>'Utility Cost'!G7</f>
        <v>2019</v>
      </c>
      <c r="H11" s="164">
        <f>'Utility Cost'!H7</f>
        <v>2020</v>
      </c>
      <c r="I11" s="164">
        <f>'Utility Cost'!I7</f>
        <v>2021</v>
      </c>
      <c r="J11" s="164">
        <f>'Utility Cost'!J7</f>
        <v>2022</v>
      </c>
      <c r="K11" s="164">
        <f>'Utility Cost'!K7</f>
        <v>2023</v>
      </c>
      <c r="L11" s="164">
        <f>'Utility Cost'!L7</f>
        <v>2024</v>
      </c>
      <c r="M11" s="164">
        <f>'Utility Cost'!M7</f>
        <v>2025</v>
      </c>
      <c r="N11" s="164">
        <f>'Utility Cost'!N7</f>
        <v>2026</v>
      </c>
      <c r="O11" s="164">
        <f>'Utility Cost'!O7</f>
        <v>2027</v>
      </c>
      <c r="P11" s="164">
        <f>'Utility Cost'!P7</f>
        <v>2028</v>
      </c>
      <c r="Q11" s="164">
        <f>'Utility Cost'!Q7</f>
        <v>2029</v>
      </c>
      <c r="R11" s="164">
        <f>'Utility Cost'!R7</f>
        <v>2030</v>
      </c>
      <c r="S11" s="164">
        <f>'Utility Cost'!S7</f>
        <v>2031</v>
      </c>
      <c r="T11" s="164">
        <f>'Utility Cost'!T7</f>
        <v>2032</v>
      </c>
      <c r="U11" s="164">
        <f>'Utility Cost'!U7</f>
        <v>2033</v>
      </c>
      <c r="V11" s="164">
        <f>'Utility Cost'!V7</f>
        <v>2034</v>
      </c>
      <c r="W11" s="164">
        <f>'Utility Cost'!W7</f>
        <v>2035</v>
      </c>
    </row>
    <row r="12" spans="1:23">
      <c r="A12" s="9" t="s">
        <v>150</v>
      </c>
      <c r="B12" s="158">
        <f>'Utility Cost'!B10</f>
        <v>0</v>
      </c>
      <c r="C12" s="158">
        <f>'Utility Cost'!C10</f>
        <v>-3.8176951407000219E-2</v>
      </c>
      <c r="D12" s="158">
        <f>'Utility Cost'!D10</f>
        <v>-7.3673323631076801E-2</v>
      </c>
      <c r="E12" s="158">
        <f>'Utility Cost'!E10</f>
        <v>-0.10792943081126333</v>
      </c>
      <c r="F12" s="158">
        <f>'Utility Cost'!F10</f>
        <v>-0.1412358557264172</v>
      </c>
      <c r="G12" s="158">
        <f>'Utility Cost'!G10</f>
        <v>-0.17369451859529741</v>
      </c>
      <c r="H12" s="158">
        <f>'Utility Cost'!H10</f>
        <v>-0.21005635221328223</v>
      </c>
      <c r="I12" s="158">
        <f>'Utility Cost'!I10</f>
        <v>-0.24159145009280639</v>
      </c>
      <c r="J12" s="158">
        <f>'Utility Cost'!J10</f>
        <v>-0.27278044445205313</v>
      </c>
      <c r="K12" s="158">
        <f>'Utility Cost'!K10</f>
        <v>-0.30319370791706168</v>
      </c>
      <c r="L12" s="158">
        <f>'Utility Cost'!L10</f>
        <v>-0.33219438039274657</v>
      </c>
      <c r="M12" s="158">
        <f>'Utility Cost'!M10</f>
        <v>-0.37021280571482762</v>
      </c>
      <c r="N12" s="158">
        <f>'Utility Cost'!N10</f>
        <v>-0.40114868893789118</v>
      </c>
      <c r="O12" s="158">
        <f>'Utility Cost'!O10</f>
        <v>-0.43159415441495813</v>
      </c>
      <c r="P12" s="158">
        <f>'Utility Cost'!P10</f>
        <v>-0.46236808998857798</v>
      </c>
      <c r="Q12" s="158">
        <f>'Utility Cost'!Q10</f>
        <v>-0.49272575490508402</v>
      </c>
      <c r="R12" s="158">
        <f>'Utility Cost'!R10</f>
        <v>-0.53233051320916547</v>
      </c>
      <c r="S12" s="158">
        <f>'Utility Cost'!S10</f>
        <v>-0.56307751704847331</v>
      </c>
      <c r="T12" s="158">
        <f>'Utility Cost'!T10</f>
        <v>-0.59344764065273758</v>
      </c>
      <c r="U12" s="158">
        <f>'Utility Cost'!U10</f>
        <v>-0.62440075417500018</v>
      </c>
      <c r="V12" s="158">
        <f>'Utility Cost'!V10</f>
        <v>-0.65600948216322663</v>
      </c>
      <c r="W12" s="158">
        <f>'Utility Cost'!W10</f>
        <v>-0.68633470589195678</v>
      </c>
    </row>
    <row r="13" spans="1:23">
      <c r="A13" s="41" t="s">
        <v>149</v>
      </c>
      <c r="B13" s="163">
        <f>-('Consumer Cost'!B49-'Consumer Cost'!B12)</f>
        <v>0</v>
      </c>
      <c r="C13" s="163">
        <f>-('Consumer Cost'!C49-'Consumer Cost'!C12)</f>
        <v>0.83810765381281271</v>
      </c>
      <c r="D13" s="163">
        <f>-('Consumer Cost'!D49-'Consumer Cost'!D12)</f>
        <v>0.85201757329837768</v>
      </c>
      <c r="E13" s="163">
        <f>-('Consumer Cost'!E49-'Consumer Cost'!E12)</f>
        <v>0.86551187669687657</v>
      </c>
      <c r="F13" s="163">
        <f>-('Consumer Cost'!F49-'Consumer Cost'!F12)</f>
        <v>0.87862655155124614</v>
      </c>
      <c r="G13" s="163">
        <f>-('Consumer Cost'!G49-'Consumer Cost'!G12)</f>
        <v>0.8913952129004894</v>
      </c>
      <c r="H13" s="163">
        <f>-('Consumer Cost'!H49-'Consumer Cost'!H12)</f>
        <v>0.90384928317726931</v>
      </c>
      <c r="I13" s="163">
        <f>-('Consumer Cost'!I49-'Consumer Cost'!I12)</f>
        <v>0.9160181583973106</v>
      </c>
      <c r="J13" s="163">
        <f>-('Consumer Cost'!J49-'Consumer Cost'!J12)</f>
        <v>0.927929361702855</v>
      </c>
      <c r="K13" s="163">
        <f>-('Consumer Cost'!K49-'Consumer Cost'!K12)</f>
        <v>0.93960868524002805</v>
      </c>
      <c r="L13" s="163">
        <f>-('Consumer Cost'!L49-'Consumer Cost'!L12)</f>
        <v>0.95108032127404485</v>
      </c>
      <c r="M13" s="163">
        <f>-('Consumer Cost'!M49-'Consumer Cost'!M12)</f>
        <v>0.96236698337596138</v>
      </c>
      <c r="N13" s="163">
        <f>-('Consumer Cost'!N49-'Consumer Cost'!N12)</f>
        <v>0.97349001845006988</v>
      </c>
      <c r="O13" s="163">
        <f>-('Consumer Cost'!O49-'Consumer Cost'!O12)</f>
        <v>0.98446951031127483</v>
      </c>
      <c r="P13" s="163">
        <f>-('Consumer Cost'!P49-'Consumer Cost'!P12)</f>
        <v>0.99532437546676</v>
      </c>
      <c r="Q13" s="163">
        <f>-('Consumer Cost'!Q49-'Consumer Cost'!Q12)</f>
        <v>1.0060724517053679</v>
      </c>
      <c r="R13" s="163">
        <f>-('Consumer Cost'!R49-'Consumer Cost'!R12)</f>
        <v>1.0167305800513429</v>
      </c>
      <c r="S13" s="163">
        <f>-('Consumer Cost'!S49-'Consumer Cost'!S12)</f>
        <v>1.0273146805957776</v>
      </c>
      <c r="T13" s="163">
        <f>-('Consumer Cost'!T49-'Consumer Cost'!T12)</f>
        <v>1.0378398226791461</v>
      </c>
      <c r="U13" s="163">
        <f>-('Consumer Cost'!U49-'Consumer Cost'!U12)</f>
        <v>1.0483202898617296</v>
      </c>
      <c r="V13" s="163">
        <f>-('Consumer Cost'!V49-'Consumer Cost'!V12)</f>
        <v>1.0587696400845221</v>
      </c>
      <c r="W13" s="163">
        <f>-('Consumer Cost'!W49-'Consumer Cost'!W12)</f>
        <v>1.0692007613921319</v>
      </c>
    </row>
    <row r="14" spans="1:23">
      <c r="A14" s="9" t="s">
        <v>151</v>
      </c>
      <c r="B14" s="158">
        <f>B12+B13</f>
        <v>0</v>
      </c>
      <c r="C14" s="158">
        <f t="shared" ref="C14:W14" si="0">C12+C13</f>
        <v>0.79993070240581254</v>
      </c>
      <c r="D14" s="158">
        <f t="shared" si="0"/>
        <v>0.77834424966730087</v>
      </c>
      <c r="E14" s="158">
        <f t="shared" si="0"/>
        <v>0.7575824458856133</v>
      </c>
      <c r="F14" s="158">
        <f t="shared" si="0"/>
        <v>0.73739069582482897</v>
      </c>
      <c r="G14" s="158">
        <f t="shared" si="0"/>
        <v>0.71770069430519201</v>
      </c>
      <c r="H14" s="158">
        <f t="shared" si="0"/>
        <v>0.69379293096398709</v>
      </c>
      <c r="I14" s="158">
        <f t="shared" si="0"/>
        <v>0.67442670830450424</v>
      </c>
      <c r="J14" s="158">
        <f t="shared" si="0"/>
        <v>0.65514891725080182</v>
      </c>
      <c r="K14" s="158">
        <f t="shared" si="0"/>
        <v>0.63641497732296637</v>
      </c>
      <c r="L14" s="158">
        <f t="shared" si="0"/>
        <v>0.61888594088129834</v>
      </c>
      <c r="M14" s="158">
        <f t="shared" si="0"/>
        <v>0.59215417766113376</v>
      </c>
      <c r="N14" s="158">
        <f t="shared" si="0"/>
        <v>0.57234132951217864</v>
      </c>
      <c r="O14" s="158">
        <f t="shared" si="0"/>
        <v>0.55287535589631664</v>
      </c>
      <c r="P14" s="158">
        <f t="shared" si="0"/>
        <v>0.53295628547818197</v>
      </c>
      <c r="Q14" s="158">
        <f t="shared" si="0"/>
        <v>0.51334669680028377</v>
      </c>
      <c r="R14" s="158">
        <f t="shared" si="0"/>
        <v>0.4844000668421774</v>
      </c>
      <c r="S14" s="158">
        <f t="shared" si="0"/>
        <v>0.46423716354730427</v>
      </c>
      <c r="T14" s="158">
        <f t="shared" si="0"/>
        <v>0.44439218202640851</v>
      </c>
      <c r="U14" s="158">
        <f t="shared" si="0"/>
        <v>0.42391953568672947</v>
      </c>
      <c r="V14" s="158">
        <f t="shared" si="0"/>
        <v>0.40276015792129549</v>
      </c>
      <c r="W14" s="158">
        <f t="shared" si="0"/>
        <v>0.38286605550017516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Y10"/>
  <sheetViews>
    <sheetView workbookViewId="0">
      <selection activeCell="E32" sqref="E32"/>
    </sheetView>
  </sheetViews>
  <sheetFormatPr defaultColWidth="9.140625" defaultRowHeight="15.75"/>
  <cols>
    <col min="1" max="1" width="54.7109375" style="9" customWidth="1"/>
    <col min="2" max="2" width="13.85546875" style="9" customWidth="1"/>
    <col min="3" max="5" width="12.42578125" style="9" bestFit="1" customWidth="1"/>
    <col min="6" max="23" width="14.28515625" style="9" bestFit="1" customWidth="1"/>
    <col min="24" max="16384" width="9.140625" style="9"/>
  </cols>
  <sheetData>
    <row r="1" spans="1:25">
      <c r="A1" s="147" t="str">
        <f>CONCATENATE("Segment:  ",State,", Single Family, ", SpaceHeat, ", ", TankSize,", ", StartWH, " is starting water heater")</f>
        <v>Segment:  Oregon, Single Family, Gas FAF, &gt;55 Gallons, Electric Resistance is starting water heater</v>
      </c>
    </row>
    <row r="3" spans="1:25" ht="31.5">
      <c r="A3" s="154"/>
      <c r="B3" s="136" t="s">
        <v>140</v>
      </c>
    </row>
    <row r="4" spans="1:25">
      <c r="A4" s="153" t="s">
        <v>139</v>
      </c>
      <c r="B4" s="155">
        <f>NPV(DiscountRate,B10:W10)</f>
        <v>-4.3313850460872025</v>
      </c>
      <c r="D4" s="44"/>
      <c r="E4" s="44"/>
      <c r="F4" s="44"/>
      <c r="G4" s="44"/>
      <c r="H4" s="123"/>
      <c r="I4" s="44"/>
      <c r="J4" s="44"/>
      <c r="K4" s="44"/>
    </row>
    <row r="6" spans="1:25">
      <c r="A6" s="12" t="s">
        <v>136</v>
      </c>
    </row>
    <row r="7" spans="1:25">
      <c r="A7" s="154"/>
      <c r="B7" s="81">
        <f>'Net Reduction in Gas'!B10</f>
        <v>2014</v>
      </c>
      <c r="C7" s="81">
        <f>'Net Reduction in Gas'!C10</f>
        <v>2015</v>
      </c>
      <c r="D7" s="81">
        <f>'Net Reduction in Gas'!D10</f>
        <v>2016</v>
      </c>
      <c r="E7" s="81">
        <f>'Net Reduction in Gas'!E10</f>
        <v>2017</v>
      </c>
      <c r="F7" s="81">
        <f>'Net Reduction in Gas'!F10</f>
        <v>2018</v>
      </c>
      <c r="G7" s="81">
        <f>'Net Reduction in Gas'!G10</f>
        <v>2019</v>
      </c>
      <c r="H7" s="81">
        <f>'Net Reduction in Gas'!H10</f>
        <v>2020</v>
      </c>
      <c r="I7" s="81">
        <f>'Net Reduction in Gas'!I10</f>
        <v>2021</v>
      </c>
      <c r="J7" s="81">
        <f>'Net Reduction in Gas'!J10</f>
        <v>2022</v>
      </c>
      <c r="K7" s="81">
        <f>'Net Reduction in Gas'!K10</f>
        <v>2023</v>
      </c>
      <c r="L7" s="81">
        <f>'Net Reduction in Gas'!L10</f>
        <v>2024</v>
      </c>
      <c r="M7" s="81">
        <f>'Net Reduction in Gas'!M10</f>
        <v>2025</v>
      </c>
      <c r="N7" s="81">
        <f>'Net Reduction in Gas'!N10</f>
        <v>2026</v>
      </c>
      <c r="O7" s="81">
        <f>'Net Reduction in Gas'!O10</f>
        <v>2027</v>
      </c>
      <c r="P7" s="81">
        <f>'Net Reduction in Gas'!P10</f>
        <v>2028</v>
      </c>
      <c r="Q7" s="81">
        <f>'Net Reduction in Gas'!Q10</f>
        <v>2029</v>
      </c>
      <c r="R7" s="81">
        <f>'Net Reduction in Gas'!R10</f>
        <v>2030</v>
      </c>
      <c r="S7" s="81">
        <f>'Net Reduction in Gas'!S10</f>
        <v>2031</v>
      </c>
      <c r="T7" s="81">
        <f>'Net Reduction in Gas'!T10</f>
        <v>2032</v>
      </c>
      <c r="U7" s="81">
        <f>'Net Reduction in Gas'!U10</f>
        <v>2033</v>
      </c>
      <c r="V7" s="81">
        <f>'Net Reduction in Gas'!V10</f>
        <v>2034</v>
      </c>
      <c r="W7" s="92">
        <f>'Net Reduction in Gas'!W10</f>
        <v>2035</v>
      </c>
    </row>
    <row r="8" spans="1:25">
      <c r="A8" s="66" t="s">
        <v>162</v>
      </c>
      <c r="B8" s="132">
        <f>'Net Reduction in Gas'!B13</f>
        <v>0</v>
      </c>
      <c r="C8" s="132">
        <f>'Net Reduction in Gas'!C13</f>
        <v>-8.9407380344262814E-3</v>
      </c>
      <c r="D8" s="132">
        <f>'Net Reduction in Gas'!D13</f>
        <v>-1.7253705768402062E-2</v>
      </c>
      <c r="E8" s="132">
        <f>'Net Reduction in Gas'!E13</f>
        <v>-2.4983664539644287E-2</v>
      </c>
      <c r="F8" s="132">
        <f>'Net Reduction in Gas'!F13</f>
        <v>-3.2172176703056311E-2</v>
      </c>
      <c r="G8" s="132">
        <f>'Net Reduction in Gas'!G13</f>
        <v>-3.8857834137650434E-2</v>
      </c>
      <c r="H8" s="132">
        <f>'Net Reduction in Gas'!H13</f>
        <v>-4.5076470432034811E-2</v>
      </c>
      <c r="I8" s="132">
        <f>'Net Reduction in Gas'!I13</f>
        <v>-5.0861357914275027E-2</v>
      </c>
      <c r="J8" s="132">
        <f>'Net Reduction in Gas'!J13</f>
        <v>-5.624339060867075E-2</v>
      </c>
      <c r="K8" s="132">
        <f>'Net Reduction in Gas'!K13</f>
        <v>-6.125125412465892E-2</v>
      </c>
      <c r="L8" s="132">
        <f>'Net Reduction in Gas'!L13</f>
        <v>-6.5911583411259245E-2</v>
      </c>
      <c r="M8" s="132">
        <f>'Net Reduction in Gas'!M13</f>
        <v>-7.0249109243800317E-2</v>
      </c>
      <c r="N8" s="132">
        <f>'Net Reduction in Gas'!N13</f>
        <v>-7.4286794247757623E-2</v>
      </c>
      <c r="O8" s="132">
        <f>'Net Reduction in Gas'!O13</f>
        <v>-7.8045959207044865E-2</v>
      </c>
      <c r="P8" s="132">
        <f>'Net Reduction in Gas'!P13</f>
        <v>-8.1546400350719223E-2</v>
      </c>
      <c r="Q8" s="132">
        <f>'Net Reduction in Gas'!Q13</f>
        <v>-8.4806498262492952E-2</v>
      </c>
      <c r="R8" s="132">
        <f>'Net Reduction in Gas'!R13</f>
        <v>-8.7843319011413457E-2</v>
      </c>
      <c r="S8" s="132">
        <f>'Net Reduction in Gas'!S13</f>
        <v>-9.0672708059335486E-2</v>
      </c>
      <c r="T8" s="132">
        <f>'Net Reduction in Gas'!T13</f>
        <v>-9.330937746112225E-2</v>
      </c>
      <c r="U8" s="132">
        <f>'Net Reduction in Gas'!U13</f>
        <v>-9.5766986836656479E-2</v>
      </c>
      <c r="V8" s="132">
        <f>'Net Reduction in Gas'!V13</f>
        <v>-9.8058218559525651E-2</v>
      </c>
      <c r="W8" s="132">
        <f>'Net Reduction in Gas'!W13</f>
        <v>-0.10019484757546815</v>
      </c>
      <c r="X8" s="130"/>
    </row>
    <row r="9" spans="1:25">
      <c r="A9" s="66" t="s">
        <v>137</v>
      </c>
      <c r="B9" s="44">
        <f>'Wholesale Price'!B5</f>
        <v>4.3899999999999997</v>
      </c>
      <c r="C9" s="44">
        <f>'Wholesale Price'!C5</f>
        <v>4.2699999999999996</v>
      </c>
      <c r="D9" s="44">
        <f>'Wholesale Price'!D5</f>
        <v>4.2699999999999996</v>
      </c>
      <c r="E9" s="44">
        <f>'Wholesale Price'!E5</f>
        <v>4.32</v>
      </c>
      <c r="F9" s="44">
        <f>'Wholesale Price'!F5</f>
        <v>4.3899999999999997</v>
      </c>
      <c r="G9" s="44">
        <f>'Wholesale Price'!G5</f>
        <v>4.47</v>
      </c>
      <c r="H9" s="44">
        <f>'Wholesale Price'!H5</f>
        <v>4.66</v>
      </c>
      <c r="I9" s="44">
        <f>'Wholesale Price'!I5</f>
        <v>4.75</v>
      </c>
      <c r="J9" s="44">
        <f>'Wholesale Price'!J5</f>
        <v>4.8499999999999996</v>
      </c>
      <c r="K9" s="44">
        <f>'Wholesale Price'!K5</f>
        <v>4.95</v>
      </c>
      <c r="L9" s="44">
        <f>'Wholesale Price'!L5</f>
        <v>5.04</v>
      </c>
      <c r="M9" s="44">
        <f>'Wholesale Price'!M5</f>
        <v>5.27</v>
      </c>
      <c r="N9" s="44">
        <f>'Wholesale Price'!N5</f>
        <v>5.4</v>
      </c>
      <c r="O9" s="44">
        <f>'Wholesale Price'!O5</f>
        <v>5.53</v>
      </c>
      <c r="P9" s="44">
        <f>'Wholesale Price'!P5</f>
        <v>5.67</v>
      </c>
      <c r="Q9" s="44">
        <f>'Wholesale Price'!Q5</f>
        <v>5.81</v>
      </c>
      <c r="R9" s="44">
        <f>'Wholesale Price'!R5</f>
        <v>6.06</v>
      </c>
      <c r="S9" s="44">
        <f>'Wholesale Price'!S5</f>
        <v>6.21</v>
      </c>
      <c r="T9" s="44">
        <f>'Wholesale Price'!T5</f>
        <v>6.36</v>
      </c>
      <c r="U9" s="44">
        <f>'Wholesale Price'!U5</f>
        <v>6.52</v>
      </c>
      <c r="V9" s="44">
        <f>'Wholesale Price'!V5</f>
        <v>6.69</v>
      </c>
      <c r="W9" s="44">
        <f>'Wholesale Price'!W5</f>
        <v>6.85</v>
      </c>
      <c r="X9" s="44"/>
      <c r="Y9" s="44"/>
    </row>
    <row r="10" spans="1:25">
      <c r="A10" s="56" t="s">
        <v>138</v>
      </c>
      <c r="B10" s="157">
        <f>B8*B9</f>
        <v>0</v>
      </c>
      <c r="C10" s="157">
        <f>C8*C9</f>
        <v>-3.8176951407000219E-2</v>
      </c>
      <c r="D10" s="157">
        <f t="shared" ref="D10:W10" si="0">D8*D9</f>
        <v>-7.3673323631076801E-2</v>
      </c>
      <c r="E10" s="157">
        <f t="shared" si="0"/>
        <v>-0.10792943081126333</v>
      </c>
      <c r="F10" s="157">
        <f t="shared" si="0"/>
        <v>-0.1412358557264172</v>
      </c>
      <c r="G10" s="157">
        <f t="shared" si="0"/>
        <v>-0.17369451859529741</v>
      </c>
      <c r="H10" s="157">
        <f t="shared" si="0"/>
        <v>-0.21005635221328223</v>
      </c>
      <c r="I10" s="157">
        <f t="shared" si="0"/>
        <v>-0.24159145009280639</v>
      </c>
      <c r="J10" s="157">
        <f t="shared" si="0"/>
        <v>-0.27278044445205313</v>
      </c>
      <c r="K10" s="157">
        <f t="shared" si="0"/>
        <v>-0.30319370791706168</v>
      </c>
      <c r="L10" s="157">
        <f t="shared" si="0"/>
        <v>-0.33219438039274657</v>
      </c>
      <c r="M10" s="157">
        <f t="shared" si="0"/>
        <v>-0.37021280571482762</v>
      </c>
      <c r="N10" s="157">
        <f t="shared" si="0"/>
        <v>-0.40114868893789118</v>
      </c>
      <c r="O10" s="157">
        <f t="shared" si="0"/>
        <v>-0.43159415441495813</v>
      </c>
      <c r="P10" s="157">
        <f t="shared" si="0"/>
        <v>-0.46236808998857798</v>
      </c>
      <c r="Q10" s="157">
        <f t="shared" si="0"/>
        <v>-0.49272575490508402</v>
      </c>
      <c r="R10" s="157">
        <f t="shared" si="0"/>
        <v>-0.53233051320916547</v>
      </c>
      <c r="S10" s="157">
        <f t="shared" si="0"/>
        <v>-0.56307751704847331</v>
      </c>
      <c r="T10" s="157">
        <f t="shared" si="0"/>
        <v>-0.59344764065273758</v>
      </c>
      <c r="U10" s="157">
        <f t="shared" si="0"/>
        <v>-0.62440075417500018</v>
      </c>
      <c r="V10" s="157">
        <f t="shared" si="0"/>
        <v>-0.65600948216322663</v>
      </c>
      <c r="W10" s="157">
        <f t="shared" si="0"/>
        <v>-0.68633470589195678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11</vt:i4>
      </vt:variant>
    </vt:vector>
  </HeadingPairs>
  <TitlesOfParts>
    <vt:vector size="35" baseType="lpstr">
      <vt:lpstr>Summary-Charts</vt:lpstr>
      <vt:lpstr>Summary-Results</vt:lpstr>
      <vt:lpstr>Input Assumptions</vt:lpstr>
      <vt:lpstr>Non-Price Factors</vt:lpstr>
      <vt:lpstr>Retail Rates</vt:lpstr>
      <vt:lpstr>Wholesale Price</vt:lpstr>
      <vt:lpstr>Inflation</vt:lpstr>
      <vt:lpstr>Total Resource Cost</vt:lpstr>
      <vt:lpstr>Utility Cost</vt:lpstr>
      <vt:lpstr>Consumer Cost</vt:lpstr>
      <vt:lpstr>Net Reduction in Gas</vt:lpstr>
      <vt:lpstr>Energy Usage</vt:lpstr>
      <vt:lpstr>Water Heater Stock</vt:lpstr>
      <vt:lpstr>Water Heaters Retired</vt:lpstr>
      <vt:lpstr>Water Heaters Purchased</vt:lpstr>
      <vt:lpstr>Average Market Share</vt:lpstr>
      <vt:lpstr>Marginal Market Share</vt:lpstr>
      <vt:lpstr>Total Allocation Weight</vt:lpstr>
      <vt:lpstr>Marginal Allocation Weight</vt:lpstr>
      <vt:lpstr>Levelized Costs</vt:lpstr>
      <vt:lpstr>Fuel Cost</vt:lpstr>
      <vt:lpstr>Device Energy Use</vt:lpstr>
      <vt:lpstr>Capital Cost</vt:lpstr>
      <vt:lpstr>O&amp;M Cost</vt:lpstr>
      <vt:lpstr>CapitalChargeRate</vt:lpstr>
      <vt:lpstr>ConvertMMBTU</vt:lpstr>
      <vt:lpstr>DiscountRate</vt:lpstr>
      <vt:lpstr>HeatRate</vt:lpstr>
      <vt:lpstr>Households</vt:lpstr>
      <vt:lpstr>Lifetime</vt:lpstr>
      <vt:lpstr>SpaceHeat</vt:lpstr>
      <vt:lpstr>StartWH</vt:lpstr>
      <vt:lpstr>State</vt:lpstr>
      <vt:lpstr>TankSize</vt:lpstr>
      <vt:lpstr>VarianceFactor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Massoud Jourabchi</cp:lastModifiedBy>
  <dcterms:created xsi:type="dcterms:W3CDTF">2014-08-12T20:22:43Z</dcterms:created>
  <dcterms:modified xsi:type="dcterms:W3CDTF">2015-01-14T18:55:18Z</dcterms:modified>
</cp:coreProperties>
</file>