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120" windowWidth="13890" windowHeight="6225" activeTab="4"/>
  </bookViews>
  <sheets>
    <sheet name="Summary-Charts" sheetId="39" r:id="rId1"/>
    <sheet name="Summary-Results" sheetId="40" r:id="rId2"/>
    <sheet name="Input Assumptions" sheetId="30" r:id="rId3"/>
    <sheet name="Non-Price Factors" sheetId="45" r:id="rId4"/>
    <sheet name="Retail Rates" sheetId="16" r:id="rId5"/>
    <sheet name="Wholesale Price" sheetId="50" r:id="rId6"/>
    <sheet name="Inflation" sheetId="37" r:id="rId7"/>
    <sheet name="Total Resource Cost" sheetId="51" r:id="rId8"/>
    <sheet name="Utility Cost" sheetId="49" r:id="rId9"/>
    <sheet name="Consumer Cost" sheetId="29" r:id="rId10"/>
    <sheet name="Net Reduction in Gas" sheetId="48" r:id="rId11"/>
    <sheet name="Energy Usage" sheetId="25" r:id="rId12"/>
    <sheet name="Water Heater Stock" sheetId="21" r:id="rId13"/>
    <sheet name="Water Heaters Retired" sheetId="34" r:id="rId14"/>
    <sheet name="Water Heaters Purchased" sheetId="33" r:id="rId15"/>
    <sheet name="Average Market Share" sheetId="46" r:id="rId16"/>
    <sheet name="Marginal Market Share" sheetId="23" r:id="rId17"/>
    <sheet name="Total Allocation Weight" sheetId="32" r:id="rId18"/>
    <sheet name="Marginal Allocation Weight" sheetId="31" r:id="rId19"/>
    <sheet name="Levelized Costs" sheetId="14" r:id="rId20"/>
    <sheet name="Fuel Cost" sheetId="15" r:id="rId21"/>
    <sheet name="Device Energy Use" sheetId="4" r:id="rId22"/>
    <sheet name="Capital Cost" sheetId="42" r:id="rId23"/>
    <sheet name="O&amp;M Cost" sheetId="43" r:id="rId24"/>
  </sheets>
  <definedNames>
    <definedName name="_Order1" hidden="1">255</definedName>
    <definedName name="CapitalChargeRate">'Input Assumptions'!$B$16</definedName>
    <definedName name="CBWorkbookPriority" hidden="1">-1631902449</definedName>
    <definedName name="ConvertMMBTU">'Input Assumptions'!$B$18</definedName>
    <definedName name="DiscountRate">'Input Assumptions'!$B$15</definedName>
    <definedName name="HeatRate">'Input Assumptions'!$B$17</definedName>
    <definedName name="Households">'Input Assumptions'!$B$13</definedName>
    <definedName name="Lifetime">'Input Assumptions'!$B$14</definedName>
    <definedName name="SpaceHeat">'Input Assumptions'!$B$10</definedName>
    <definedName name="StartWH">'Input Assumptions'!$B$11</definedName>
    <definedName name="State">'Input Assumptions'!$B$9</definedName>
    <definedName name="TankSize">'Input Assumptions'!$B$12</definedName>
    <definedName name="VarianceFactor">'Input Assumptions'!$B$19</definedName>
  </definedNames>
  <calcPr calcId="125725" calcOnSave="0"/>
</workbook>
</file>

<file path=xl/calcChain.xml><?xml version="1.0" encoding="utf-8"?>
<calcChain xmlns="http://schemas.openxmlformats.org/spreadsheetml/2006/main">
  <c r="A1" i="30"/>
  <c r="A1" i="43" l="1"/>
  <c r="A1" i="42"/>
  <c r="A1" i="4"/>
  <c r="A1" i="15"/>
  <c r="A1" i="14"/>
  <c r="A1" i="31"/>
  <c r="A1" i="32"/>
  <c r="A1" i="23"/>
  <c r="A1" i="46"/>
  <c r="A1" i="33"/>
  <c r="A1" i="34"/>
  <c r="A1" i="21"/>
  <c r="A1" i="25"/>
  <c r="A1" i="48"/>
  <c r="A1" i="29"/>
  <c r="A1" i="49"/>
  <c r="A1" i="51"/>
  <c r="A1" i="37"/>
  <c r="A1" i="50"/>
  <c r="A1" i="16"/>
  <c r="A1" i="45"/>
  <c r="B41" i="40"/>
  <c r="B35"/>
  <c r="B27"/>
  <c r="B19"/>
  <c r="B11"/>
  <c r="B3"/>
  <c r="A1"/>
  <c r="B57" i="39"/>
  <c r="B21"/>
  <c r="B39"/>
  <c r="B3"/>
  <c r="A1"/>
  <c r="D9" i="49" l="1"/>
  <c r="E9"/>
  <c r="F9"/>
  <c r="G9"/>
  <c r="H9"/>
  <c r="I9"/>
  <c r="J9"/>
  <c r="K9"/>
  <c r="L9"/>
  <c r="M9"/>
  <c r="N9"/>
  <c r="O9"/>
  <c r="P9"/>
  <c r="Q9"/>
  <c r="R9"/>
  <c r="S9"/>
  <c r="T9"/>
  <c r="U9"/>
  <c r="V9"/>
  <c r="W9"/>
  <c r="D12" i="48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75" i="39" l="1"/>
  <c r="B45" i="40"/>
  <c r="B44"/>
  <c r="B43"/>
  <c r="W11" i="5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W4" i="48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9" i="49"/>
  <c r="C9"/>
  <c r="M7"/>
  <c r="N7"/>
  <c r="U7"/>
  <c r="V7"/>
  <c r="W7"/>
  <c r="B7"/>
  <c r="C12" i="48"/>
  <c r="B12"/>
  <c r="J10"/>
  <c r="J7" i="49" s="1"/>
  <c r="K10" i="48"/>
  <c r="K7" i="49" s="1"/>
  <c r="L10" i="48"/>
  <c r="L7" i="49" s="1"/>
  <c r="M10" i="48"/>
  <c r="N10"/>
  <c r="O10"/>
  <c r="O7" i="49" s="1"/>
  <c r="P10" i="48"/>
  <c r="P7" i="49" s="1"/>
  <c r="Q10" i="48"/>
  <c r="Q7" i="49" s="1"/>
  <c r="R10" i="48"/>
  <c r="R7" i="49" s="1"/>
  <c r="S10" i="48"/>
  <c r="S7" i="49" s="1"/>
  <c r="T10" i="48"/>
  <c r="T7" i="49" s="1"/>
  <c r="U10" i="48"/>
  <c r="V10"/>
  <c r="W10"/>
  <c r="B10"/>
  <c r="C10"/>
  <c r="C7" i="49" s="1"/>
  <c r="D10" i="48"/>
  <c r="D7" i="49" s="1"/>
  <c r="E10" i="48"/>
  <c r="E7" i="49" s="1"/>
  <c r="F10" i="48"/>
  <c r="F7" i="49" s="1"/>
  <c r="G10" i="48"/>
  <c r="G7" i="49" s="1"/>
  <c r="H10" i="48"/>
  <c r="H7" i="49" s="1"/>
  <c r="I10" i="48"/>
  <c r="I7" i="49" s="1"/>
  <c r="C16" i="34"/>
  <c r="C17"/>
  <c r="C18"/>
  <c r="C19"/>
  <c r="C7"/>
  <c r="C8"/>
  <c r="C9"/>
  <c r="C10"/>
  <c r="B6" i="21"/>
  <c r="C6" i="34" s="1"/>
  <c r="B15" i="21"/>
  <c r="C15" i="34" s="1"/>
  <c r="A25" i="30" l="1"/>
  <c r="A34"/>
  <c r="C42" i="40"/>
  <c r="D20" i="45" l="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C20"/>
  <c r="B22"/>
  <c r="B23"/>
  <c r="B24"/>
  <c r="B21"/>
  <c r="B20"/>
  <c r="A18" l="1"/>
  <c r="A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A12" i="46" l="1"/>
  <c r="A4"/>
  <c r="C14" i="45"/>
  <c r="C24" s="1"/>
  <c r="C13"/>
  <c r="C23" s="1"/>
  <c r="C12"/>
  <c r="C22" s="1"/>
  <c r="C11"/>
  <c r="C21" s="1"/>
  <c r="D14" l="1"/>
  <c r="D24" s="1"/>
  <c r="D13"/>
  <c r="D23" s="1"/>
  <c r="D12"/>
  <c r="D22" s="1"/>
  <c r="D11"/>
  <c r="D21" s="1"/>
  <c r="A9"/>
  <c r="A19" s="1"/>
  <c r="E11" l="1"/>
  <c r="E21" s="1"/>
  <c r="E12"/>
  <c r="E22" s="1"/>
  <c r="E13"/>
  <c r="E23" s="1"/>
  <c r="E14"/>
  <c r="E24" s="1"/>
  <c r="F14" l="1"/>
  <c r="F24" s="1"/>
  <c r="F13"/>
  <c r="F23" s="1"/>
  <c r="F12"/>
  <c r="F22" s="1"/>
  <c r="F11"/>
  <c r="F21" s="1"/>
  <c r="D9" i="42"/>
  <c r="C9"/>
  <c r="B9"/>
  <c r="D8"/>
  <c r="C8"/>
  <c r="B8"/>
  <c r="D7"/>
  <c r="C7"/>
  <c r="B7"/>
  <c r="D6"/>
  <c r="C6"/>
  <c r="B6"/>
  <c r="D5"/>
  <c r="C5"/>
  <c r="B5"/>
  <c r="C4"/>
  <c r="B4"/>
  <c r="C9" i="43"/>
  <c r="B9"/>
  <c r="C8"/>
  <c r="B8"/>
  <c r="C7"/>
  <c r="B7"/>
  <c r="C6"/>
  <c r="B6"/>
  <c r="D6" s="1"/>
  <c r="C5"/>
  <c r="B5"/>
  <c r="B4"/>
  <c r="B4" i="4"/>
  <c r="C4"/>
  <c r="B5"/>
  <c r="C5"/>
  <c r="B6"/>
  <c r="C6"/>
  <c r="B7"/>
  <c r="C7"/>
  <c r="B8"/>
  <c r="C8"/>
  <c r="B9"/>
  <c r="C9"/>
  <c r="D6"/>
  <c r="D7"/>
  <c r="D8"/>
  <c r="D9"/>
  <c r="D5"/>
  <c r="A9" i="43"/>
  <c r="A8"/>
  <c r="A7"/>
  <c r="A6"/>
  <c r="A5"/>
  <c r="A9" i="42"/>
  <c r="A8"/>
  <c r="A7"/>
  <c r="A6"/>
  <c r="A5"/>
  <c r="D5" i="43" l="1"/>
  <c r="B31" i="29" s="1"/>
  <c r="D9" i="43"/>
  <c r="B72" i="29" s="1"/>
  <c r="E6" i="42"/>
  <c r="B23" i="29" s="1"/>
  <c r="D8" i="43"/>
  <c r="B71" i="29" s="1"/>
  <c r="B69"/>
  <c r="B32"/>
  <c r="G11" i="45"/>
  <c r="G21" s="1"/>
  <c r="G12"/>
  <c r="G22" s="1"/>
  <c r="G13"/>
  <c r="G23" s="1"/>
  <c r="G14"/>
  <c r="G24" s="1"/>
  <c r="E8" i="42"/>
  <c r="E5"/>
  <c r="E9"/>
  <c r="D7" i="43"/>
  <c r="E7" i="42"/>
  <c r="B60" i="29" l="1"/>
  <c r="B35"/>
  <c r="B68"/>
  <c r="B34"/>
  <c r="B25"/>
  <c r="B62"/>
  <c r="B59"/>
  <c r="B22"/>
  <c r="B26"/>
  <c r="B63"/>
  <c r="B24"/>
  <c r="B61"/>
  <c r="B70"/>
  <c r="B33"/>
  <c r="H14" i="45"/>
  <c r="H24" s="1"/>
  <c r="H13"/>
  <c r="H23" s="1"/>
  <c r="H12"/>
  <c r="H22" s="1"/>
  <c r="H11"/>
  <c r="H21" s="1"/>
  <c r="E9" i="4"/>
  <c r="A9"/>
  <c r="E8"/>
  <c r="A8"/>
  <c r="E7"/>
  <c r="A7"/>
  <c r="E6"/>
  <c r="A6"/>
  <c r="E5"/>
  <c r="A5"/>
  <c r="E4"/>
  <c r="A4" i="15"/>
  <c r="A4" i="14"/>
  <c r="A4" i="31"/>
  <c r="A4" i="32"/>
  <c r="A12" i="23"/>
  <c r="A4"/>
  <c r="W13" i="33"/>
  <c r="V13"/>
  <c r="V57" i="29" s="1"/>
  <c r="V48" s="1"/>
  <c r="U13" i="33"/>
  <c r="U57" i="29" s="1"/>
  <c r="U48" s="1"/>
  <c r="T13" i="33"/>
  <c r="T57" i="29" s="1"/>
  <c r="T48" s="1"/>
  <c r="S13" i="33"/>
  <c r="S57" i="29" s="1"/>
  <c r="S48" s="1"/>
  <c r="R13" i="33"/>
  <c r="R57" i="29" s="1"/>
  <c r="R48" s="1"/>
  <c r="Q13" i="33"/>
  <c r="Q57" i="29" s="1"/>
  <c r="Q48" s="1"/>
  <c r="P13" i="33"/>
  <c r="O13"/>
  <c r="O57" i="29" s="1"/>
  <c r="O48" s="1"/>
  <c r="N13" i="33"/>
  <c r="N57" i="29" s="1"/>
  <c r="N48" s="1"/>
  <c r="M13" i="33"/>
  <c r="M57" i="29" s="1"/>
  <c r="M48" s="1"/>
  <c r="L13" i="33"/>
  <c r="L57" i="29" s="1"/>
  <c r="L48" s="1"/>
  <c r="K13" i="33"/>
  <c r="K57" i="29" s="1"/>
  <c r="K48" s="1"/>
  <c r="J13" i="33"/>
  <c r="J57" i="29" s="1"/>
  <c r="J48" s="1"/>
  <c r="I13" i="33"/>
  <c r="I57" i="29" s="1"/>
  <c r="I48" s="1"/>
  <c r="H13" i="33"/>
  <c r="G13"/>
  <c r="G57" i="29" s="1"/>
  <c r="G48" s="1"/>
  <c r="F13" i="33"/>
  <c r="F57" i="29" s="1"/>
  <c r="F48" s="1"/>
  <c r="E13" i="33"/>
  <c r="E57" i="29" s="1"/>
  <c r="E48" s="1"/>
  <c r="D13" i="33"/>
  <c r="D57" i="29" s="1"/>
  <c r="D48" s="1"/>
  <c r="C13" i="33"/>
  <c r="C57" i="29" s="1"/>
  <c r="C48" s="1"/>
  <c r="B13" i="33"/>
  <c r="B57" i="29" s="1"/>
  <c r="B48" s="1"/>
  <c r="A13" i="33"/>
  <c r="A57" i="29" s="1"/>
  <c r="A48" s="1"/>
  <c r="W4" i="33"/>
  <c r="W20" i="29" s="1"/>
  <c r="W11" s="1"/>
  <c r="V4" i="33"/>
  <c r="V20" i="29" s="1"/>
  <c r="V11" s="1"/>
  <c r="U4" i="33"/>
  <c r="U20" i="29" s="1"/>
  <c r="U11" s="1"/>
  <c r="T4" i="33"/>
  <c r="T20" i="29" s="1"/>
  <c r="T11" s="1"/>
  <c r="S4" i="33"/>
  <c r="S20" i="29" s="1"/>
  <c r="S11" s="1"/>
  <c r="R4" i="33"/>
  <c r="R20" i="29" s="1"/>
  <c r="R11" s="1"/>
  <c r="Q4" i="33"/>
  <c r="Q20" i="29" s="1"/>
  <c r="Q11" s="1"/>
  <c r="P4" i="33"/>
  <c r="P20" i="29" s="1"/>
  <c r="P11" s="1"/>
  <c r="O4" i="33"/>
  <c r="O20" i="29" s="1"/>
  <c r="O11" s="1"/>
  <c r="N4" i="33"/>
  <c r="N20" i="29" s="1"/>
  <c r="N11" s="1"/>
  <c r="M4" i="33"/>
  <c r="M20" i="29" s="1"/>
  <c r="M11" s="1"/>
  <c r="L4" i="33"/>
  <c r="L20" i="29" s="1"/>
  <c r="L11" s="1"/>
  <c r="K4" i="33"/>
  <c r="K20" i="29" s="1"/>
  <c r="K11" s="1"/>
  <c r="J4" i="33"/>
  <c r="J20" i="29" s="1"/>
  <c r="J11" s="1"/>
  <c r="I4" i="33"/>
  <c r="I20" i="29" s="1"/>
  <c r="I11" s="1"/>
  <c r="H4" i="33"/>
  <c r="H20" i="29" s="1"/>
  <c r="H11" s="1"/>
  <c r="G4" i="33"/>
  <c r="G20" i="29" s="1"/>
  <c r="G11" s="1"/>
  <c r="F4" i="33"/>
  <c r="F20" i="29" s="1"/>
  <c r="F11" s="1"/>
  <c r="E4" i="33"/>
  <c r="E20" i="29" s="1"/>
  <c r="E11" s="1"/>
  <c r="D4" i="33"/>
  <c r="D20" i="29" s="1"/>
  <c r="D11" s="1"/>
  <c r="C4" i="33"/>
  <c r="C20" i="29" s="1"/>
  <c r="C11" s="1"/>
  <c r="B4" i="33"/>
  <c r="B20" i="29" s="1"/>
  <c r="B11" s="1"/>
  <c r="A4" i="33"/>
  <c r="A20" i="29" s="1"/>
  <c r="A11" s="1"/>
  <c r="W13" i="3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A13" i="21"/>
  <c r="A66" i="29" s="1"/>
  <c r="A4" i="21"/>
  <c r="W62" i="25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W25"/>
  <c r="W75" i="29" s="1"/>
  <c r="V25" i="25"/>
  <c r="V38" i="29" s="1"/>
  <c r="U25" i="25"/>
  <c r="U75" i="29" s="1"/>
  <c r="T25" i="25"/>
  <c r="T38" i="29" s="1"/>
  <c r="S25" i="25"/>
  <c r="R25"/>
  <c r="R38" i="29" s="1"/>
  <c r="Q25" i="25"/>
  <c r="P25"/>
  <c r="O25"/>
  <c r="O75" i="29" s="1"/>
  <c r="N25" i="25"/>
  <c r="M25"/>
  <c r="L25"/>
  <c r="L75" i="29" s="1"/>
  <c r="K25" i="25"/>
  <c r="K38" i="29" s="1"/>
  <c r="J25" i="25"/>
  <c r="J75" i="29" s="1"/>
  <c r="I25" i="25"/>
  <c r="H25"/>
  <c r="G25"/>
  <c r="G75" i="29" s="1"/>
  <c r="F25" i="25"/>
  <c r="F75" i="29" s="1"/>
  <c r="E25" i="25"/>
  <c r="D25"/>
  <c r="D38" i="29" s="1"/>
  <c r="C25" i="25"/>
  <c r="B25"/>
  <c r="B75" i="29" s="1"/>
  <c r="A25" i="25"/>
  <c r="A75" i="29" s="1"/>
  <c r="W16" i="25"/>
  <c r="W4" s="1"/>
  <c r="V16"/>
  <c r="V4" s="1"/>
  <c r="U16"/>
  <c r="U4" s="1"/>
  <c r="T16"/>
  <c r="T4" s="1"/>
  <c r="S16"/>
  <c r="S4" s="1"/>
  <c r="R16"/>
  <c r="R4" s="1"/>
  <c r="Q16"/>
  <c r="Q4" s="1"/>
  <c r="P16"/>
  <c r="P4" s="1"/>
  <c r="O16"/>
  <c r="O4" s="1"/>
  <c r="N16"/>
  <c r="N4" s="1"/>
  <c r="N5" s="1"/>
  <c r="M16"/>
  <c r="M4" s="1"/>
  <c r="L16"/>
  <c r="L4" s="1"/>
  <c r="K16"/>
  <c r="K4" s="1"/>
  <c r="J16"/>
  <c r="J4" s="1"/>
  <c r="I16"/>
  <c r="I4" s="1"/>
  <c r="H16"/>
  <c r="H4" s="1"/>
  <c r="G16"/>
  <c r="G4" s="1"/>
  <c r="G5" s="1"/>
  <c r="F16"/>
  <c r="F4" s="1"/>
  <c r="E16"/>
  <c r="E4" s="1"/>
  <c r="D16"/>
  <c r="D4" s="1"/>
  <c r="C16"/>
  <c r="C4" s="1"/>
  <c r="B16"/>
  <c r="B4" s="1"/>
  <c r="A16"/>
  <c r="W66" i="29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W57"/>
  <c r="W48" s="1"/>
  <c r="P57"/>
  <c r="P48" s="1"/>
  <c r="H57"/>
  <c r="H48" s="1"/>
  <c r="A4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W4" i="15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4" i="14" s="1"/>
  <c r="B12" i="46" s="1"/>
  <c r="A3" i="16"/>
  <c r="A29" i="29" l="1"/>
  <c r="A13" i="45"/>
  <c r="A23" s="1"/>
  <c r="A8" i="46"/>
  <c r="B24" i="40" s="1"/>
  <c r="A16" i="46"/>
  <c r="B32" i="40" s="1"/>
  <c r="A12" i="45"/>
  <c r="A22" s="1"/>
  <c r="A15" i="46"/>
  <c r="B31" i="40" s="1"/>
  <c r="A7" i="46"/>
  <c r="B23" i="40" s="1"/>
  <c r="A10" i="45"/>
  <c r="A20" s="1"/>
  <c r="A13" i="46"/>
  <c r="B29" i="40" s="1"/>
  <c r="A5" i="46"/>
  <c r="B21" i="40" s="1"/>
  <c r="A11" i="45"/>
  <c r="A21" s="1"/>
  <c r="A14" i="46"/>
  <c r="B30" i="40" s="1"/>
  <c r="A6" i="46"/>
  <c r="B22" i="40" s="1"/>
  <c r="A14" i="45"/>
  <c r="A24" s="1"/>
  <c r="A9" i="46"/>
  <c r="B25" i="40" s="1"/>
  <c r="A17" i="46"/>
  <c r="B33" i="40" s="1"/>
  <c r="A21" i="25"/>
  <c r="A34" i="29" s="1"/>
  <c r="B21"/>
  <c r="A38"/>
  <c r="I11" i="45"/>
  <c r="I21" s="1"/>
  <c r="I12"/>
  <c r="I22" s="1"/>
  <c r="I13"/>
  <c r="I23" s="1"/>
  <c r="I14"/>
  <c r="I24" s="1"/>
  <c r="B4" i="31"/>
  <c r="B4" i="23" s="1"/>
  <c r="B12"/>
  <c r="L5" i="15"/>
  <c r="E5"/>
  <c r="E5" i="14" s="1"/>
  <c r="E5" i="31" s="1"/>
  <c r="M5" i="15"/>
  <c r="U5"/>
  <c r="U5" i="14" s="1"/>
  <c r="U5" i="31" s="1"/>
  <c r="V4" i="14"/>
  <c r="V4" i="31" s="1"/>
  <c r="P4" i="14"/>
  <c r="P12" i="46" s="1"/>
  <c r="I4" i="14"/>
  <c r="Q4"/>
  <c r="Q12" i="46" s="1"/>
  <c r="G4" i="14"/>
  <c r="J4"/>
  <c r="J12" i="46" s="1"/>
  <c r="R4" i="14"/>
  <c r="U4"/>
  <c r="F4"/>
  <c r="H4"/>
  <c r="M10" i="25"/>
  <c r="B38" i="29"/>
  <c r="U38"/>
  <c r="T10" i="25"/>
  <c r="B5"/>
  <c r="J38" i="29"/>
  <c r="A49" i="25"/>
  <c r="A6" i="15"/>
  <c r="A20" i="25"/>
  <c r="A33" i="29" s="1"/>
  <c r="A58" i="25"/>
  <c r="A67"/>
  <c r="I5" i="15"/>
  <c r="I5" i="14" s="1"/>
  <c r="I5" i="31" s="1"/>
  <c r="A18" i="21"/>
  <c r="A18" i="34" s="1"/>
  <c r="A7" i="21"/>
  <c r="A7" i="33" s="1"/>
  <c r="A23" i="29" s="1"/>
  <c r="A14" s="1"/>
  <c r="A8" i="23"/>
  <c r="B8" i="40" s="1"/>
  <c r="A16" i="23"/>
  <c r="A30" i="25"/>
  <c r="A43" i="29" s="1"/>
  <c r="A19" i="25"/>
  <c r="A32" i="29" s="1"/>
  <c r="A40" i="25"/>
  <c r="A9" i="21"/>
  <c r="A9" i="33" s="1"/>
  <c r="A25" i="29" s="1"/>
  <c r="A16" s="1"/>
  <c r="A15" i="23"/>
  <c r="A16" i="21"/>
  <c r="A69" i="29" s="1"/>
  <c r="J5" i="15"/>
  <c r="J5" i="14" s="1"/>
  <c r="J5" i="31" s="1"/>
  <c r="Q5" i="15"/>
  <c r="Q5" i="14" s="1"/>
  <c r="Q5" i="31" s="1"/>
  <c r="G38" i="29"/>
  <c r="F38"/>
  <c r="A28" i="25"/>
  <c r="A38"/>
  <c r="A6" i="23"/>
  <c r="A6" i="14"/>
  <c r="A56" i="25"/>
  <c r="A14" i="23"/>
  <c r="A47" i="25"/>
  <c r="R75" i="29"/>
  <c r="A65" i="25"/>
  <c r="O38" i="29"/>
  <c r="W38"/>
  <c r="V75"/>
  <c r="D5" i="15"/>
  <c r="D5" i="14" s="1"/>
  <c r="D5" i="31" s="1"/>
  <c r="U5" i="25"/>
  <c r="U10"/>
  <c r="K75" i="29"/>
  <c r="A41" i="25"/>
  <c r="L38" i="29"/>
  <c r="N4" i="14"/>
  <c r="A9"/>
  <c r="D5" i="25"/>
  <c r="F10"/>
  <c r="R5" i="15"/>
  <c r="R5" i="14" s="1"/>
  <c r="R5" i="31" s="1"/>
  <c r="R10" i="25"/>
  <c r="B5" i="15"/>
  <c r="T5"/>
  <c r="T5" i="14" s="1"/>
  <c r="T5" i="31" s="1"/>
  <c r="J5" i="25"/>
  <c r="J10"/>
  <c r="D4" i="14"/>
  <c r="L4"/>
  <c r="L12" i="46" s="1"/>
  <c r="T4" i="14"/>
  <c r="A15" i="21"/>
  <c r="A27" i="25"/>
  <c r="A18"/>
  <c r="A31" i="29" s="1"/>
  <c r="A5" i="15"/>
  <c r="A5" i="14"/>
  <c r="A5" i="23"/>
  <c r="B5" i="40" s="1"/>
  <c r="A64" i="25"/>
  <c r="A13" i="23"/>
  <c r="A46" i="25"/>
  <c r="A17" i="23"/>
  <c r="A22" i="25"/>
  <c r="A35" i="29" s="1"/>
  <c r="A10" i="21"/>
  <c r="A10" i="33" s="1"/>
  <c r="A26" i="29" s="1"/>
  <c r="A17" s="1"/>
  <c r="A19" i="21"/>
  <c r="A68" i="25"/>
  <c r="A59"/>
  <c r="A9" i="15"/>
  <c r="A9" i="23"/>
  <c r="W4" i="14"/>
  <c r="D75" i="29"/>
  <c r="R5" i="25"/>
  <c r="B10"/>
  <c r="C75" i="29"/>
  <c r="C38"/>
  <c r="S75"/>
  <c r="S38"/>
  <c r="A55" i="25"/>
  <c r="A50"/>
  <c r="F5"/>
  <c r="O4" i="14"/>
  <c r="I38" i="29"/>
  <c r="I75"/>
  <c r="A6" i="21"/>
  <c r="A6" i="33" s="1"/>
  <c r="A22" i="29" s="1"/>
  <c r="A13" s="1"/>
  <c r="A37" i="25"/>
  <c r="A7" i="23"/>
  <c r="A57" i="25"/>
  <c r="A48"/>
  <c r="A39"/>
  <c r="A29"/>
  <c r="A17" i="21"/>
  <c r="A17" i="33" s="1"/>
  <c r="A61" i="29" s="1"/>
  <c r="A52" s="1"/>
  <c r="V10" i="25"/>
  <c r="A66"/>
  <c r="T75" i="29"/>
  <c r="Q10" i="25"/>
  <c r="P75" i="29"/>
  <c r="P38"/>
  <c r="A31" i="25"/>
  <c r="M4" i="14"/>
  <c r="E4"/>
  <c r="W10" i="25"/>
  <c r="W5"/>
  <c r="G10"/>
  <c r="H75" i="29"/>
  <c r="H38"/>
  <c r="U8" i="15"/>
  <c r="U8" i="14" s="1"/>
  <c r="O8" i="15"/>
  <c r="O8" i="14" s="1"/>
  <c r="H8" i="15"/>
  <c r="H8" i="14" s="1"/>
  <c r="T8" i="15"/>
  <c r="T8" i="14" s="1"/>
  <c r="P8" i="15"/>
  <c r="P8" i="14" s="1"/>
  <c r="G8" i="15"/>
  <c r="G8" i="14" s="1"/>
  <c r="E5" i="25"/>
  <c r="E10"/>
  <c r="Q5"/>
  <c r="H10"/>
  <c r="H5"/>
  <c r="I10"/>
  <c r="I5"/>
  <c r="P5"/>
  <c r="P10"/>
  <c r="L5"/>
  <c r="L10"/>
  <c r="T5"/>
  <c r="O10"/>
  <c r="T9" i="15"/>
  <c r="T9" i="14" s="1"/>
  <c r="L9" i="15"/>
  <c r="L9" i="14" s="1"/>
  <c r="D9" i="15"/>
  <c r="D9" i="14" s="1"/>
  <c r="S9" i="15"/>
  <c r="S9" i="14" s="1"/>
  <c r="K9" i="15"/>
  <c r="K9" i="14" s="1"/>
  <c r="C9" i="15"/>
  <c r="C9" i="14" s="1"/>
  <c r="R9" i="15"/>
  <c r="R9" i="14" s="1"/>
  <c r="R9" i="31" s="1"/>
  <c r="J9" i="15"/>
  <c r="J9" i="14" s="1"/>
  <c r="B9" i="15"/>
  <c r="W9"/>
  <c r="W9" i="14" s="1"/>
  <c r="O9" i="15"/>
  <c r="O9" i="14" s="1"/>
  <c r="G9" i="15"/>
  <c r="G9" i="14" s="1"/>
  <c r="M9" i="15"/>
  <c r="M9" i="14" s="1"/>
  <c r="I9" i="15"/>
  <c r="I9" i="14" s="1"/>
  <c r="H9" i="15"/>
  <c r="H9" i="14" s="1"/>
  <c r="F9" i="15"/>
  <c r="F9" i="14" s="1"/>
  <c r="E9" i="15"/>
  <c r="E9" i="14" s="1"/>
  <c r="Q9" i="15"/>
  <c r="Q9" i="14" s="1"/>
  <c r="V9" i="15"/>
  <c r="V9" i="14" s="1"/>
  <c r="U9" i="15"/>
  <c r="U9" i="14" s="1"/>
  <c r="P9" i="15"/>
  <c r="P9" i="14" s="1"/>
  <c r="N9" i="15"/>
  <c r="N9" i="14" s="1"/>
  <c r="S10" i="25"/>
  <c r="S5"/>
  <c r="E75" i="29"/>
  <c r="E38"/>
  <c r="M38"/>
  <c r="M75"/>
  <c r="O5" i="25"/>
  <c r="C10"/>
  <c r="C5"/>
  <c r="K10"/>
  <c r="K5"/>
  <c r="D10"/>
  <c r="N38" i="29"/>
  <c r="N75"/>
  <c r="N10" i="25"/>
  <c r="V5"/>
  <c r="Q38" i="29"/>
  <c r="Q75"/>
  <c r="C4" i="14"/>
  <c r="S4"/>
  <c r="M5" i="25"/>
  <c r="K4" i="14"/>
  <c r="A8" i="15"/>
  <c r="A7"/>
  <c r="A8" i="21"/>
  <c r="S8" i="15"/>
  <c r="S8" i="14" s="1"/>
  <c r="K8" i="15"/>
  <c r="K8" i="14" s="1"/>
  <c r="C8" i="15"/>
  <c r="C8" i="14" s="1"/>
  <c r="R8" i="15"/>
  <c r="R8" i="14" s="1"/>
  <c r="R8" i="31" s="1"/>
  <c r="J8" i="15"/>
  <c r="J8" i="14" s="1"/>
  <c r="B8" i="15"/>
  <c r="Q8"/>
  <c r="Q8" i="14" s="1"/>
  <c r="I8" i="15"/>
  <c r="I8" i="14" s="1"/>
  <c r="I8" i="31" s="1"/>
  <c r="V8" i="15"/>
  <c r="V8" i="14" s="1"/>
  <c r="N8" i="15"/>
  <c r="N8" i="14" s="1"/>
  <c r="F8" i="15"/>
  <c r="F8" i="14" s="1"/>
  <c r="M8" i="15"/>
  <c r="M8" i="14" s="1"/>
  <c r="L8" i="15"/>
  <c r="L8" i="14" s="1"/>
  <c r="A7"/>
  <c r="A8"/>
  <c r="D8" i="15"/>
  <c r="D8" i="14" s="1"/>
  <c r="W8" i="15"/>
  <c r="W8" i="14" s="1"/>
  <c r="E8" i="15"/>
  <c r="E8" i="14" s="1"/>
  <c r="P5" i="15"/>
  <c r="P5" i="14" s="1"/>
  <c r="P5" i="31" s="1"/>
  <c r="H5" i="15"/>
  <c r="H5" i="14" s="1"/>
  <c r="H5" i="31" s="1"/>
  <c r="W5" i="15"/>
  <c r="W5" i="14" s="1"/>
  <c r="W5" i="31" s="1"/>
  <c r="O5" i="15"/>
  <c r="O5" i="14" s="1"/>
  <c r="O5" i="31" s="1"/>
  <c r="G5" i="15"/>
  <c r="G5" i="14" s="1"/>
  <c r="G5" i="31" s="1"/>
  <c r="V5" i="15"/>
  <c r="V5" i="14" s="1"/>
  <c r="V5" i="31" s="1"/>
  <c r="N5" i="15"/>
  <c r="N5" i="14" s="1"/>
  <c r="N5" i="31" s="1"/>
  <c r="F5" i="15"/>
  <c r="F5" i="14" s="1"/>
  <c r="F5" i="31" s="1"/>
  <c r="S5" i="15"/>
  <c r="S5" i="14" s="1"/>
  <c r="S5" i="31" s="1"/>
  <c r="K5" i="15"/>
  <c r="K5" i="14" s="1"/>
  <c r="K5" i="31" s="1"/>
  <c r="C5" i="15"/>
  <c r="C5" i="14" s="1"/>
  <c r="C5" i="31" s="1"/>
  <c r="J8" l="1"/>
  <c r="E8"/>
  <c r="E9"/>
  <c r="D8"/>
  <c r="D9"/>
  <c r="J9"/>
  <c r="T9"/>
  <c r="T8"/>
  <c r="N8"/>
  <c r="P9"/>
  <c r="G8"/>
  <c r="K8"/>
  <c r="V9"/>
  <c r="H9"/>
  <c r="O9"/>
  <c r="K9"/>
  <c r="O8"/>
  <c r="W8"/>
  <c r="F8"/>
  <c r="V8"/>
  <c r="Q8"/>
  <c r="C8"/>
  <c r="S8"/>
  <c r="N9"/>
  <c r="U9"/>
  <c r="Q9"/>
  <c r="F9"/>
  <c r="I9"/>
  <c r="G9"/>
  <c r="W9"/>
  <c r="C9"/>
  <c r="S9"/>
  <c r="P8"/>
  <c r="H8"/>
  <c r="U8"/>
  <c r="L5" i="14"/>
  <c r="L5" i="31" s="1"/>
  <c r="B8" i="14"/>
  <c r="B9"/>
  <c r="M5"/>
  <c r="M5" i="31" s="1"/>
  <c r="B5" i="14"/>
  <c r="B5" i="31" s="1"/>
  <c r="J13" i="45"/>
  <c r="J23" s="1"/>
  <c r="J14"/>
  <c r="J24" s="1"/>
  <c r="J12"/>
  <c r="J22" s="1"/>
  <c r="J11"/>
  <c r="J21" s="1"/>
  <c r="V4" i="46"/>
  <c r="U12" i="23"/>
  <c r="U12" i="46"/>
  <c r="R12" i="23"/>
  <c r="R12" i="46"/>
  <c r="O12" i="23"/>
  <c r="O12" i="46"/>
  <c r="G12" i="23"/>
  <c r="G12" i="46"/>
  <c r="M12" i="23"/>
  <c r="M12" i="46"/>
  <c r="D12" i="23"/>
  <c r="D12" i="46"/>
  <c r="S12" i="23"/>
  <c r="S12" i="46"/>
  <c r="N12" i="23"/>
  <c r="N12" i="46"/>
  <c r="C12" i="23"/>
  <c r="C12" i="46"/>
  <c r="E12" i="23"/>
  <c r="E12" i="46"/>
  <c r="I12" i="23"/>
  <c r="I12" i="46"/>
  <c r="K12" i="23"/>
  <c r="K12" i="46"/>
  <c r="W12" i="23"/>
  <c r="W12" i="46"/>
  <c r="T12" i="23"/>
  <c r="T12" i="46"/>
  <c r="H12" i="23"/>
  <c r="H12" i="46"/>
  <c r="B4"/>
  <c r="F12" i="23"/>
  <c r="F12" i="46"/>
  <c r="V12" i="23"/>
  <c r="V12" i="46"/>
  <c r="G4" i="31"/>
  <c r="U4"/>
  <c r="U4" i="23" s="1"/>
  <c r="A7" i="34"/>
  <c r="L4" i="31"/>
  <c r="L12" i="23"/>
  <c r="J4" i="31"/>
  <c r="J12" i="23"/>
  <c r="Q4" i="31"/>
  <c r="Q12" i="23"/>
  <c r="P4" i="31"/>
  <c r="P12" i="23"/>
  <c r="F4" i="31"/>
  <c r="H4"/>
  <c r="I4"/>
  <c r="R4"/>
  <c r="A16" i="34"/>
  <c r="A18" i="33"/>
  <c r="A62" i="29" s="1"/>
  <c r="A53" s="1"/>
  <c r="A71"/>
  <c r="A16" i="33"/>
  <c r="A60" i="29" s="1"/>
  <c r="A51" s="1"/>
  <c r="A70"/>
  <c r="A9" i="34"/>
  <c r="A80" i="29"/>
  <c r="B13" i="40"/>
  <c r="B14"/>
  <c r="B16"/>
  <c r="B15"/>
  <c r="B17"/>
  <c r="A5" i="32"/>
  <c r="A5" i="31" s="1"/>
  <c r="A8" i="32"/>
  <c r="A8" i="31" s="1"/>
  <c r="B4" i="32"/>
  <c r="A17" i="34"/>
  <c r="V4" i="23"/>
  <c r="A6" i="32"/>
  <c r="A6" i="31" s="1"/>
  <c r="B6" i="40"/>
  <c r="A78" i="29"/>
  <c r="A41"/>
  <c r="N4" i="31"/>
  <c r="A6" i="34"/>
  <c r="A10"/>
  <c r="A72" i="29"/>
  <c r="A19" i="34"/>
  <c r="A19" i="33"/>
  <c r="A63" i="29" s="1"/>
  <c r="A54" s="1"/>
  <c r="D4" i="31"/>
  <c r="M4"/>
  <c r="W4"/>
  <c r="A77" i="29"/>
  <c r="A40"/>
  <c r="A81"/>
  <c r="A44"/>
  <c r="O4" i="31"/>
  <c r="A9" i="32"/>
  <c r="A9" i="31" s="1"/>
  <c r="B9" i="40"/>
  <c r="A15" i="33"/>
  <c r="A59" i="29" s="1"/>
  <c r="A50" s="1"/>
  <c r="A68"/>
  <c r="A67" s="1"/>
  <c r="A15" i="34"/>
  <c r="T4" i="31"/>
  <c r="E4"/>
  <c r="A7" i="32"/>
  <c r="A7" i="31" s="1"/>
  <c r="B7" i="40"/>
  <c r="A79" i="29"/>
  <c r="A42"/>
  <c r="K4" i="31"/>
  <c r="A8" i="34"/>
  <c r="A8" i="33"/>
  <c r="A24" i="29" s="1"/>
  <c r="A15" s="1"/>
  <c r="Q6" i="15"/>
  <c r="Q6" i="14" s="1"/>
  <c r="Q6" i="31" s="1"/>
  <c r="I6" i="15"/>
  <c r="I6" i="14" s="1"/>
  <c r="I6" i="31" s="1"/>
  <c r="P6" i="15"/>
  <c r="P6" i="14" s="1"/>
  <c r="P6" i="31" s="1"/>
  <c r="H6" i="15"/>
  <c r="H6" i="14" s="1"/>
  <c r="H6" i="31" s="1"/>
  <c r="W6" i="15"/>
  <c r="W6" i="14" s="1"/>
  <c r="W6" i="31" s="1"/>
  <c r="O6" i="15"/>
  <c r="O6" i="14" s="1"/>
  <c r="O6" i="31" s="1"/>
  <c r="G6" i="15"/>
  <c r="G6" i="14" s="1"/>
  <c r="G6" i="31" s="1"/>
  <c r="T6" i="15"/>
  <c r="T6" i="14" s="1"/>
  <c r="T6" i="31" s="1"/>
  <c r="L6" i="15"/>
  <c r="L6" i="14" s="1"/>
  <c r="D6" i="15"/>
  <c r="D6" i="14" s="1"/>
  <c r="D6" i="31" s="1"/>
  <c r="S6" i="15"/>
  <c r="S6" i="14" s="1"/>
  <c r="S6" i="31" s="1"/>
  <c r="C6" i="15"/>
  <c r="C6" i="14" s="1"/>
  <c r="C6" i="31" s="1"/>
  <c r="R6" i="15"/>
  <c r="R6" i="14" s="1"/>
  <c r="R6" i="31" s="1"/>
  <c r="B6" i="15"/>
  <c r="M6"/>
  <c r="M6" i="14" s="1"/>
  <c r="M6" i="31" s="1"/>
  <c r="K6" i="15"/>
  <c r="K6" i="14" s="1"/>
  <c r="K6" i="31" s="1"/>
  <c r="J6" i="15"/>
  <c r="J6" i="14" s="1"/>
  <c r="J6" i="31" s="1"/>
  <c r="V6" i="15"/>
  <c r="V6" i="14" s="1"/>
  <c r="V6" i="31" s="1"/>
  <c r="N6" i="15"/>
  <c r="N6" i="14" s="1"/>
  <c r="N6" i="31" s="1"/>
  <c r="U6" i="15"/>
  <c r="U6" i="14" s="1"/>
  <c r="U6" i="31" s="1"/>
  <c r="F6" i="15"/>
  <c r="F6" i="14" s="1"/>
  <c r="F6" i="31" s="1"/>
  <c r="E6" i="15"/>
  <c r="E6" i="14" s="1"/>
  <c r="E6" i="31" s="1"/>
  <c r="S4"/>
  <c r="R7" i="15"/>
  <c r="R7" i="14" s="1"/>
  <c r="R7" i="31" s="1"/>
  <c r="J7" i="15"/>
  <c r="J7" i="14" s="1"/>
  <c r="J7" i="31" s="1"/>
  <c r="B7" i="15"/>
  <c r="Q7"/>
  <c r="Q7" i="14" s="1"/>
  <c r="Q7" i="31" s="1"/>
  <c r="I7" i="15"/>
  <c r="I7" i="14" s="1"/>
  <c r="I7" i="31" s="1"/>
  <c r="P7" i="15"/>
  <c r="P7" i="14" s="1"/>
  <c r="P7" i="31" s="1"/>
  <c r="H7" i="15"/>
  <c r="H7" i="14" s="1"/>
  <c r="H7" i="31" s="1"/>
  <c r="U7" i="15"/>
  <c r="U7" i="14" s="1"/>
  <c r="U7" i="31" s="1"/>
  <c r="M7" i="15"/>
  <c r="M7" i="14" s="1"/>
  <c r="E7" i="15"/>
  <c r="E7" i="14" s="1"/>
  <c r="E7" i="31" s="1"/>
  <c r="T7" i="15"/>
  <c r="T7" i="14" s="1"/>
  <c r="T7" i="31" s="1"/>
  <c r="D7" i="15"/>
  <c r="D7" i="14" s="1"/>
  <c r="D7" i="31" s="1"/>
  <c r="S7" i="15"/>
  <c r="S7" i="14" s="1"/>
  <c r="S7" i="31" s="1"/>
  <c r="C7" i="15"/>
  <c r="C7" i="14" s="1"/>
  <c r="C7" i="31" s="1"/>
  <c r="F7" i="15"/>
  <c r="F7" i="14" s="1"/>
  <c r="F7" i="31" s="1"/>
  <c r="W7" i="15"/>
  <c r="W7" i="14" s="1"/>
  <c r="W7" i="31" s="1"/>
  <c r="V7" i="15"/>
  <c r="V7" i="14" s="1"/>
  <c r="V7" i="31" s="1"/>
  <c r="L7" i="15"/>
  <c r="L7" i="14" s="1"/>
  <c r="N7" i="15"/>
  <c r="N7" i="14" s="1"/>
  <c r="N7" i="31" s="1"/>
  <c r="O7" i="15"/>
  <c r="O7" i="14" s="1"/>
  <c r="O7" i="31" s="1"/>
  <c r="K7" i="15"/>
  <c r="K7" i="14" s="1"/>
  <c r="K7" i="31" s="1"/>
  <c r="G7" i="15"/>
  <c r="G7" i="14" s="1"/>
  <c r="G7" i="31" s="1"/>
  <c r="C4"/>
  <c r="M7" l="1"/>
  <c r="M9"/>
  <c r="M8"/>
  <c r="B9"/>
  <c r="L9"/>
  <c r="L7"/>
  <c r="L6"/>
  <c r="B8"/>
  <c r="L8"/>
  <c r="B7" i="14"/>
  <c r="B7" i="31" s="1"/>
  <c r="B6" i="14"/>
  <c r="B6" i="31" s="1"/>
  <c r="K11" i="45"/>
  <c r="K21" s="1"/>
  <c r="K12"/>
  <c r="K22" s="1"/>
  <c r="K14"/>
  <c r="K13"/>
  <c r="W4" i="46"/>
  <c r="I4"/>
  <c r="Q4" i="23"/>
  <c r="Q4" i="32" s="1"/>
  <c r="Q4" i="46"/>
  <c r="J4"/>
  <c r="U4"/>
  <c r="E4"/>
  <c r="G4"/>
  <c r="K4"/>
  <c r="G4" i="23"/>
  <c r="G4" i="32" s="1"/>
  <c r="F4" i="46"/>
  <c r="L4"/>
  <c r="C4"/>
  <c r="S4"/>
  <c r="T4"/>
  <c r="H4"/>
  <c r="O4"/>
  <c r="M4"/>
  <c r="N4"/>
  <c r="P4"/>
  <c r="R4"/>
  <c r="D4"/>
  <c r="P4" i="23"/>
  <c r="L4"/>
  <c r="L4" i="32" s="1"/>
  <c r="I4" i="23"/>
  <c r="I4" i="32" s="1"/>
  <c r="R4" i="23"/>
  <c r="R4" i="32" s="1"/>
  <c r="J4" i="23"/>
  <c r="H4"/>
  <c r="H4" i="32" s="1"/>
  <c r="F4" i="23"/>
  <c r="F4" i="32" s="1"/>
  <c r="V4"/>
  <c r="U4"/>
  <c r="S4" i="23"/>
  <c r="W4"/>
  <c r="D4"/>
  <c r="E4"/>
  <c r="O4"/>
  <c r="C4"/>
  <c r="T4"/>
  <c r="M4"/>
  <c r="K4"/>
  <c r="N4"/>
  <c r="B13" i="14" l="1"/>
  <c r="K24" i="45"/>
  <c r="K23"/>
  <c r="P4" i="32"/>
  <c r="L13" i="45"/>
  <c r="L14"/>
  <c r="L12"/>
  <c r="L11"/>
  <c r="J4" i="32"/>
  <c r="I13" i="14"/>
  <c r="I16" i="23" s="1"/>
  <c r="O13" i="14"/>
  <c r="O17" i="23" s="1"/>
  <c r="R13" i="14"/>
  <c r="R15" i="23" s="1"/>
  <c r="N13" i="14"/>
  <c r="N16" i="23" s="1"/>
  <c r="H13" i="14"/>
  <c r="H17" i="23" s="1"/>
  <c r="V13" i="14"/>
  <c r="V15" i="23" s="1"/>
  <c r="W13" i="14"/>
  <c r="W16" i="23" s="1"/>
  <c r="P13" i="14"/>
  <c r="P13" i="23" s="1"/>
  <c r="C13" i="14"/>
  <c r="C15" i="23" s="1"/>
  <c r="C17" i="33" s="1"/>
  <c r="C61" i="29" s="1"/>
  <c r="T13" i="14"/>
  <c r="M13"/>
  <c r="M15" i="23" s="1"/>
  <c r="Q13" i="14"/>
  <c r="D7" i="32"/>
  <c r="D7" i="23" s="1"/>
  <c r="D13" i="14"/>
  <c r="U13"/>
  <c r="U14" i="23" s="1"/>
  <c r="S13" i="14"/>
  <c r="S15" i="23" s="1"/>
  <c r="L13" i="14"/>
  <c r="L15" i="23" s="1"/>
  <c r="F13" i="14"/>
  <c r="F14" i="23" s="1"/>
  <c r="K13" i="14"/>
  <c r="K15" i="23" s="1"/>
  <c r="J13" i="14"/>
  <c r="J14" i="23" s="1"/>
  <c r="E13" i="14"/>
  <c r="E15" i="23" s="1"/>
  <c r="F6" i="32"/>
  <c r="F6" i="23" s="1"/>
  <c r="G13" i="14"/>
  <c r="G15" i="23" s="1"/>
  <c r="E4" i="32"/>
  <c r="T4"/>
  <c r="N4"/>
  <c r="C4"/>
  <c r="D4"/>
  <c r="S4"/>
  <c r="K4"/>
  <c r="O4"/>
  <c r="W4"/>
  <c r="M4"/>
  <c r="B9"/>
  <c r="B9" i="23" s="1"/>
  <c r="B7" i="32"/>
  <c r="B7" i="23" s="1"/>
  <c r="B5" i="32"/>
  <c r="B5" i="23" s="1"/>
  <c r="B6" i="32"/>
  <c r="B6" i="23" s="1"/>
  <c r="B8" i="32"/>
  <c r="B8" i="23" s="1"/>
  <c r="L23" i="45" l="1"/>
  <c r="L21"/>
  <c r="L22"/>
  <c r="L24"/>
  <c r="M14"/>
  <c r="M11"/>
  <c r="M13"/>
  <c r="M12"/>
  <c r="C7" i="32"/>
  <c r="C7" i="23" s="1"/>
  <c r="C8" i="33" s="1"/>
  <c r="C24" i="29" s="1"/>
  <c r="C9" i="40"/>
  <c r="C5"/>
  <c r="C7"/>
  <c r="C8"/>
  <c r="C6"/>
  <c r="C17" i="23"/>
  <c r="C19" i="33" s="1"/>
  <c r="C63" i="29" s="1"/>
  <c r="C16" i="23"/>
  <c r="C18" i="33" s="1"/>
  <c r="C62" i="29" s="1"/>
  <c r="C13" i="23"/>
  <c r="C15" i="33" s="1"/>
  <c r="C59" i="29" s="1"/>
  <c r="C14" i="23"/>
  <c r="C16" i="33" s="1"/>
  <c r="C60" i="29" s="1"/>
  <c r="O14" i="23"/>
  <c r="O15"/>
  <c r="R17"/>
  <c r="P14"/>
  <c r="O13"/>
  <c r="C8" i="32"/>
  <c r="C8" i="23" s="1"/>
  <c r="C5" i="32"/>
  <c r="C5" i="23" s="1"/>
  <c r="I13"/>
  <c r="I17"/>
  <c r="I15"/>
  <c r="I14"/>
  <c r="P17"/>
  <c r="N17"/>
  <c r="R14"/>
  <c r="O16"/>
  <c r="R13"/>
  <c r="C6" i="32"/>
  <c r="C6" i="23" s="1"/>
  <c r="C7" i="33" s="1"/>
  <c r="C23" i="29" s="1"/>
  <c r="R16" i="23"/>
  <c r="C9" i="32"/>
  <c r="C9" i="23" s="1"/>
  <c r="C10" i="33" s="1"/>
  <c r="C26" i="29" s="1"/>
  <c r="N13" i="23"/>
  <c r="E8" i="32"/>
  <c r="E8" i="23" s="1"/>
  <c r="D8" i="32"/>
  <c r="D8" i="23" s="1"/>
  <c r="F15"/>
  <c r="V17"/>
  <c r="H13"/>
  <c r="D9" i="32"/>
  <c r="D9" i="23" s="1"/>
  <c r="U15"/>
  <c r="N15"/>
  <c r="H16"/>
  <c r="V13"/>
  <c r="H14"/>
  <c r="N14"/>
  <c r="H15"/>
  <c r="V16"/>
  <c r="V14"/>
  <c r="P15"/>
  <c r="P16"/>
  <c r="W15"/>
  <c r="F7" i="32"/>
  <c r="F7" i="23" s="1"/>
  <c r="D5" i="32"/>
  <c r="D5" i="23" s="1"/>
  <c r="W13"/>
  <c r="F9" i="32"/>
  <c r="F9" i="23" s="1"/>
  <c r="D6" i="32"/>
  <c r="D6" i="23" s="1"/>
  <c r="W14"/>
  <c r="W17"/>
  <c r="E5" i="32"/>
  <c r="E5" i="23" s="1"/>
  <c r="K14"/>
  <c r="E7" i="32"/>
  <c r="E7" i="23" s="1"/>
  <c r="E6" i="32"/>
  <c r="E6" i="23" s="1"/>
  <c r="E9" i="32"/>
  <c r="E9" i="23" s="1"/>
  <c r="D16"/>
  <c r="D13"/>
  <c r="D17"/>
  <c r="Q17"/>
  <c r="Q13"/>
  <c r="Q16"/>
  <c r="G17"/>
  <c r="G16"/>
  <c r="G13"/>
  <c r="K17"/>
  <c r="K16"/>
  <c r="K13"/>
  <c r="G14"/>
  <c r="T13"/>
  <c r="T17"/>
  <c r="T16"/>
  <c r="L13"/>
  <c r="L17"/>
  <c r="L16"/>
  <c r="E13"/>
  <c r="E17"/>
  <c r="E16"/>
  <c r="Q15"/>
  <c r="F13"/>
  <c r="F16"/>
  <c r="F17"/>
  <c r="S13"/>
  <c r="S17"/>
  <c r="S16"/>
  <c r="D15"/>
  <c r="T15"/>
  <c r="D14"/>
  <c r="M14"/>
  <c r="F5" i="32"/>
  <c r="F5" i="23" s="1"/>
  <c r="E14"/>
  <c r="M13"/>
  <c r="M16"/>
  <c r="M17"/>
  <c r="J16"/>
  <c r="J17"/>
  <c r="J13"/>
  <c r="L14"/>
  <c r="Q14"/>
  <c r="F8" i="32"/>
  <c r="F8" i="23" s="1"/>
  <c r="S14"/>
  <c r="U13"/>
  <c r="U17"/>
  <c r="U16"/>
  <c r="J15"/>
  <c r="T14"/>
  <c r="G8" i="32"/>
  <c r="G8" i="23" s="1"/>
  <c r="G6" i="32"/>
  <c r="G6" i="23" s="1"/>
  <c r="G5" i="32"/>
  <c r="G5" i="23" s="1"/>
  <c r="G9" i="32"/>
  <c r="G9" i="23" s="1"/>
  <c r="G7" i="32"/>
  <c r="G7" i="23" s="1"/>
  <c r="M22" i="45" l="1"/>
  <c r="M23"/>
  <c r="M21"/>
  <c r="M24"/>
  <c r="C58" i="29"/>
  <c r="N12" i="45"/>
  <c r="N13"/>
  <c r="N11"/>
  <c r="N14"/>
  <c r="C14" i="33"/>
  <c r="C6"/>
  <c r="C22" i="29" s="1"/>
  <c r="C9" i="33"/>
  <c r="C25" i="29" s="1"/>
  <c r="H9" i="32"/>
  <c r="H9" i="23" s="1"/>
  <c r="H8" i="32"/>
  <c r="H8" i="23" s="1"/>
  <c r="H6" i="32"/>
  <c r="H6" i="23" s="1"/>
  <c r="H7" i="32"/>
  <c r="H7" i="23" s="1"/>
  <c r="H5" i="32"/>
  <c r="H5" i="23" s="1"/>
  <c r="N24" i="45" l="1"/>
  <c r="N21"/>
  <c r="N23"/>
  <c r="N22"/>
  <c r="C21" i="29"/>
  <c r="O14" i="45"/>
  <c r="O11"/>
  <c r="O13"/>
  <c r="O12"/>
  <c r="C5" i="33"/>
  <c r="B14" i="34"/>
  <c r="B5"/>
  <c r="I9" i="32"/>
  <c r="I9" i="23" s="1"/>
  <c r="I6" i="32"/>
  <c r="I6" i="23" s="1"/>
  <c r="I8" i="32"/>
  <c r="I8" i="23" s="1"/>
  <c r="I7" i="32"/>
  <c r="I7" i="23" s="1"/>
  <c r="I5" i="32"/>
  <c r="I5" i="23" s="1"/>
  <c r="O22" i="45" l="1"/>
  <c r="O23"/>
  <c r="O21"/>
  <c r="O24"/>
  <c r="P12"/>
  <c r="P13"/>
  <c r="P11"/>
  <c r="P14"/>
  <c r="B58" i="29"/>
  <c r="B14" i="33"/>
  <c r="B5"/>
  <c r="J8" i="32"/>
  <c r="J8" i="23" s="1"/>
  <c r="J9" i="32"/>
  <c r="J9" i="23" s="1"/>
  <c r="J5" i="32"/>
  <c r="J5" i="23" s="1"/>
  <c r="J7" i="32"/>
  <c r="J7" i="23" s="1"/>
  <c r="J6" i="32"/>
  <c r="J6" i="23" s="1"/>
  <c r="P22" i="45" l="1"/>
  <c r="Q14"/>
  <c r="P24"/>
  <c r="Q11"/>
  <c r="P21"/>
  <c r="Q13"/>
  <c r="P23"/>
  <c r="Q12"/>
  <c r="B67" i="25"/>
  <c r="B50"/>
  <c r="B27"/>
  <c r="B77" i="29" s="1"/>
  <c r="B64" i="25"/>
  <c r="B46"/>
  <c r="B29"/>
  <c r="B48"/>
  <c r="B66"/>
  <c r="B30"/>
  <c r="B80" i="29" s="1"/>
  <c r="B28" i="25"/>
  <c r="B78" i="29" s="1"/>
  <c r="B65" i="25"/>
  <c r="B47"/>
  <c r="B49"/>
  <c r="B31"/>
  <c r="B81" i="29" s="1"/>
  <c r="B68" i="25"/>
  <c r="B14" i="21"/>
  <c r="B41" i="25"/>
  <c r="B22"/>
  <c r="B44" i="29" s="1"/>
  <c r="B17" s="1"/>
  <c r="B59" i="25"/>
  <c r="B56"/>
  <c r="B38"/>
  <c r="B19"/>
  <c r="B41" i="29" s="1"/>
  <c r="B14" s="1"/>
  <c r="B55" i="25"/>
  <c r="B37"/>
  <c r="B18"/>
  <c r="B40" i="29" s="1"/>
  <c r="B13" s="1"/>
  <c r="B5" i="21"/>
  <c r="B40" i="25"/>
  <c r="B58"/>
  <c r="B21"/>
  <c r="B43" i="29" s="1"/>
  <c r="B16" s="1"/>
  <c r="B20" i="25"/>
  <c r="B42" i="29" s="1"/>
  <c r="B15" s="1"/>
  <c r="B57" i="25"/>
  <c r="B39"/>
  <c r="K6" i="32"/>
  <c r="K6" i="23" s="1"/>
  <c r="K8" i="32"/>
  <c r="K8" i="23" s="1"/>
  <c r="K7" i="32"/>
  <c r="K7" i="23" s="1"/>
  <c r="K9" i="32"/>
  <c r="K9" i="23" s="1"/>
  <c r="K5" i="32"/>
  <c r="K5" i="23" s="1"/>
  <c r="R12" i="45" l="1"/>
  <c r="Q22"/>
  <c r="B79" i="29"/>
  <c r="B52" s="1"/>
  <c r="B14" i="46"/>
  <c r="B15"/>
  <c r="B16"/>
  <c r="B17"/>
  <c r="B13"/>
  <c r="B8"/>
  <c r="C16" i="40" s="1"/>
  <c r="B9" i="46"/>
  <c r="C17" i="40" s="1"/>
  <c r="B6" i="46"/>
  <c r="C14" i="40" s="1"/>
  <c r="B7" i="46"/>
  <c r="C15" i="40" s="1"/>
  <c r="B5" i="46"/>
  <c r="C13" i="40" s="1"/>
  <c r="R13" i="45"/>
  <c r="Q23"/>
  <c r="Q21"/>
  <c r="R11"/>
  <c r="Q24"/>
  <c r="R14"/>
  <c r="R21"/>
  <c r="C15" i="21"/>
  <c r="C16"/>
  <c r="B54" i="29"/>
  <c r="B53"/>
  <c r="B67"/>
  <c r="C14" i="34"/>
  <c r="C19" i="21"/>
  <c r="B7" i="25"/>
  <c r="B36"/>
  <c r="B63"/>
  <c r="B45"/>
  <c r="B30" i="29"/>
  <c r="B26" i="25"/>
  <c r="B51" i="29"/>
  <c r="B50"/>
  <c r="B17" i="25"/>
  <c r="B6"/>
  <c r="B54"/>
  <c r="C5" i="34"/>
  <c r="L7" i="32"/>
  <c r="L7" i="23" s="1"/>
  <c r="L6" i="32"/>
  <c r="L6" i="23" s="1"/>
  <c r="L9" i="32"/>
  <c r="L9" i="23" s="1"/>
  <c r="L8" i="32"/>
  <c r="L8" i="23" s="1"/>
  <c r="L5" i="32"/>
  <c r="L5" i="23" s="1"/>
  <c r="C69" i="29" l="1"/>
  <c r="D16" i="34"/>
  <c r="C68" i="29"/>
  <c r="D15" i="34"/>
  <c r="C72" i="29"/>
  <c r="D19" i="34"/>
  <c r="S13" i="45"/>
  <c r="S23" s="1"/>
  <c r="R23"/>
  <c r="S14"/>
  <c r="S11"/>
  <c r="S12"/>
  <c r="R22"/>
  <c r="B11" i="25"/>
  <c r="B76" i="29"/>
  <c r="R24" i="45"/>
  <c r="B12" i="25"/>
  <c r="B12" i="29"/>
  <c r="C17" i="21"/>
  <c r="C18"/>
  <c r="B49" i="29"/>
  <c r="C64" i="25"/>
  <c r="C46"/>
  <c r="C27"/>
  <c r="C77" i="29" s="1"/>
  <c r="C65" i="25"/>
  <c r="C28"/>
  <c r="C78" i="29" s="1"/>
  <c r="C47" i="25"/>
  <c r="C50"/>
  <c r="C68"/>
  <c r="C31"/>
  <c r="C81" i="29" s="1"/>
  <c r="B39"/>
  <c r="C6" i="21"/>
  <c r="C10"/>
  <c r="C9"/>
  <c r="C7"/>
  <c r="B8" i="25"/>
  <c r="C8" i="21"/>
  <c r="M6" i="32"/>
  <c r="M6" i="23" s="1"/>
  <c r="M7" i="32"/>
  <c r="M7" i="23" s="1"/>
  <c r="M9" i="32"/>
  <c r="M9" i="23" s="1"/>
  <c r="M5" i="32"/>
  <c r="M5" i="23" s="1"/>
  <c r="M8" i="32"/>
  <c r="M8" i="23" s="1"/>
  <c r="B13" i="51" l="1"/>
  <c r="B11" i="48"/>
  <c r="B13" s="1"/>
  <c r="C34" i="29"/>
  <c r="D9" i="34"/>
  <c r="C35" i="29"/>
  <c r="D10" i="34"/>
  <c r="C31" i="29"/>
  <c r="D6" i="34"/>
  <c r="C33" i="29"/>
  <c r="D8" i="34"/>
  <c r="C71" i="29"/>
  <c r="D18" i="34"/>
  <c r="C32" i="29"/>
  <c r="D7" i="34"/>
  <c r="C70" i="29"/>
  <c r="D17" i="34"/>
  <c r="T12" i="45"/>
  <c r="S22"/>
  <c r="T11"/>
  <c r="S21"/>
  <c r="T14"/>
  <c r="S24"/>
  <c r="T13"/>
  <c r="B13" i="25"/>
  <c r="B5" i="48" s="1"/>
  <c r="T21" i="45"/>
  <c r="C29" i="25"/>
  <c r="C79" i="29" s="1"/>
  <c r="C66" i="25"/>
  <c r="C49"/>
  <c r="C48"/>
  <c r="C30"/>
  <c r="C80" i="29" s="1"/>
  <c r="C67" i="25"/>
  <c r="C14" i="21"/>
  <c r="C51" i="29"/>
  <c r="C5" i="21"/>
  <c r="C7" i="46" s="1"/>
  <c r="C57" i="25"/>
  <c r="C39"/>
  <c r="C20"/>
  <c r="C42" i="29" s="1"/>
  <c r="C59" i="25"/>
  <c r="C22"/>
  <c r="C44" i="29" s="1"/>
  <c r="C41" i="25"/>
  <c r="C54" i="29"/>
  <c r="C56" i="25"/>
  <c r="C19"/>
  <c r="C41" i="29" s="1"/>
  <c r="C38" i="25"/>
  <c r="C21"/>
  <c r="C43" i="29" s="1"/>
  <c r="C40" i="25"/>
  <c r="C58"/>
  <c r="C55"/>
  <c r="C18"/>
  <c r="C40" i="29" s="1"/>
  <c r="C37" i="25"/>
  <c r="N5" i="32"/>
  <c r="N5" i="23" s="1"/>
  <c r="N7" i="32"/>
  <c r="N7" i="23" s="1"/>
  <c r="N9" i="32"/>
  <c r="N9" i="23" s="1"/>
  <c r="N6" i="32"/>
  <c r="N6" i="23" s="1"/>
  <c r="N8" i="32"/>
  <c r="N8" i="23" s="1"/>
  <c r="B8" i="49" l="1"/>
  <c r="B10" s="1"/>
  <c r="B12" i="51" s="1"/>
  <c r="B14" s="1"/>
  <c r="B6" i="48"/>
  <c r="B7" s="1"/>
  <c r="C67" i="29"/>
  <c r="C16"/>
  <c r="C17"/>
  <c r="C14"/>
  <c r="C30"/>
  <c r="C15"/>
  <c r="U13" i="45"/>
  <c r="U12"/>
  <c r="T22"/>
  <c r="U14"/>
  <c r="T23"/>
  <c r="T24"/>
  <c r="U11"/>
  <c r="U21" s="1"/>
  <c r="C76" i="29"/>
  <c r="C39"/>
  <c r="C13"/>
  <c r="C23" i="40"/>
  <c r="U23" i="45"/>
  <c r="C8" i="46"/>
  <c r="C9"/>
  <c r="C5"/>
  <c r="C6"/>
  <c r="C63" i="25"/>
  <c r="C14" i="46"/>
  <c r="C30" i="40" s="1"/>
  <c r="C13" i="46"/>
  <c r="C29" i="40" s="1"/>
  <c r="C17" i="46"/>
  <c r="C33" i="40" s="1"/>
  <c r="C16" i="46"/>
  <c r="C32" i="40" s="1"/>
  <c r="C15" i="46"/>
  <c r="C31" i="40" s="1"/>
  <c r="D15" i="33"/>
  <c r="D59" i="29" s="1"/>
  <c r="D18" i="33"/>
  <c r="D62" i="29" s="1"/>
  <c r="C52"/>
  <c r="D16" i="33"/>
  <c r="D60" i="29" s="1"/>
  <c r="D14" i="34"/>
  <c r="D17" i="33"/>
  <c r="D61" i="29" s="1"/>
  <c r="D19" i="33"/>
  <c r="D63" i="29" s="1"/>
  <c r="C26" i="25"/>
  <c r="C45"/>
  <c r="C53" i="29"/>
  <c r="C7" i="25"/>
  <c r="C36"/>
  <c r="C54"/>
  <c r="C17"/>
  <c r="C6"/>
  <c r="D6" i="33"/>
  <c r="D22" i="29" s="1"/>
  <c r="D10" i="33"/>
  <c r="D26" i="29" s="1"/>
  <c r="D9" i="33"/>
  <c r="D25" i="29" s="1"/>
  <c r="D8" i="33"/>
  <c r="D24" i="29" s="1"/>
  <c r="D7" i="33"/>
  <c r="D23" i="29" s="1"/>
  <c r="C50"/>
  <c r="D5" i="34"/>
  <c r="O5" i="32"/>
  <c r="O5" i="23" s="1"/>
  <c r="O9" i="32"/>
  <c r="O9" i="23" s="1"/>
  <c r="O7" i="32"/>
  <c r="O7" i="23" s="1"/>
  <c r="O8" i="32"/>
  <c r="O8" i="23" s="1"/>
  <c r="O6" i="32"/>
  <c r="O6" i="23" s="1"/>
  <c r="V14" i="45" l="1"/>
  <c r="U24"/>
  <c r="V12"/>
  <c r="U22"/>
  <c r="V11"/>
  <c r="V13"/>
  <c r="C11" i="25"/>
  <c r="D58" i="29"/>
  <c r="D21"/>
  <c r="C24" i="40"/>
  <c r="C25"/>
  <c r="C22"/>
  <c r="C21"/>
  <c r="C12" i="25"/>
  <c r="V24" i="45"/>
  <c r="V23"/>
  <c r="D15" i="21"/>
  <c r="E15" i="34" s="1"/>
  <c r="D18" i="21"/>
  <c r="E18" i="34" s="1"/>
  <c r="D16" i="21"/>
  <c r="D19"/>
  <c r="D14" i="33"/>
  <c r="D17" i="21"/>
  <c r="C12" i="29"/>
  <c r="C49"/>
  <c r="D8" i="21"/>
  <c r="D9"/>
  <c r="C8" i="25"/>
  <c r="C11" i="48" s="1"/>
  <c r="C13" s="1"/>
  <c r="D10" i="21"/>
  <c r="D7"/>
  <c r="D6"/>
  <c r="D5" i="33"/>
  <c r="P5" i="32"/>
  <c r="P5" i="23" s="1"/>
  <c r="P9" i="32"/>
  <c r="P9" i="23" s="1"/>
  <c r="P8" i="32"/>
  <c r="P8" i="23" s="1"/>
  <c r="P6" i="32"/>
  <c r="P6" i="23" s="1"/>
  <c r="P7" i="32"/>
  <c r="P7" i="23" s="1"/>
  <c r="C6" i="48" l="1"/>
  <c r="C8" i="49"/>
  <c r="C10" s="1"/>
  <c r="C13" i="51"/>
  <c r="D34" i="29"/>
  <c r="E9" i="34"/>
  <c r="D33" i="29"/>
  <c r="E8" i="34"/>
  <c r="D31" i="29"/>
  <c r="E6" i="34"/>
  <c r="D32" i="29"/>
  <c r="E7" i="34"/>
  <c r="D35" i="29"/>
  <c r="E10" i="34"/>
  <c r="D70" i="29"/>
  <c r="E17" i="34"/>
  <c r="D72" i="29"/>
  <c r="E19" i="34"/>
  <c r="D69" i="29"/>
  <c r="E16" i="34"/>
  <c r="W11" i="45"/>
  <c r="V21"/>
  <c r="W12"/>
  <c r="V22"/>
  <c r="W13"/>
  <c r="W14"/>
  <c r="C13" i="25"/>
  <c r="C5" i="48" s="1"/>
  <c r="C37" i="40" s="1"/>
  <c r="D49" i="25"/>
  <c r="D71" i="29"/>
  <c r="D64" i="25"/>
  <c r="D68" i="29"/>
  <c r="D27" i="25"/>
  <c r="D77" i="29" s="1"/>
  <c r="D46" i="25"/>
  <c r="W24" i="45"/>
  <c r="W21"/>
  <c r="D30" i="25"/>
  <c r="D80" i="29" s="1"/>
  <c r="D67" i="25"/>
  <c r="D47"/>
  <c r="D28"/>
  <c r="D78" i="29" s="1"/>
  <c r="D65" i="25"/>
  <c r="D29"/>
  <c r="D79" i="29" s="1"/>
  <c r="D31" i="25"/>
  <c r="D81" i="29" s="1"/>
  <c r="D50" i="25"/>
  <c r="D68"/>
  <c r="D66"/>
  <c r="D14" i="21"/>
  <c r="D13" i="46" s="1"/>
  <c r="D48" i="25"/>
  <c r="D56"/>
  <c r="D19"/>
  <c r="D41" i="29" s="1"/>
  <c r="D38" i="25"/>
  <c r="D22"/>
  <c r="D44" i="29" s="1"/>
  <c r="D59" i="25"/>
  <c r="D41"/>
  <c r="D20"/>
  <c r="D42" i="29" s="1"/>
  <c r="D57" i="25"/>
  <c r="D39"/>
  <c r="D55"/>
  <c r="D37"/>
  <c r="D18"/>
  <c r="D40" i="29" s="1"/>
  <c r="D5" i="21"/>
  <c r="D9" i="46" s="1"/>
  <c r="D21" i="25"/>
  <c r="D43" i="29" s="1"/>
  <c r="D40" i="25"/>
  <c r="D58"/>
  <c r="Q5" i="32"/>
  <c r="Q5" i="23" s="1"/>
  <c r="Q9" i="32"/>
  <c r="Q9" i="23" s="1"/>
  <c r="Q6" i="32"/>
  <c r="Q6" i="23" s="1"/>
  <c r="Q7" i="32"/>
  <c r="Q7" i="23" s="1"/>
  <c r="Q8" i="32"/>
  <c r="Q8" i="23" s="1"/>
  <c r="D14" i="29" l="1"/>
  <c r="D17"/>
  <c r="D16"/>
  <c r="D15"/>
  <c r="D30"/>
  <c r="D13"/>
  <c r="W22" i="45"/>
  <c r="W23"/>
  <c r="D67" i="29"/>
  <c r="D76"/>
  <c r="D39"/>
  <c r="D52"/>
  <c r="D5" i="46"/>
  <c r="D54" i="29"/>
  <c r="D16" i="46"/>
  <c r="D7"/>
  <c r="D53" i="29"/>
  <c r="D15" i="46"/>
  <c r="D6"/>
  <c r="D8"/>
  <c r="D51" i="29"/>
  <c r="D17" i="46"/>
  <c r="D14"/>
  <c r="E16" i="33"/>
  <c r="E60" i="29" s="1"/>
  <c r="D45" i="25"/>
  <c r="D26"/>
  <c r="D63"/>
  <c r="E17" i="33"/>
  <c r="E61" i="29" s="1"/>
  <c r="E15" i="33"/>
  <c r="E59" i="29" s="1"/>
  <c r="D7" i="25"/>
  <c r="E19" i="33"/>
  <c r="E63" i="29" s="1"/>
  <c r="E14" i="34"/>
  <c r="E18" i="33"/>
  <c r="E62" i="29" s="1"/>
  <c r="D36" i="25"/>
  <c r="D54"/>
  <c r="D17"/>
  <c r="D6"/>
  <c r="E10" i="33"/>
  <c r="E26" i="29" s="1"/>
  <c r="E9" i="33"/>
  <c r="E25" i="29" s="1"/>
  <c r="E8" i="33"/>
  <c r="E24" i="29" s="1"/>
  <c r="E7" i="33"/>
  <c r="E23" i="29" s="1"/>
  <c r="E5" i="34"/>
  <c r="E6" i="33"/>
  <c r="E22" i="29" s="1"/>
  <c r="D50"/>
  <c r="R5" i="32"/>
  <c r="R5" i="23" s="1"/>
  <c r="R8" i="32"/>
  <c r="R8" i="23" s="1"/>
  <c r="R7" i="32"/>
  <c r="R7" i="23" s="1"/>
  <c r="R9" i="32"/>
  <c r="R9" i="23" s="1"/>
  <c r="R6" i="32"/>
  <c r="R6" i="23" s="1"/>
  <c r="C7" i="48" l="1"/>
  <c r="C39" i="40" s="1"/>
  <c r="C38"/>
  <c r="C12" i="51"/>
  <c r="C14" s="1"/>
  <c r="D11" i="25"/>
  <c r="E58" i="29"/>
  <c r="E21"/>
  <c r="D12" i="25"/>
  <c r="D12" i="29"/>
  <c r="D49"/>
  <c r="E16" i="21"/>
  <c r="E17"/>
  <c r="E15"/>
  <c r="E19"/>
  <c r="E18"/>
  <c r="E14" i="33"/>
  <c r="E6" i="21"/>
  <c r="D8" i="25"/>
  <c r="D11" i="48" s="1"/>
  <c r="D13" s="1"/>
  <c r="E9" i="21"/>
  <c r="E5" i="33"/>
  <c r="E7" i="21"/>
  <c r="E10"/>
  <c r="E8"/>
  <c r="S9" i="32"/>
  <c r="S9" i="23" s="1"/>
  <c r="S7" i="32"/>
  <c r="S7" i="23" s="1"/>
  <c r="S5" i="32"/>
  <c r="S5" i="23" s="1"/>
  <c r="S8" i="32"/>
  <c r="S8" i="23" s="1"/>
  <c r="S6" i="32"/>
  <c r="S6" i="23" s="1"/>
  <c r="D8" i="49" l="1"/>
  <c r="D10" s="1"/>
  <c r="D6" i="48"/>
  <c r="D13" i="51"/>
  <c r="E71" i="29"/>
  <c r="F18" i="34"/>
  <c r="E72" i="29"/>
  <c r="F19" i="34"/>
  <c r="E68" i="29"/>
  <c r="F15" i="34"/>
  <c r="E70" i="29"/>
  <c r="F17" i="34"/>
  <c r="E69" i="29"/>
  <c r="F16" i="34"/>
  <c r="E31" i="29"/>
  <c r="F6" i="34"/>
  <c r="E33" i="29"/>
  <c r="F8" i="34"/>
  <c r="E35" i="29"/>
  <c r="F10" i="34"/>
  <c r="E32" i="29"/>
  <c r="F7" i="34"/>
  <c r="E34" i="29"/>
  <c r="F9" i="34"/>
  <c r="D13" i="25"/>
  <c r="D5" i="48" s="1"/>
  <c r="E47" i="25"/>
  <c r="E65"/>
  <c r="E28"/>
  <c r="E78" i="29" s="1"/>
  <c r="E29" i="25"/>
  <c r="E79" i="29" s="1"/>
  <c r="E30" i="25"/>
  <c r="E80" i="29" s="1"/>
  <c r="E48" i="25"/>
  <c r="E66"/>
  <c r="E49"/>
  <c r="E67"/>
  <c r="E64"/>
  <c r="E46"/>
  <c r="E27"/>
  <c r="E77" i="29" s="1"/>
  <c r="E31" i="25"/>
  <c r="E81" i="29" s="1"/>
  <c r="E50" i="25"/>
  <c r="E68"/>
  <c r="E14" i="21"/>
  <c r="E16" i="46" s="1"/>
  <c r="E37" i="25"/>
  <c r="E18"/>
  <c r="E40" i="29" s="1"/>
  <c r="E55" i="25"/>
  <c r="E58"/>
  <c r="E5" i="21"/>
  <c r="E5" i="46" s="1"/>
  <c r="E21" i="25"/>
  <c r="E43" i="29" s="1"/>
  <c r="E40" i="25"/>
  <c r="E22"/>
  <c r="E44" i="29" s="1"/>
  <c r="E41" i="25"/>
  <c r="E59"/>
  <c r="E38"/>
  <c r="E56"/>
  <c r="E19"/>
  <c r="E41" i="29" s="1"/>
  <c r="E20" i="25"/>
  <c r="E42" i="29" s="1"/>
  <c r="E39" i="25"/>
  <c r="E57"/>
  <c r="T8" i="32"/>
  <c r="T8" i="23" s="1"/>
  <c r="T5" i="32"/>
  <c r="T5" i="23" s="1"/>
  <c r="T6" i="32"/>
  <c r="T6" i="23" s="1"/>
  <c r="T9" i="32"/>
  <c r="T9" i="23" s="1"/>
  <c r="T7" i="32"/>
  <c r="T7" i="23" s="1"/>
  <c r="D7" i="48" l="1"/>
  <c r="E13" i="29"/>
  <c r="E16"/>
  <c r="E67"/>
  <c r="E17"/>
  <c r="E30"/>
  <c r="E14"/>
  <c r="E15"/>
  <c r="E76"/>
  <c r="E39"/>
  <c r="E54"/>
  <c r="E6" i="46"/>
  <c r="E53" i="29"/>
  <c r="E9" i="46"/>
  <c r="E7"/>
  <c r="E52" i="29"/>
  <c r="E8" i="46"/>
  <c r="E14"/>
  <c r="E51" i="29"/>
  <c r="E15" i="46"/>
  <c r="E13"/>
  <c r="E17"/>
  <c r="E45" i="25"/>
  <c r="F18" i="33"/>
  <c r="F62" i="29" s="1"/>
  <c r="F19" i="33"/>
  <c r="F63" i="29" s="1"/>
  <c r="F17" i="33"/>
  <c r="F61" i="29" s="1"/>
  <c r="E63" i="25"/>
  <c r="F16" i="33"/>
  <c r="F60" i="29" s="1"/>
  <c r="F14" i="34"/>
  <c r="F15" i="33"/>
  <c r="F59" i="29" s="1"/>
  <c r="E7" i="25"/>
  <c r="E26"/>
  <c r="F10" i="33"/>
  <c r="F26" i="29" s="1"/>
  <c r="E36" i="25"/>
  <c r="E54"/>
  <c r="F6" i="33"/>
  <c r="F22" i="29" s="1"/>
  <c r="F5" i="34"/>
  <c r="E17" i="25"/>
  <c r="F9" i="33"/>
  <c r="F25" i="29" s="1"/>
  <c r="F7" i="33"/>
  <c r="F23" i="29" s="1"/>
  <c r="F8" i="33"/>
  <c r="F24" i="29" s="1"/>
  <c r="E6" i="25"/>
  <c r="E50" i="29"/>
  <c r="U9" i="32"/>
  <c r="U9" i="23" s="1"/>
  <c r="U6" i="32"/>
  <c r="U6" i="23" s="1"/>
  <c r="U8" i="32"/>
  <c r="U8" i="23" s="1"/>
  <c r="U5" i="32"/>
  <c r="U5" i="23" s="1"/>
  <c r="U7" i="32"/>
  <c r="U7" i="23" s="1"/>
  <c r="D12" i="51" l="1"/>
  <c r="D14" s="1"/>
  <c r="E11" i="25"/>
  <c r="F58" i="29"/>
  <c r="F21"/>
  <c r="E12" i="25"/>
  <c r="E49" i="29"/>
  <c r="E12"/>
  <c r="F18" i="21"/>
  <c r="G18" i="34" s="1"/>
  <c r="F16" i="21"/>
  <c r="F15"/>
  <c r="F19"/>
  <c r="F17"/>
  <c r="F14" i="33"/>
  <c r="F10" i="21"/>
  <c r="F9"/>
  <c r="F5" i="33"/>
  <c r="F8" i="21"/>
  <c r="E8" i="25"/>
  <c r="E11" i="48" s="1"/>
  <c r="E13" s="1"/>
  <c r="F7" i="21"/>
  <c r="F6"/>
  <c r="V6" i="32"/>
  <c r="V6" i="23" s="1"/>
  <c r="V8" i="32"/>
  <c r="V8" i="23" s="1"/>
  <c r="V7" i="32"/>
  <c r="V7" i="23" s="1"/>
  <c r="V5" i="32"/>
  <c r="V5" i="23" s="1"/>
  <c r="V9" i="32"/>
  <c r="V9" i="23" s="1"/>
  <c r="E6" i="48" l="1"/>
  <c r="E8" i="49"/>
  <c r="E10" s="1"/>
  <c r="E13" i="51"/>
  <c r="F70" i="29"/>
  <c r="G17" i="34"/>
  <c r="F72" i="29"/>
  <c r="G19" i="34"/>
  <c r="F68" i="29"/>
  <c r="G15" i="34"/>
  <c r="F69" i="29"/>
  <c r="G16" i="34"/>
  <c r="F35" i="29"/>
  <c r="G10" i="34"/>
  <c r="F31" i="29"/>
  <c r="G6" i="34"/>
  <c r="F32" i="29"/>
  <c r="G7" i="34"/>
  <c r="F33" i="29"/>
  <c r="G8" i="34"/>
  <c r="F34" i="29"/>
  <c r="G9" i="34"/>
  <c r="E13" i="25"/>
  <c r="E5" i="48" s="1"/>
  <c r="F49" i="25"/>
  <c r="F71" i="29"/>
  <c r="F67" i="25"/>
  <c r="F28"/>
  <c r="F78" i="29" s="1"/>
  <c r="F47" i="25"/>
  <c r="F30"/>
  <c r="F80" i="29" s="1"/>
  <c r="F65" i="25"/>
  <c r="F27"/>
  <c r="F77" i="29" s="1"/>
  <c r="F64" i="25"/>
  <c r="F46"/>
  <c r="F50"/>
  <c r="F14" i="21"/>
  <c r="F15" i="46" s="1"/>
  <c r="F31" i="25"/>
  <c r="F81" i="29" s="1"/>
  <c r="F68" i="25"/>
  <c r="F29"/>
  <c r="F79" i="29" s="1"/>
  <c r="F48" i="25"/>
  <c r="F66"/>
  <c r="F41"/>
  <c r="F22"/>
  <c r="F44" i="29" s="1"/>
  <c r="F59" i="25"/>
  <c r="F38"/>
  <c r="F58"/>
  <c r="F21"/>
  <c r="F43" i="29" s="1"/>
  <c r="F40" i="25"/>
  <c r="F56"/>
  <c r="F18"/>
  <c r="F40" i="29" s="1"/>
  <c r="F55" i="25"/>
  <c r="F5" i="21"/>
  <c r="F5" i="46" s="1"/>
  <c r="F37" i="25"/>
  <c r="F19"/>
  <c r="F41" i="29" s="1"/>
  <c r="F20" i="25"/>
  <c r="F42" i="29" s="1"/>
  <c r="F39" i="25"/>
  <c r="F57"/>
  <c r="W9" i="32"/>
  <c r="W9" i="23" s="1"/>
  <c r="W8" i="32"/>
  <c r="W8" i="23" s="1"/>
  <c r="W6" i="32"/>
  <c r="W6" i="23" s="1"/>
  <c r="W7" i="32"/>
  <c r="W7" i="23" s="1"/>
  <c r="W5" i="32"/>
  <c r="W5" i="23" s="1"/>
  <c r="E7" i="48" l="1"/>
  <c r="F16" i="29"/>
  <c r="E12" i="51"/>
  <c r="E14" s="1"/>
  <c r="F17" i="29"/>
  <c r="F15"/>
  <c r="F30"/>
  <c r="F67"/>
  <c r="F14"/>
  <c r="F76"/>
  <c r="F39"/>
  <c r="F13"/>
  <c r="F14" i="46"/>
  <c r="F51" i="29"/>
  <c r="F17" i="46"/>
  <c r="F7"/>
  <c r="F53" i="29"/>
  <c r="F9" i="46"/>
  <c r="F6"/>
  <c r="F52" i="29"/>
  <c r="F13" i="46"/>
  <c r="F8"/>
  <c r="F54" i="29"/>
  <c r="F16" i="46"/>
  <c r="G14" i="34"/>
  <c r="F63" i="25"/>
  <c r="F45"/>
  <c r="G17" i="33"/>
  <c r="G61" i="29" s="1"/>
  <c r="G16" i="33"/>
  <c r="G60" i="29" s="1"/>
  <c r="G18" i="33"/>
  <c r="G62" i="29" s="1"/>
  <c r="G19" i="33"/>
  <c r="G63" i="29" s="1"/>
  <c r="G15" i="33"/>
  <c r="G59" i="29" s="1"/>
  <c r="F26" i="25"/>
  <c r="F7"/>
  <c r="G5" i="34"/>
  <c r="D7" i="40"/>
  <c r="D6"/>
  <c r="E5"/>
  <c r="D8"/>
  <c r="D9"/>
  <c r="D5"/>
  <c r="E8"/>
  <c r="E7"/>
  <c r="E6"/>
  <c r="E9"/>
  <c r="G9" i="33"/>
  <c r="G25" i="29" s="1"/>
  <c r="F36" i="25"/>
  <c r="G8" i="33"/>
  <c r="G24" i="29" s="1"/>
  <c r="G6" i="33"/>
  <c r="G22" i="29" s="1"/>
  <c r="F17" i="25"/>
  <c r="G7" i="33"/>
  <c r="G23" i="29" s="1"/>
  <c r="G10" i="33"/>
  <c r="G26" i="29" s="1"/>
  <c r="F6" i="25"/>
  <c r="F54"/>
  <c r="F50" i="29"/>
  <c r="F11" i="25" l="1"/>
  <c r="G58" i="29"/>
  <c r="G21"/>
  <c r="F12" i="25"/>
  <c r="F49" i="29"/>
  <c r="G16" i="21"/>
  <c r="G17"/>
  <c r="G19"/>
  <c r="G14" i="33"/>
  <c r="G18" i="21"/>
  <c r="G15"/>
  <c r="F8" i="40"/>
  <c r="F9"/>
  <c r="F12" i="29"/>
  <c r="F5" i="40"/>
  <c r="F6"/>
  <c r="F7"/>
  <c r="G6" i="21"/>
  <c r="G8"/>
  <c r="G9"/>
  <c r="G10"/>
  <c r="G7"/>
  <c r="F8" i="25"/>
  <c r="F11" i="48" s="1"/>
  <c r="F13" s="1"/>
  <c r="G5" i="33"/>
  <c r="F6" i="48" l="1"/>
  <c r="F8" i="49"/>
  <c r="F10" s="1"/>
  <c r="F13" i="51"/>
  <c r="G68" i="29"/>
  <c r="H15" i="34"/>
  <c r="G71" i="29"/>
  <c r="H18" i="34"/>
  <c r="G72" i="29"/>
  <c r="H19" i="34"/>
  <c r="G70" i="29"/>
  <c r="H17" i="34"/>
  <c r="G69" i="29"/>
  <c r="H16" i="34"/>
  <c r="G35" i="29"/>
  <c r="H10" i="34"/>
  <c r="G34" i="29"/>
  <c r="H9" i="34"/>
  <c r="G33" i="29"/>
  <c r="H8" i="34"/>
  <c r="G31" i="29"/>
  <c r="H6" i="34"/>
  <c r="G32" i="29"/>
  <c r="H7" i="34"/>
  <c r="F13" i="25"/>
  <c r="F5" i="48" s="1"/>
  <c r="G21" i="25"/>
  <c r="G43" i="29" s="1"/>
  <c r="G28" i="25"/>
  <c r="G78" i="29" s="1"/>
  <c r="G47" i="25"/>
  <c r="G65"/>
  <c r="G67"/>
  <c r="G29"/>
  <c r="G79" i="29" s="1"/>
  <c r="G66" i="25"/>
  <c r="G30"/>
  <c r="G80" i="29" s="1"/>
  <c r="G49" i="25"/>
  <c r="G48"/>
  <c r="G68"/>
  <c r="G64"/>
  <c r="G31"/>
  <c r="G81" i="29" s="1"/>
  <c r="G50" i="25"/>
  <c r="G27"/>
  <c r="G77" i="29" s="1"/>
  <c r="G46" i="25"/>
  <c r="G14" i="21"/>
  <c r="G17" i="46" s="1"/>
  <c r="G40" i="25"/>
  <c r="G58"/>
  <c r="G39"/>
  <c r="G18"/>
  <c r="G40" i="29" s="1"/>
  <c r="G22" i="25"/>
  <c r="G44" i="29" s="1"/>
  <c r="G37" i="25"/>
  <c r="G57"/>
  <c r="G20"/>
  <c r="G42" i="29" s="1"/>
  <c r="G55" i="25"/>
  <c r="G56"/>
  <c r="G41"/>
  <c r="G59"/>
  <c r="G5" i="21"/>
  <c r="G7" i="46" s="1"/>
  <c r="G19" i="25"/>
  <c r="G41" i="29" s="1"/>
  <c r="G38" i="25"/>
  <c r="F7" i="48" l="1"/>
  <c r="G67" i="29"/>
  <c r="G17"/>
  <c r="G16"/>
  <c r="G30"/>
  <c r="G13"/>
  <c r="G15"/>
  <c r="G76"/>
  <c r="G39"/>
  <c r="G14"/>
  <c r="G53"/>
  <c r="G16" i="46"/>
  <c r="G6"/>
  <c r="G15"/>
  <c r="G9"/>
  <c r="G13"/>
  <c r="G5"/>
  <c r="G54" i="29"/>
  <c r="G52"/>
  <c r="G8" i="46"/>
  <c r="G51" i="29"/>
  <c r="G14" i="46"/>
  <c r="G63" i="25"/>
  <c r="G26"/>
  <c r="H14" i="34"/>
  <c r="G45" i="25"/>
  <c r="H16" i="33"/>
  <c r="H60" i="29" s="1"/>
  <c r="H15" i="33"/>
  <c r="H19"/>
  <c r="H63" i="29" s="1"/>
  <c r="H18" i="33"/>
  <c r="H62" i="29" s="1"/>
  <c r="G7" i="25"/>
  <c r="H17" i="33"/>
  <c r="H61" i="29" s="1"/>
  <c r="G54" i="25"/>
  <c r="H9" i="33"/>
  <c r="H25" i="29" s="1"/>
  <c r="H5" i="34"/>
  <c r="G36" i="25"/>
  <c r="G17"/>
  <c r="G6"/>
  <c r="H8" i="33"/>
  <c r="H24" i="29" s="1"/>
  <c r="H7" i="33"/>
  <c r="H23" i="29" s="1"/>
  <c r="H6" i="33"/>
  <c r="H22" i="29" s="1"/>
  <c r="H10" i="33"/>
  <c r="H26" i="29" s="1"/>
  <c r="G50"/>
  <c r="F12" i="51" l="1"/>
  <c r="F14" s="1"/>
  <c r="G11" i="25"/>
  <c r="H15" i="21"/>
  <c r="H59" i="29"/>
  <c r="H58" s="1"/>
  <c r="H21"/>
  <c r="G12" i="25"/>
  <c r="G49" i="29"/>
  <c r="H16" i="21"/>
  <c r="H19"/>
  <c r="H17"/>
  <c r="H14" i="33"/>
  <c r="H18" i="21"/>
  <c r="G12" i="29"/>
  <c r="H9" i="21"/>
  <c r="H5" i="33"/>
  <c r="H6" i="21"/>
  <c r="H10"/>
  <c r="H7"/>
  <c r="H8"/>
  <c r="G8" i="25"/>
  <c r="G11" i="48" s="1"/>
  <c r="G13" s="1"/>
  <c r="G13" i="51" l="1"/>
  <c r="G6" i="48"/>
  <c r="G8" i="49"/>
  <c r="G10" s="1"/>
  <c r="H71" i="29"/>
  <c r="I18" i="34"/>
  <c r="H68" i="29"/>
  <c r="I15" i="34"/>
  <c r="H70" i="29"/>
  <c r="I17" i="34"/>
  <c r="H72" i="29"/>
  <c r="I19" i="34"/>
  <c r="H69" i="29"/>
  <c r="I16" i="34"/>
  <c r="H34" i="29"/>
  <c r="I9" i="34"/>
  <c r="H33" i="29"/>
  <c r="I8" i="34"/>
  <c r="H32" i="29"/>
  <c r="I7" i="34"/>
  <c r="H35" i="29"/>
  <c r="I10" i="34"/>
  <c r="H31" i="29"/>
  <c r="I6" i="34"/>
  <c r="G13" i="25"/>
  <c r="G5" i="48" s="1"/>
  <c r="H64" i="25"/>
  <c r="H27"/>
  <c r="H77" i="29" s="1"/>
  <c r="H46" i="25"/>
  <c r="H21"/>
  <c r="H43" i="29" s="1"/>
  <c r="H47" i="25"/>
  <c r="H65"/>
  <c r="H28"/>
  <c r="H78" i="29" s="1"/>
  <c r="H49" i="25"/>
  <c r="H30"/>
  <c r="H80" i="29" s="1"/>
  <c r="H67" i="25"/>
  <c r="H29"/>
  <c r="H79" i="29" s="1"/>
  <c r="H66" i="25"/>
  <c r="H50"/>
  <c r="H68"/>
  <c r="H31"/>
  <c r="H81" i="29" s="1"/>
  <c r="H14" i="21"/>
  <c r="H13" i="46" s="1"/>
  <c r="D29" i="40" s="1"/>
  <c r="H48" i="25"/>
  <c r="H40"/>
  <c r="H58"/>
  <c r="H39"/>
  <c r="H56"/>
  <c r="H41"/>
  <c r="H18"/>
  <c r="H40" i="29" s="1"/>
  <c r="H55" i="25"/>
  <c r="H38"/>
  <c r="H19"/>
  <c r="H41" i="29" s="1"/>
  <c r="H20" i="25"/>
  <c r="H42" i="29" s="1"/>
  <c r="H5" i="21"/>
  <c r="H7" i="46" s="1"/>
  <c r="H57" i="25"/>
  <c r="H22"/>
  <c r="H44" i="29" s="1"/>
  <c r="H59" i="25"/>
  <c r="H37"/>
  <c r="G7" i="48" l="1"/>
  <c r="H16" i="29"/>
  <c r="H30"/>
  <c r="H50"/>
  <c r="H14"/>
  <c r="H67"/>
  <c r="H15"/>
  <c r="H17"/>
  <c r="H76"/>
  <c r="H39"/>
  <c r="H13"/>
  <c r="H14" i="46"/>
  <c r="D30" i="40" s="1"/>
  <c r="D23"/>
  <c r="H5" i="46"/>
  <c r="H54" i="29"/>
  <c r="H53"/>
  <c r="H16" i="46"/>
  <c r="D32" i="40" s="1"/>
  <c r="H8" i="46"/>
  <c r="H6"/>
  <c r="H17"/>
  <c r="D33" i="40" s="1"/>
  <c r="H9" i="46"/>
  <c r="H52" i="29"/>
  <c r="H15" i="46"/>
  <c r="D31" i="40" s="1"/>
  <c r="H45" i="25"/>
  <c r="I19" i="33"/>
  <c r="I63" i="29" s="1"/>
  <c r="H26" i="25"/>
  <c r="H63"/>
  <c r="H7"/>
  <c r="I17" i="33"/>
  <c r="I61" i="29" s="1"/>
  <c r="I15" i="33"/>
  <c r="I59" i="29" s="1"/>
  <c r="I16" i="33"/>
  <c r="I60" i="29" s="1"/>
  <c r="I14" i="34"/>
  <c r="I18" i="33"/>
  <c r="I62" i="29" s="1"/>
  <c r="H36" i="25"/>
  <c r="H17"/>
  <c r="H54"/>
  <c r="I7" i="33"/>
  <c r="I23" i="29" s="1"/>
  <c r="H6" i="25"/>
  <c r="I5" i="34"/>
  <c r="I10" i="33"/>
  <c r="I26" i="29" s="1"/>
  <c r="I9" i="33"/>
  <c r="I25" i="29" s="1"/>
  <c r="I8" i="33"/>
  <c r="I24" i="29" s="1"/>
  <c r="I6" i="33"/>
  <c r="I22" i="29" s="1"/>
  <c r="H51"/>
  <c r="G12" i="51" l="1"/>
  <c r="G14" s="1"/>
  <c r="H11" i="25"/>
  <c r="I58" i="29"/>
  <c r="I21"/>
  <c r="D25" i="40"/>
  <c r="D22"/>
  <c r="D24"/>
  <c r="D21"/>
  <c r="H12" i="25"/>
  <c r="H49" i="29"/>
  <c r="I16" i="21"/>
  <c r="I19"/>
  <c r="I17"/>
  <c r="I15"/>
  <c r="I18"/>
  <c r="I14" i="33"/>
  <c r="H12" i="29"/>
  <c r="I10" i="21"/>
  <c r="I7"/>
  <c r="H8" i="25"/>
  <c r="H11" i="48" s="1"/>
  <c r="H13" s="1"/>
  <c r="I6" i="21"/>
  <c r="I5" i="33"/>
  <c r="I9" i="21"/>
  <c r="I8"/>
  <c r="H6" i="48" l="1"/>
  <c r="H8" i="49"/>
  <c r="H10" s="1"/>
  <c r="H13" i="51"/>
  <c r="I70" i="29"/>
  <c r="J17" i="34"/>
  <c r="I72" i="29"/>
  <c r="J19" i="34"/>
  <c r="I69" i="29"/>
  <c r="J16" i="34"/>
  <c r="I71" i="29"/>
  <c r="J18" i="34"/>
  <c r="I68" i="29"/>
  <c r="J15" i="34"/>
  <c r="I31" i="29"/>
  <c r="J6" i="34"/>
  <c r="I32" i="29"/>
  <c r="J7" i="34"/>
  <c r="I35" i="29"/>
  <c r="J10" i="34"/>
  <c r="I33" i="29"/>
  <c r="J8" i="34"/>
  <c r="I34" i="29"/>
  <c r="J9" i="34"/>
  <c r="H13" i="25"/>
  <c r="H5" i="48" s="1"/>
  <c r="D37" i="40" s="1"/>
  <c r="I68" i="25"/>
  <c r="I65"/>
  <c r="I47"/>
  <c r="I28"/>
  <c r="I78" i="29" s="1"/>
  <c r="I46" i="25"/>
  <c r="I50"/>
  <c r="I48"/>
  <c r="I31"/>
  <c r="I81" i="29" s="1"/>
  <c r="I29" i="25"/>
  <c r="I79" i="29" s="1"/>
  <c r="I67" i="25"/>
  <c r="I66"/>
  <c r="I30"/>
  <c r="I80" i="29" s="1"/>
  <c r="I49" i="25"/>
  <c r="I27"/>
  <c r="I77" i="29" s="1"/>
  <c r="I64" i="25"/>
  <c r="I14" i="21"/>
  <c r="I17" i="46" s="1"/>
  <c r="I38" i="25"/>
  <c r="I55"/>
  <c r="I22"/>
  <c r="I44" i="29" s="1"/>
  <c r="I59" i="25"/>
  <c r="I41"/>
  <c r="I37"/>
  <c r="I56"/>
  <c r="I19"/>
  <c r="I41" i="29" s="1"/>
  <c r="I18" i="25"/>
  <c r="I40" i="29" s="1"/>
  <c r="I21" i="25"/>
  <c r="I43" i="29" s="1"/>
  <c r="I5" i="21"/>
  <c r="I6" i="46" s="1"/>
  <c r="I40" i="25"/>
  <c r="I58"/>
  <c r="I57"/>
  <c r="I39"/>
  <c r="I20"/>
  <c r="I42" i="29" s="1"/>
  <c r="H12" i="51" l="1"/>
  <c r="H14" s="1"/>
  <c r="I16" i="29"/>
  <c r="I13"/>
  <c r="I30"/>
  <c r="I67"/>
  <c r="I14"/>
  <c r="I15"/>
  <c r="I76"/>
  <c r="I39"/>
  <c r="I17"/>
  <c r="I14" i="46"/>
  <c r="I52" i="29"/>
  <c r="I53"/>
  <c r="I8" i="46"/>
  <c r="I5"/>
  <c r="I7"/>
  <c r="I9"/>
  <c r="I51" i="29"/>
  <c r="I13" i="46"/>
  <c r="I16"/>
  <c r="I15"/>
  <c r="J18" i="33"/>
  <c r="J62" i="29" s="1"/>
  <c r="I45" i="25"/>
  <c r="I54" i="29"/>
  <c r="J16" i="33"/>
  <c r="J60" i="29" s="1"/>
  <c r="J14" i="34"/>
  <c r="J15" i="33"/>
  <c r="J59" i="29" s="1"/>
  <c r="I63" i="25"/>
  <c r="I26"/>
  <c r="I7"/>
  <c r="J17" i="33"/>
  <c r="J61" i="29" s="1"/>
  <c r="J19" i="33"/>
  <c r="J63" i="29" s="1"/>
  <c r="J10" i="33"/>
  <c r="J26" i="29" s="1"/>
  <c r="J6" i="33"/>
  <c r="J22" i="29" s="1"/>
  <c r="J8" i="33"/>
  <c r="J24" i="29" s="1"/>
  <c r="J5" i="34"/>
  <c r="I36" i="25"/>
  <c r="I54"/>
  <c r="I6"/>
  <c r="I17"/>
  <c r="J7" i="33"/>
  <c r="J23" i="29" s="1"/>
  <c r="J9" i="33"/>
  <c r="J25" i="29" s="1"/>
  <c r="I50"/>
  <c r="H7" i="48" l="1"/>
  <c r="D39" i="40" s="1"/>
  <c r="D38"/>
  <c r="I11" i="25"/>
  <c r="J58" i="29"/>
  <c r="J21"/>
  <c r="I12" i="25"/>
  <c r="J19" i="21"/>
  <c r="I49" i="29"/>
  <c r="J18" i="21"/>
  <c r="J16"/>
  <c r="J15"/>
  <c r="J17"/>
  <c r="J14" i="33"/>
  <c r="I12" i="29"/>
  <c r="J10" i="21"/>
  <c r="J6"/>
  <c r="J9"/>
  <c r="J8"/>
  <c r="I8" i="25"/>
  <c r="I11" i="48" s="1"/>
  <c r="I13" s="1"/>
  <c r="J7" i="21"/>
  <c r="J5" i="33"/>
  <c r="I6" i="48" l="1"/>
  <c r="I8" i="49"/>
  <c r="I10" s="1"/>
  <c r="I13" i="51"/>
  <c r="J70" i="29"/>
  <c r="K17" i="34"/>
  <c r="J68" i="29"/>
  <c r="K15" i="34"/>
  <c r="J69" i="29"/>
  <c r="K16" i="34"/>
  <c r="J71" i="29"/>
  <c r="K18" i="34"/>
  <c r="J72" i="29"/>
  <c r="K19" i="34"/>
  <c r="J32" i="29"/>
  <c r="K7" i="34"/>
  <c r="J33" i="29"/>
  <c r="K8" i="34"/>
  <c r="J34" i="29"/>
  <c r="K9" i="34"/>
  <c r="J31" i="29"/>
  <c r="K6" i="34"/>
  <c r="J35" i="29"/>
  <c r="K10" i="34"/>
  <c r="I13" i="25"/>
  <c r="I5" i="48" s="1"/>
  <c r="J31" i="25"/>
  <c r="J81" i="29" s="1"/>
  <c r="J50" i="25"/>
  <c r="J68"/>
  <c r="J28"/>
  <c r="J78" i="29" s="1"/>
  <c r="J47" i="25"/>
  <c r="J65"/>
  <c r="J67"/>
  <c r="J30"/>
  <c r="J80" i="29" s="1"/>
  <c r="J49" i="25"/>
  <c r="J46"/>
  <c r="J64"/>
  <c r="J27"/>
  <c r="J77" i="29" s="1"/>
  <c r="J48" i="25"/>
  <c r="J29"/>
  <c r="J79" i="29" s="1"/>
  <c r="J14" i="21"/>
  <c r="J16" i="46" s="1"/>
  <c r="J66" i="25"/>
  <c r="J41"/>
  <c r="J22"/>
  <c r="J44" i="29" s="1"/>
  <c r="J59" i="25"/>
  <c r="J20"/>
  <c r="J42" i="29" s="1"/>
  <c r="J58" i="25"/>
  <c r="J19"/>
  <c r="J41" i="29" s="1"/>
  <c r="J21" i="25"/>
  <c r="J43" i="29" s="1"/>
  <c r="J55" i="25"/>
  <c r="J40"/>
  <c r="J18"/>
  <c r="J40" i="29" s="1"/>
  <c r="J37" i="25"/>
  <c r="J39"/>
  <c r="J57"/>
  <c r="J56"/>
  <c r="J5" i="21"/>
  <c r="J7" i="46" s="1"/>
  <c r="J38" i="25"/>
  <c r="I7" i="48" l="1"/>
  <c r="I12" i="51"/>
  <c r="I14" s="1"/>
  <c r="J30" i="29"/>
  <c r="J14"/>
  <c r="J17"/>
  <c r="J67"/>
  <c r="J16"/>
  <c r="J15"/>
  <c r="J76"/>
  <c r="J39"/>
  <c r="J13"/>
  <c r="J51"/>
  <c r="J53"/>
  <c r="J6" i="46"/>
  <c r="J52" i="29"/>
  <c r="J54"/>
  <c r="J9" i="46"/>
  <c r="J14"/>
  <c r="J5"/>
  <c r="J8"/>
  <c r="J13"/>
  <c r="J17"/>
  <c r="J15"/>
  <c r="K19" i="33"/>
  <c r="K63" i="29" s="1"/>
  <c r="J63" i="25"/>
  <c r="J45"/>
  <c r="K17" i="33"/>
  <c r="K61" i="29" s="1"/>
  <c r="K14" i="34"/>
  <c r="K18" i="33"/>
  <c r="K62" i="29" s="1"/>
  <c r="K15" i="33"/>
  <c r="K59" i="29" s="1"/>
  <c r="K16" i="33"/>
  <c r="K60" i="29" s="1"/>
  <c r="J26" i="25"/>
  <c r="J7"/>
  <c r="J6"/>
  <c r="K7" i="33"/>
  <c r="K23" i="29" s="1"/>
  <c r="J36" i="25"/>
  <c r="J17"/>
  <c r="J54"/>
  <c r="K10" i="33"/>
  <c r="K26" i="29" s="1"/>
  <c r="K5" i="34"/>
  <c r="K8" i="33"/>
  <c r="K24" i="29" s="1"/>
  <c r="K6" i="33"/>
  <c r="K22" i="29" s="1"/>
  <c r="K9" i="33"/>
  <c r="K25" i="29" s="1"/>
  <c r="J50"/>
  <c r="J11" i="25" l="1"/>
  <c r="K58" i="29"/>
  <c r="K21"/>
  <c r="J12" i="25"/>
  <c r="J49" i="29"/>
  <c r="K19" i="21"/>
  <c r="L19" i="34" s="1"/>
  <c r="K15" i="21"/>
  <c r="K17"/>
  <c r="K14" i="33"/>
  <c r="K16" i="21"/>
  <c r="K18"/>
  <c r="J8" i="25"/>
  <c r="J11" i="48" s="1"/>
  <c r="J13" s="1"/>
  <c r="K6" i="21"/>
  <c r="K8"/>
  <c r="K7"/>
  <c r="J12" i="29"/>
  <c r="K10" i="21"/>
  <c r="K5" i="33"/>
  <c r="K9" i="21"/>
  <c r="J6" i="48" l="1"/>
  <c r="J8" i="49"/>
  <c r="J10" s="1"/>
  <c r="J13" i="51"/>
  <c r="K71" i="29"/>
  <c r="L18" i="34"/>
  <c r="K69" i="29"/>
  <c r="L16" i="34"/>
  <c r="K70" i="29"/>
  <c r="L17" i="34"/>
  <c r="K68" i="29"/>
  <c r="L15" i="34"/>
  <c r="K34" i="29"/>
  <c r="L9" i="34"/>
  <c r="K35" i="29"/>
  <c r="L10" i="34"/>
  <c r="K32" i="29"/>
  <c r="L7" i="34"/>
  <c r="K33" i="29"/>
  <c r="L8" i="34"/>
  <c r="K31" i="29"/>
  <c r="L6" i="34"/>
  <c r="J13" i="25"/>
  <c r="J5" i="48" s="1"/>
  <c r="K31" i="25"/>
  <c r="K81" i="29" s="1"/>
  <c r="K72"/>
  <c r="K59" i="25"/>
  <c r="K68"/>
  <c r="K29"/>
  <c r="K79" i="29" s="1"/>
  <c r="K46" i="25"/>
  <c r="K27"/>
  <c r="K77" i="29" s="1"/>
  <c r="K50" i="25"/>
  <c r="K67"/>
  <c r="K30"/>
  <c r="K66"/>
  <c r="K14" i="21"/>
  <c r="K16" i="46" s="1"/>
  <c r="K28" i="25"/>
  <c r="K78" i="29" s="1"/>
  <c r="K64" i="25"/>
  <c r="K48"/>
  <c r="K65"/>
  <c r="K47"/>
  <c r="K49"/>
  <c r="K57"/>
  <c r="K56"/>
  <c r="K38"/>
  <c r="K19"/>
  <c r="K41" i="29" s="1"/>
  <c r="K39" i="25"/>
  <c r="K18"/>
  <c r="K40" i="29" s="1"/>
  <c r="K55" i="25"/>
  <c r="K37"/>
  <c r="K22"/>
  <c r="K44" i="29" s="1"/>
  <c r="K20" i="25"/>
  <c r="K42" i="29" s="1"/>
  <c r="K41" i="25"/>
  <c r="K5" i="21"/>
  <c r="K5" i="46" s="1"/>
  <c r="K21" i="25"/>
  <c r="K43" i="29" s="1"/>
  <c r="K58" i="25"/>
  <c r="K40"/>
  <c r="K13" i="29" l="1"/>
  <c r="K16"/>
  <c r="J7" i="48"/>
  <c r="J12" i="51"/>
  <c r="J14" s="1"/>
  <c r="K30" i="29"/>
  <c r="K15"/>
  <c r="K17"/>
  <c r="K67"/>
  <c r="K14"/>
  <c r="K54"/>
  <c r="K80"/>
  <c r="K76" s="1"/>
  <c r="K39"/>
  <c r="K51"/>
  <c r="K13" i="46"/>
  <c r="K6"/>
  <c r="K7"/>
  <c r="K9"/>
  <c r="K15"/>
  <c r="K8"/>
  <c r="K14"/>
  <c r="K17"/>
  <c r="K52" i="29"/>
  <c r="K26" i="25"/>
  <c r="K63"/>
  <c r="K7"/>
  <c r="L15" i="33"/>
  <c r="L59" i="29" s="1"/>
  <c r="L14" i="34"/>
  <c r="L19" i="33"/>
  <c r="L63" i="29" s="1"/>
  <c r="L17" i="33"/>
  <c r="L61" i="29" s="1"/>
  <c r="K45" i="25"/>
  <c r="L16" i="33"/>
  <c r="L60" i="29" s="1"/>
  <c r="L18" i="33"/>
  <c r="L62" i="29" s="1"/>
  <c r="K54" i="25"/>
  <c r="L6" i="33"/>
  <c r="L22" i="29" s="1"/>
  <c r="K36" i="25"/>
  <c r="L8" i="33"/>
  <c r="L24" i="29" s="1"/>
  <c r="L5" i="34"/>
  <c r="L10" i="33"/>
  <c r="L26" i="29" s="1"/>
  <c r="L9" i="33"/>
  <c r="L25" i="29" s="1"/>
  <c r="K6" i="25"/>
  <c r="K17"/>
  <c r="L7" i="33"/>
  <c r="L23" i="29" s="1"/>
  <c r="K11" i="25" l="1"/>
  <c r="K53" i="29"/>
  <c r="L58"/>
  <c r="L21"/>
  <c r="K12" i="25"/>
  <c r="L18" i="21"/>
  <c r="L15"/>
  <c r="L16"/>
  <c r="K50" i="29"/>
  <c r="L17" i="21"/>
  <c r="L19"/>
  <c r="L14" i="33"/>
  <c r="K12" i="29"/>
  <c r="L8" i="21"/>
  <c r="L9"/>
  <c r="L6"/>
  <c r="L5" i="33"/>
  <c r="K8" i="25"/>
  <c r="K11" i="48" s="1"/>
  <c r="K13" s="1"/>
  <c r="L10" i="21"/>
  <c r="L7"/>
  <c r="K8" i="49" l="1"/>
  <c r="K10" s="1"/>
  <c r="K6" i="48"/>
  <c r="L69" i="29"/>
  <c r="M16" i="34"/>
  <c r="L68" i="29"/>
  <c r="M15" i="34"/>
  <c r="L71" i="29"/>
  <c r="M18" i="34"/>
  <c r="L72" i="29"/>
  <c r="M19" i="34"/>
  <c r="L70" i="29"/>
  <c r="M17" i="34"/>
  <c r="L34" i="29"/>
  <c r="M9" i="34"/>
  <c r="L32" i="29"/>
  <c r="M7" i="34"/>
  <c r="L35" i="29"/>
  <c r="M10" i="34"/>
  <c r="L31" i="29"/>
  <c r="M6" i="34"/>
  <c r="L33" i="29"/>
  <c r="M8" i="34"/>
  <c r="K13" i="25"/>
  <c r="K5" i="48" s="1"/>
  <c r="K49" i="29"/>
  <c r="K13" i="51" s="1"/>
  <c r="L49" i="25"/>
  <c r="L67"/>
  <c r="L30"/>
  <c r="L80" i="29" s="1"/>
  <c r="L64" i="25"/>
  <c r="L65"/>
  <c r="L28"/>
  <c r="L78" i="29" s="1"/>
  <c r="L27" i="25"/>
  <c r="L77" i="29" s="1"/>
  <c r="L46" i="25"/>
  <c r="L47"/>
  <c r="L50"/>
  <c r="L29"/>
  <c r="L79" i="29" s="1"/>
  <c r="L14" i="21"/>
  <c r="L15" i="46" s="1"/>
  <c r="L48" i="25"/>
  <c r="L68"/>
  <c r="L66"/>
  <c r="L31"/>
  <c r="L81" i="29" s="1"/>
  <c r="L55" i="25"/>
  <c r="L57"/>
  <c r="L37"/>
  <c r="L39"/>
  <c r="L20"/>
  <c r="L42" i="29" s="1"/>
  <c r="L15" s="1"/>
  <c r="L18" i="25"/>
  <c r="L40" i="29" s="1"/>
  <c r="L21" i="25"/>
  <c r="L43" i="29" s="1"/>
  <c r="L58" i="25"/>
  <c r="L40"/>
  <c r="L56"/>
  <c r="L59"/>
  <c r="L41"/>
  <c r="L22"/>
  <c r="L44" i="29" s="1"/>
  <c r="L5" i="21"/>
  <c r="L7" i="46" s="1"/>
  <c r="L38" i="25"/>
  <c r="L19"/>
  <c r="L41" i="29" s="1"/>
  <c r="L17" l="1"/>
  <c r="K7" i="48"/>
  <c r="K12" i="51"/>
  <c r="K14" s="1"/>
  <c r="L16" i="29"/>
  <c r="L67"/>
  <c r="L14"/>
  <c r="L30"/>
  <c r="L76"/>
  <c r="L39"/>
  <c r="L13"/>
  <c r="L52"/>
  <c r="L13" i="46"/>
  <c r="L9"/>
  <c r="L6"/>
  <c r="L17"/>
  <c r="L5"/>
  <c r="L8"/>
  <c r="L53" i="29"/>
  <c r="L54"/>
  <c r="L14" i="46"/>
  <c r="L16"/>
  <c r="L51" i="29"/>
  <c r="L45" i="25"/>
  <c r="L63"/>
  <c r="M17" i="33"/>
  <c r="M61" i="29" s="1"/>
  <c r="M16" i="33"/>
  <c r="M60" i="29" s="1"/>
  <c r="L7" i="25"/>
  <c r="M19" i="33"/>
  <c r="M63" i="29" s="1"/>
  <c r="M14" i="34"/>
  <c r="M18" i="33"/>
  <c r="M62" i="29" s="1"/>
  <c r="M15" i="33"/>
  <c r="M59" i="29" s="1"/>
  <c r="L26" i="25"/>
  <c r="M5" i="34"/>
  <c r="L54" i="25"/>
  <c r="M8" i="33"/>
  <c r="M24" i="29" s="1"/>
  <c r="M10" i="33"/>
  <c r="M26" i="29" s="1"/>
  <c r="M9" i="33"/>
  <c r="M25" i="29" s="1"/>
  <c r="M7" i="33"/>
  <c r="M23" i="29" s="1"/>
  <c r="M6" i="33"/>
  <c r="M22" i="29" s="1"/>
  <c r="L36" i="25"/>
  <c r="L6"/>
  <c r="L17"/>
  <c r="L50" i="29"/>
  <c r="L11" i="25" l="1"/>
  <c r="M58" i="29"/>
  <c r="M21"/>
  <c r="L12" i="25"/>
  <c r="L49" i="29"/>
  <c r="M16" i="21"/>
  <c r="N16" i="34" s="1"/>
  <c r="M19" i="21"/>
  <c r="M17"/>
  <c r="M18"/>
  <c r="M15"/>
  <c r="M14" i="33"/>
  <c r="L12" i="29"/>
  <c r="M9" i="21"/>
  <c r="M10"/>
  <c r="M6"/>
  <c r="M7"/>
  <c r="M8"/>
  <c r="M5" i="33"/>
  <c r="L8" i="25"/>
  <c r="L11" i="48" s="1"/>
  <c r="L13" s="1"/>
  <c r="L8" i="49" l="1"/>
  <c r="L10" s="1"/>
  <c r="L6" i="48"/>
  <c r="L13" i="51"/>
  <c r="M68" i="29"/>
  <c r="N15" i="34"/>
  <c r="M71" i="29"/>
  <c r="N18" i="34"/>
  <c r="M70" i="29"/>
  <c r="N17" i="34"/>
  <c r="M72" i="29"/>
  <c r="N19" i="34"/>
  <c r="M34" i="29"/>
  <c r="N9" i="34"/>
  <c r="M33" i="29"/>
  <c r="N8" i="34"/>
  <c r="M32" i="29"/>
  <c r="N7" i="34"/>
  <c r="M31" i="29"/>
  <c r="N6" i="34"/>
  <c r="M35" i="29"/>
  <c r="N10" i="34"/>
  <c r="L13" i="25"/>
  <c r="L5" i="48" s="1"/>
  <c r="M47" i="25"/>
  <c r="M69" i="29"/>
  <c r="M65" i="25"/>
  <c r="M28"/>
  <c r="M78" i="29" s="1"/>
  <c r="M27" i="25"/>
  <c r="M77" i="29" s="1"/>
  <c r="M68" i="25"/>
  <c r="M31"/>
  <c r="M50"/>
  <c r="M67"/>
  <c r="M30"/>
  <c r="M80" i="29" s="1"/>
  <c r="M66" i="25"/>
  <c r="M29"/>
  <c r="M48"/>
  <c r="M22"/>
  <c r="M44" i="29" s="1"/>
  <c r="M17" s="1"/>
  <c r="M46" i="25"/>
  <c r="M49"/>
  <c r="M14" i="21"/>
  <c r="M15" i="46" s="1"/>
  <c r="E31" i="40" s="1"/>
  <c r="M64" i="25"/>
  <c r="M59"/>
  <c r="M41"/>
  <c r="M40"/>
  <c r="M58"/>
  <c r="M39"/>
  <c r="M5" i="21"/>
  <c r="M6" i="46" s="1"/>
  <c r="M57" i="25"/>
  <c r="M20"/>
  <c r="M42" i="29" s="1"/>
  <c r="M21" i="25"/>
  <c r="M43" i="29" s="1"/>
  <c r="M37" i="25"/>
  <c r="M55"/>
  <c r="M18"/>
  <c r="M40" i="29" s="1"/>
  <c r="M19" i="25"/>
  <c r="M41" i="29" s="1"/>
  <c r="M56" i="25"/>
  <c r="M38"/>
  <c r="L7" i="48" l="1"/>
  <c r="L12" i="51"/>
  <c r="L14" s="1"/>
  <c r="M15" i="29"/>
  <c r="M16"/>
  <c r="M67"/>
  <c r="M30"/>
  <c r="M14"/>
  <c r="M13"/>
  <c r="M81"/>
  <c r="M54" s="1"/>
  <c r="M79"/>
  <c r="M52" s="1"/>
  <c r="M39"/>
  <c r="E22" i="40"/>
  <c r="M51" i="29"/>
  <c r="M5" i="46"/>
  <c r="M8"/>
  <c r="M9"/>
  <c r="M7"/>
  <c r="M16"/>
  <c r="E32" i="40" s="1"/>
  <c r="M13" i="46"/>
  <c r="E29" i="40" s="1"/>
  <c r="M17" i="46"/>
  <c r="E33" i="40" s="1"/>
  <c r="M53" i="29"/>
  <c r="M14" i="46"/>
  <c r="E30" i="40" s="1"/>
  <c r="N17" i="33"/>
  <c r="N61" i="29" s="1"/>
  <c r="M45" i="25"/>
  <c r="N15" i="33"/>
  <c r="N59" i="29" s="1"/>
  <c r="N18" i="33"/>
  <c r="N62" i="29" s="1"/>
  <c r="M63" i="25"/>
  <c r="M26"/>
  <c r="N14" i="34"/>
  <c r="M7" i="25"/>
  <c r="N16" i="33"/>
  <c r="N60" i="29" s="1"/>
  <c r="N19" i="33"/>
  <c r="N63" i="29" s="1"/>
  <c r="N6" i="33"/>
  <c r="M36" i="25"/>
  <c r="N10" i="33"/>
  <c r="N26" i="29" s="1"/>
  <c r="N7" i="33"/>
  <c r="N23" i="29" s="1"/>
  <c r="M54" i="25"/>
  <c r="N8" i="33"/>
  <c r="N24" i="29" s="1"/>
  <c r="N5" i="34"/>
  <c r="N9" i="33"/>
  <c r="N25" i="29" s="1"/>
  <c r="M6" i="25"/>
  <c r="M17"/>
  <c r="M50" i="29"/>
  <c r="M11" i="25" l="1"/>
  <c r="N17" i="21"/>
  <c r="M76" i="29"/>
  <c r="N58"/>
  <c r="N6" i="21"/>
  <c r="N22" i="29"/>
  <c r="M49"/>
  <c r="E23" i="40"/>
  <c r="E25"/>
  <c r="E24"/>
  <c r="E21"/>
  <c r="M12" i="25"/>
  <c r="M12" i="29"/>
  <c r="N19" i="21"/>
  <c r="N15"/>
  <c r="N16"/>
  <c r="M8" i="25"/>
  <c r="M11" i="48" s="1"/>
  <c r="M13" s="1"/>
  <c r="N18" i="21"/>
  <c r="N14" i="33"/>
  <c r="N10" i="21"/>
  <c r="N7"/>
  <c r="N8"/>
  <c r="N9"/>
  <c r="N5" i="33"/>
  <c r="M13" i="51" l="1"/>
  <c r="M6" i="48"/>
  <c r="M8" i="49"/>
  <c r="M10" s="1"/>
  <c r="N72" i="29"/>
  <c r="O19" i="34"/>
  <c r="N71" i="29"/>
  <c r="O18" i="34"/>
  <c r="N70" i="29"/>
  <c r="O17" i="34"/>
  <c r="N69" i="29"/>
  <c r="O16" i="34"/>
  <c r="N68" i="29"/>
  <c r="O15" i="34"/>
  <c r="N33" i="29"/>
  <c r="O8" i="34"/>
  <c r="N32" i="29"/>
  <c r="O7" i="34"/>
  <c r="N31" i="29"/>
  <c r="O6" i="34"/>
  <c r="N35" i="29"/>
  <c r="O10" i="34"/>
  <c r="N34" i="29"/>
  <c r="O9" i="34"/>
  <c r="M13" i="25"/>
  <c r="M5" i="48" s="1"/>
  <c r="E37" i="40" s="1"/>
  <c r="N55" i="25"/>
  <c r="N18"/>
  <c r="N40" i="29" s="1"/>
  <c r="N48" i="25"/>
  <c r="N66"/>
  <c r="N29"/>
  <c r="N79" i="29" s="1"/>
  <c r="N37" i="25"/>
  <c r="N21" i="29"/>
  <c r="N67" i="25"/>
  <c r="N27"/>
  <c r="N77" i="29" s="1"/>
  <c r="N49" i="25"/>
  <c r="N64"/>
  <c r="N46"/>
  <c r="N50"/>
  <c r="N31"/>
  <c r="N81" i="29" s="1"/>
  <c r="N68" i="25"/>
  <c r="N47"/>
  <c r="N65"/>
  <c r="N14" i="21"/>
  <c r="N15" i="46" s="1"/>
  <c r="N28" i="25"/>
  <c r="N78" i="29" s="1"/>
  <c r="N30" i="25"/>
  <c r="N80" i="29" s="1"/>
  <c r="N22" i="25"/>
  <c r="N44" i="29" s="1"/>
  <c r="N59" i="25"/>
  <c r="N41"/>
  <c r="N56"/>
  <c r="N19"/>
  <c r="N41" i="29" s="1"/>
  <c r="N38" i="25"/>
  <c r="N21"/>
  <c r="N43" i="29" s="1"/>
  <c r="N39" i="25"/>
  <c r="N20"/>
  <c r="N42" i="29" s="1"/>
  <c r="N5" i="21"/>
  <c r="N5" i="46" s="1"/>
  <c r="N57" i="25"/>
  <c r="N40"/>
  <c r="N58"/>
  <c r="M12" i="51" l="1"/>
  <c r="M14" s="1"/>
  <c r="N52" i="29"/>
  <c r="N16"/>
  <c r="N15"/>
  <c r="N30"/>
  <c r="N67"/>
  <c r="N14"/>
  <c r="N17"/>
  <c r="N13"/>
  <c r="N76"/>
  <c r="N39"/>
  <c r="N54"/>
  <c r="N6" i="46"/>
  <c r="N7"/>
  <c r="N8"/>
  <c r="N51" i="29"/>
  <c r="N9" i="46"/>
  <c r="N17"/>
  <c r="N16"/>
  <c r="N53" i="29"/>
  <c r="N14" i="46"/>
  <c r="N13"/>
  <c r="O17" i="33"/>
  <c r="O61" i="29" s="1"/>
  <c r="N7" i="25"/>
  <c r="N45"/>
  <c r="N63"/>
  <c r="O15" i="33"/>
  <c r="O59" i="29" s="1"/>
  <c r="N26" i="25"/>
  <c r="O19" i="33"/>
  <c r="O63" i="29" s="1"/>
  <c r="O14" i="34"/>
  <c r="O16" i="33"/>
  <c r="O60" i="29" s="1"/>
  <c r="O18" i="33"/>
  <c r="O62" i="29" s="1"/>
  <c r="O7" i="33"/>
  <c r="O23" i="29" s="1"/>
  <c r="N54" i="25"/>
  <c r="N36"/>
  <c r="O5" i="34"/>
  <c r="N17" i="25"/>
  <c r="O8" i="33"/>
  <c r="O24" i="29" s="1"/>
  <c r="N6" i="25"/>
  <c r="O6" i="33"/>
  <c r="O22" i="29" s="1"/>
  <c r="O10" i="33"/>
  <c r="O26" i="29" s="1"/>
  <c r="O9" i="33"/>
  <c r="O25" i="29" s="1"/>
  <c r="N50"/>
  <c r="M7" i="48" l="1"/>
  <c r="E39" i="40" s="1"/>
  <c r="E38"/>
  <c r="N11" i="25"/>
  <c r="O17" i="21"/>
  <c r="O58" i="29"/>
  <c r="O21"/>
  <c r="N12" i="25"/>
  <c r="N12" i="29"/>
  <c r="N49"/>
  <c r="O18" i="21"/>
  <c r="P18" i="34" s="1"/>
  <c r="O16" i="21"/>
  <c r="O19"/>
  <c r="O15"/>
  <c r="O14" i="33"/>
  <c r="O8" i="21"/>
  <c r="O7"/>
  <c r="O10"/>
  <c r="N8" i="25"/>
  <c r="N11" i="48" s="1"/>
  <c r="N13" s="1"/>
  <c r="O6" i="21"/>
  <c r="O5" i="33"/>
  <c r="O9" i="21"/>
  <c r="N6" i="48" l="1"/>
  <c r="N8" i="49"/>
  <c r="N10" s="1"/>
  <c r="N13" i="51"/>
  <c r="O68" i="29"/>
  <c r="P15" i="34"/>
  <c r="O72" i="29"/>
  <c r="P19" i="34"/>
  <c r="O70" i="29"/>
  <c r="P17" i="34"/>
  <c r="O69" i="29"/>
  <c r="P16" i="34"/>
  <c r="O33" i="29"/>
  <c r="P8" i="34"/>
  <c r="O34" i="29"/>
  <c r="P9" i="34"/>
  <c r="O31" i="29"/>
  <c r="P6" i="34"/>
  <c r="O35" i="29"/>
  <c r="P10" i="34"/>
  <c r="O32" i="29"/>
  <c r="P7" i="34"/>
  <c r="N13" i="25"/>
  <c r="N5" i="48" s="1"/>
  <c r="O29" i="25"/>
  <c r="O79" i="29" s="1"/>
  <c r="O48" i="25"/>
  <c r="O66"/>
  <c r="O30"/>
  <c r="O80" i="29" s="1"/>
  <c r="O71"/>
  <c r="O49" i="25"/>
  <c r="O67"/>
  <c r="O31"/>
  <c r="O81" i="29" s="1"/>
  <c r="O68" i="25"/>
  <c r="O50"/>
  <c r="O46"/>
  <c r="O65"/>
  <c r="O47"/>
  <c r="O28"/>
  <c r="O78" i="29" s="1"/>
  <c r="O14" i="21"/>
  <c r="O15" i="46" s="1"/>
  <c r="O27" i="25"/>
  <c r="O77" i="29" s="1"/>
  <c r="O64" i="25"/>
  <c r="O39"/>
  <c r="O20"/>
  <c r="O42" i="29" s="1"/>
  <c r="O57" i="25"/>
  <c r="O38"/>
  <c r="O56"/>
  <c r="O19"/>
  <c r="O41" i="29" s="1"/>
  <c r="O55" i="25"/>
  <c r="O37"/>
  <c r="O22"/>
  <c r="O44" i="29" s="1"/>
  <c r="O59" i="25"/>
  <c r="O41"/>
  <c r="O18"/>
  <c r="O40" i="29" s="1"/>
  <c r="O58" i="25"/>
  <c r="O40"/>
  <c r="O5" i="21"/>
  <c r="O5" i="46" s="1"/>
  <c r="O21" i="25"/>
  <c r="O43" i="29" s="1"/>
  <c r="O16" l="1"/>
  <c r="N7" i="48"/>
  <c r="N12" i="51"/>
  <c r="N14" s="1"/>
  <c r="O52" i="29"/>
  <c r="O15"/>
  <c r="O30"/>
  <c r="O13"/>
  <c r="O67"/>
  <c r="O17"/>
  <c r="O53"/>
  <c r="O76"/>
  <c r="O39"/>
  <c r="O14"/>
  <c r="O54"/>
  <c r="O51"/>
  <c r="O13" i="46"/>
  <c r="O6"/>
  <c r="O9"/>
  <c r="O7"/>
  <c r="O8"/>
  <c r="O16"/>
  <c r="O17"/>
  <c r="O14"/>
  <c r="P17" i="33"/>
  <c r="P61" i="29" s="1"/>
  <c r="O45" i="25"/>
  <c r="O63"/>
  <c r="O26"/>
  <c r="O7"/>
  <c r="P18" i="33"/>
  <c r="P62" i="29" s="1"/>
  <c r="P14" i="34"/>
  <c r="P15" i="33"/>
  <c r="P59" i="29" s="1"/>
  <c r="P16" i="33"/>
  <c r="P60" i="29" s="1"/>
  <c r="P19" i="33"/>
  <c r="P63" i="29" s="1"/>
  <c r="P7" i="33"/>
  <c r="P23" i="29" s="1"/>
  <c r="P9" i="33"/>
  <c r="P25" i="29" s="1"/>
  <c r="P6" i="33"/>
  <c r="P22" i="29" s="1"/>
  <c r="O36" i="25"/>
  <c r="O54"/>
  <c r="P5" i="34"/>
  <c r="O17" i="25"/>
  <c r="P10" i="33"/>
  <c r="P26" i="29" s="1"/>
  <c r="O6" i="25"/>
  <c r="P8" i="33"/>
  <c r="P24" i="29" s="1"/>
  <c r="O50"/>
  <c r="O11" i="25" l="1"/>
  <c r="P58" i="29"/>
  <c r="P21"/>
  <c r="O12" i="25"/>
  <c r="O49" i="29"/>
  <c r="O12"/>
  <c r="P17" i="21"/>
  <c r="Q17" i="34" s="1"/>
  <c r="P18" i="21"/>
  <c r="P14" i="33"/>
  <c r="P16" i="21"/>
  <c r="P19"/>
  <c r="P15"/>
  <c r="P7"/>
  <c r="P9"/>
  <c r="P6"/>
  <c r="P10"/>
  <c r="P8"/>
  <c r="O8" i="25"/>
  <c r="O11" i="48" s="1"/>
  <c r="O13" s="1"/>
  <c r="P5" i="33"/>
  <c r="O6" i="48" l="1"/>
  <c r="O8" i="49"/>
  <c r="O10" s="1"/>
  <c r="O13" i="51"/>
  <c r="P68" i="29"/>
  <c r="Q15" i="34"/>
  <c r="P69" i="29"/>
  <c r="Q16" i="34"/>
  <c r="P71" i="29"/>
  <c r="Q18" i="34"/>
  <c r="P72" i="29"/>
  <c r="Q19" i="34"/>
  <c r="P34" i="29"/>
  <c r="Q9" i="34"/>
  <c r="P32" i="29"/>
  <c r="Q7" i="34"/>
  <c r="P33" i="29"/>
  <c r="Q8" i="34"/>
  <c r="P35" i="29"/>
  <c r="Q10" i="34"/>
  <c r="P31" i="29"/>
  <c r="Q6" i="34"/>
  <c r="O13" i="25"/>
  <c r="O5" i="48" s="1"/>
  <c r="P29" i="25"/>
  <c r="P79" i="29" s="1"/>
  <c r="P70"/>
  <c r="P48" i="25"/>
  <c r="P66"/>
  <c r="P67"/>
  <c r="P49"/>
  <c r="P30"/>
  <c r="P80" i="29" s="1"/>
  <c r="P31" i="25"/>
  <c r="P81" i="29" s="1"/>
  <c r="P64" i="25"/>
  <c r="P46"/>
  <c r="P68"/>
  <c r="P47"/>
  <c r="P14" i="21"/>
  <c r="P14" i="46" s="1"/>
  <c r="P65" i="25"/>
  <c r="P28"/>
  <c r="P78" i="29" s="1"/>
  <c r="P27" i="25"/>
  <c r="P77" i="29" s="1"/>
  <c r="P50" i="25"/>
  <c r="P19"/>
  <c r="P41" i="29" s="1"/>
  <c r="P56" i="25"/>
  <c r="P38"/>
  <c r="P20"/>
  <c r="P42" i="29" s="1"/>
  <c r="P57" i="25"/>
  <c r="P59"/>
  <c r="P41"/>
  <c r="P40"/>
  <c r="P58"/>
  <c r="P21"/>
  <c r="P43" i="29" s="1"/>
  <c r="P22" i="25"/>
  <c r="P44" i="29" s="1"/>
  <c r="P39" i="25"/>
  <c r="P55"/>
  <c r="P5" i="21"/>
  <c r="P6" i="46" s="1"/>
  <c r="P18" i="25"/>
  <c r="P40" i="29" s="1"/>
  <c r="P37" i="25"/>
  <c r="P13" i="29" l="1"/>
  <c r="O7" i="48"/>
  <c r="O12" i="51"/>
  <c r="O14" s="1"/>
  <c r="P16" i="29"/>
  <c r="P30"/>
  <c r="P17"/>
  <c r="P14"/>
  <c r="P67"/>
  <c r="P15"/>
  <c r="P52"/>
  <c r="P76"/>
  <c r="P39"/>
  <c r="P8" i="46"/>
  <c r="P5"/>
  <c r="P9"/>
  <c r="P51" i="29"/>
  <c r="P17" i="46"/>
  <c r="P54" i="29"/>
  <c r="P7" i="46"/>
  <c r="P53" i="29"/>
  <c r="P16" i="46"/>
  <c r="P13"/>
  <c r="P15"/>
  <c r="P7" i="25"/>
  <c r="P63"/>
  <c r="Q18" i="33"/>
  <c r="Q62" i="29" s="1"/>
  <c r="Q15" i="33"/>
  <c r="Q59" i="29" s="1"/>
  <c r="P45" i="25"/>
  <c r="Q14" i="34"/>
  <c r="Q17" i="33"/>
  <c r="Q61" i="29" s="1"/>
  <c r="P26" i="25"/>
  <c r="Q16" i="33"/>
  <c r="Q60" i="29" s="1"/>
  <c r="Q19" i="33"/>
  <c r="Q63" i="29" s="1"/>
  <c r="Q7" i="33"/>
  <c r="Q23" i="29" s="1"/>
  <c r="Q10" i="33"/>
  <c r="Q26" i="29" s="1"/>
  <c r="P36" i="25"/>
  <c r="Q9" i="33"/>
  <c r="Q25" i="29" s="1"/>
  <c r="Q6" i="33"/>
  <c r="Q22" i="29" s="1"/>
  <c r="Q5" i="34"/>
  <c r="Q8" i="33"/>
  <c r="Q24" i="29" s="1"/>
  <c r="P6" i="25"/>
  <c r="P54"/>
  <c r="P17"/>
  <c r="P50" i="29"/>
  <c r="P11" i="25" l="1"/>
  <c r="Q58" i="29"/>
  <c r="Q21"/>
  <c r="P12" i="25"/>
  <c r="P12" i="29"/>
  <c r="P49"/>
  <c r="Q15" i="21"/>
  <c r="R15" i="34" s="1"/>
  <c r="Q18" i="21"/>
  <c r="R18" i="34" s="1"/>
  <c r="Q14" i="33"/>
  <c r="Q16" i="21"/>
  <c r="Q17"/>
  <c r="Q19"/>
  <c r="Q7"/>
  <c r="Q6"/>
  <c r="Q10"/>
  <c r="Q9"/>
  <c r="Q5" i="33"/>
  <c r="P8" i="25"/>
  <c r="P11" i="48" s="1"/>
  <c r="P13" s="1"/>
  <c r="Q8" i="21"/>
  <c r="P13" i="51" l="1"/>
  <c r="P6" i="48"/>
  <c r="P8" i="49"/>
  <c r="P10" s="1"/>
  <c r="Q72" i="29"/>
  <c r="R19" i="34"/>
  <c r="Q70" i="29"/>
  <c r="R17" i="34"/>
  <c r="Q69" i="29"/>
  <c r="R16" i="34"/>
  <c r="Q32" i="29"/>
  <c r="R7" i="34"/>
  <c r="Q35" i="29"/>
  <c r="R10" i="34"/>
  <c r="Q33" i="29"/>
  <c r="R8" i="34"/>
  <c r="Q34" i="29"/>
  <c r="R9" i="34"/>
  <c r="Q31" i="29"/>
  <c r="R6" i="34"/>
  <c r="P13" i="25"/>
  <c r="P5" i="48" s="1"/>
  <c r="Q49" i="25"/>
  <c r="Q71" i="29"/>
  <c r="Q46" i="25"/>
  <c r="Q68" i="29"/>
  <c r="Q64" i="25"/>
  <c r="Q67"/>
  <c r="Q27"/>
  <c r="Q77" i="29" s="1"/>
  <c r="Q30" i="25"/>
  <c r="Q80" i="29" s="1"/>
  <c r="Q65" i="25"/>
  <c r="Q28"/>
  <c r="Q78" i="29" s="1"/>
  <c r="Q47" i="25"/>
  <c r="Q50"/>
  <c r="Q31"/>
  <c r="Q68"/>
  <c r="Q14" i="21"/>
  <c r="Q15" i="46" s="1"/>
  <c r="Q29" i="25"/>
  <c r="Q79" i="29" s="1"/>
  <c r="Q48" i="25"/>
  <c r="Q66"/>
  <c r="Q18"/>
  <c r="Q40" i="29" s="1"/>
  <c r="Q41" i="25"/>
  <c r="Q56"/>
  <c r="Q22"/>
  <c r="Q44" i="29" s="1"/>
  <c r="Q59" i="25"/>
  <c r="Q39"/>
  <c r="Q57"/>
  <c r="Q55"/>
  <c r="Q40"/>
  <c r="Q38"/>
  <c r="Q19"/>
  <c r="Q41" i="29" s="1"/>
  <c r="Q21" i="25"/>
  <c r="Q43" i="29" s="1"/>
  <c r="Q58" i="25"/>
  <c r="Q37"/>
  <c r="Q20"/>
  <c r="Q42" i="29" s="1"/>
  <c r="Q5" i="21"/>
  <c r="Q8" i="46" s="1"/>
  <c r="P7" i="48" l="1"/>
  <c r="P12" i="51"/>
  <c r="P14" s="1"/>
  <c r="Q15" i="29"/>
  <c r="Q14"/>
  <c r="Q13"/>
  <c r="Q30"/>
  <c r="Q16"/>
  <c r="Q67"/>
  <c r="Q81"/>
  <c r="Q76" s="1"/>
  <c r="Q39"/>
  <c r="Q17"/>
  <c r="Q7" i="46"/>
  <c r="Q5"/>
  <c r="Q9"/>
  <c r="Q52" i="29"/>
  <c r="Q51"/>
  <c r="Q17" i="46"/>
  <c r="Q6"/>
  <c r="Q53" i="29"/>
  <c r="Q16" i="46"/>
  <c r="Q14"/>
  <c r="Q13"/>
  <c r="R14" i="34"/>
  <c r="Q63" i="25"/>
  <c r="R18" i="33"/>
  <c r="R62" i="29" s="1"/>
  <c r="R17" i="33"/>
  <c r="R61" i="29" s="1"/>
  <c r="Q45" i="25"/>
  <c r="R19" i="33"/>
  <c r="R63" i="29" s="1"/>
  <c r="R16" i="33"/>
  <c r="R60" i="29" s="1"/>
  <c r="Q7" i="25"/>
  <c r="Q26"/>
  <c r="R15" i="33"/>
  <c r="R59" i="29" s="1"/>
  <c r="R9" i="33"/>
  <c r="R25" i="29" s="1"/>
  <c r="Q17" i="25"/>
  <c r="Q54"/>
  <c r="R8" i="33"/>
  <c r="R24" i="29" s="1"/>
  <c r="R7" i="33"/>
  <c r="R23" i="29" s="1"/>
  <c r="R5" i="34"/>
  <c r="R10" i="33"/>
  <c r="R26" i="29" s="1"/>
  <c r="R6" i="33"/>
  <c r="R22" i="29" s="1"/>
  <c r="Q36" i="25"/>
  <c r="Q6"/>
  <c r="Q50" i="29"/>
  <c r="Q12" l="1"/>
  <c r="Q11" i="25"/>
  <c r="R58" i="29"/>
  <c r="Q54"/>
  <c r="Q49" s="1"/>
  <c r="R21"/>
  <c r="Q12" i="25"/>
  <c r="R17" i="21"/>
  <c r="S17" i="34" s="1"/>
  <c r="R16" i="21"/>
  <c r="R18"/>
  <c r="Q8" i="25"/>
  <c r="Q11" i="48" s="1"/>
  <c r="Q13" s="1"/>
  <c r="R19" i="21"/>
  <c r="R15"/>
  <c r="R14" i="33"/>
  <c r="R9" i="21"/>
  <c r="R8"/>
  <c r="R7"/>
  <c r="R10"/>
  <c r="R5" i="33"/>
  <c r="R6" i="21"/>
  <c r="Q13" i="51" l="1"/>
  <c r="Q6" i="48"/>
  <c r="Q8" i="49"/>
  <c r="Q10" s="1"/>
  <c r="R68" i="29"/>
  <c r="S15" i="34"/>
  <c r="R72" i="29"/>
  <c r="S19" i="34"/>
  <c r="R71" i="29"/>
  <c r="S18" i="34"/>
  <c r="R69" i="29"/>
  <c r="S16" i="34"/>
  <c r="R34" i="29"/>
  <c r="S9" i="34"/>
  <c r="R31" i="29"/>
  <c r="S6" i="34"/>
  <c r="R35" i="29"/>
  <c r="S10" i="34"/>
  <c r="R32" i="29"/>
  <c r="S7" i="34"/>
  <c r="R33" i="29"/>
  <c r="S8" i="34"/>
  <c r="Q13" i="25"/>
  <c r="Q5" i="48" s="1"/>
  <c r="R66" i="25"/>
  <c r="R70" i="29"/>
  <c r="R29" i="25"/>
  <c r="R79" i="29" s="1"/>
  <c r="R48" i="25"/>
  <c r="R47"/>
  <c r="R28"/>
  <c r="R65"/>
  <c r="R30"/>
  <c r="R80" i="29" s="1"/>
  <c r="R49" i="25"/>
  <c r="R67"/>
  <c r="R68"/>
  <c r="R50"/>
  <c r="R31"/>
  <c r="R81" i="29" s="1"/>
  <c r="R38" i="25"/>
  <c r="R27"/>
  <c r="R77" i="29" s="1"/>
  <c r="R64" i="25"/>
  <c r="R14" i="21"/>
  <c r="R17" i="46" s="1"/>
  <c r="F33" i="40" s="1"/>
  <c r="R46" i="25"/>
  <c r="R56"/>
  <c r="R22"/>
  <c r="R44" i="29" s="1"/>
  <c r="R19" i="25"/>
  <c r="R41" i="29" s="1"/>
  <c r="R58" i="25"/>
  <c r="R40"/>
  <c r="R21"/>
  <c r="R43" i="29" s="1"/>
  <c r="R41" i="25"/>
  <c r="R37"/>
  <c r="R59"/>
  <c r="R57"/>
  <c r="R39"/>
  <c r="R20"/>
  <c r="R42" i="29" s="1"/>
  <c r="R15" s="1"/>
  <c r="R18" i="25"/>
  <c r="R40" i="29" s="1"/>
  <c r="R55" i="25"/>
  <c r="R5" i="21"/>
  <c r="R9" i="46" s="1"/>
  <c r="R16" i="29" l="1"/>
  <c r="Q7" i="48"/>
  <c r="Q12" i="51"/>
  <c r="Q14" s="1"/>
  <c r="R13" i="29"/>
  <c r="R67"/>
  <c r="R30"/>
  <c r="R17"/>
  <c r="R14"/>
  <c r="R78"/>
  <c r="R51" s="1"/>
  <c r="R39"/>
  <c r="R52"/>
  <c r="F25" i="40"/>
  <c r="R54" i="29"/>
  <c r="R7" i="46"/>
  <c r="R6"/>
  <c r="R5"/>
  <c r="R13"/>
  <c r="F29" i="40" s="1"/>
  <c r="R8" i="46"/>
  <c r="R14"/>
  <c r="F30" i="40" s="1"/>
  <c r="R16" i="46"/>
  <c r="F32" i="40" s="1"/>
  <c r="R15" i="46"/>
  <c r="F31" i="40" s="1"/>
  <c r="R53" i="29"/>
  <c r="S17" i="33"/>
  <c r="S61" i="29" s="1"/>
  <c r="R45" i="25"/>
  <c r="R63"/>
  <c r="S18" i="33"/>
  <c r="S62" i="29" s="1"/>
  <c r="S16" i="33"/>
  <c r="S60" i="29" s="1"/>
  <c r="R26" i="25"/>
  <c r="S15" i="33"/>
  <c r="S59" i="29" s="1"/>
  <c r="S19" i="33"/>
  <c r="S63" i="29" s="1"/>
  <c r="S14" i="34"/>
  <c r="R7" i="25"/>
  <c r="S10" i="33"/>
  <c r="S26" i="29" s="1"/>
  <c r="R17" i="25"/>
  <c r="R36"/>
  <c r="R6"/>
  <c r="R54"/>
  <c r="S5" i="34"/>
  <c r="S7" i="33"/>
  <c r="S23" i="29" s="1"/>
  <c r="S9" i="33"/>
  <c r="S25" i="29" s="1"/>
  <c r="S8" i="33"/>
  <c r="S24" i="29" s="1"/>
  <c r="S6" i="33"/>
  <c r="S22" i="29" s="1"/>
  <c r="R11" i="25" l="1"/>
  <c r="S58" i="29"/>
  <c r="R76"/>
  <c r="S21"/>
  <c r="F24" i="40"/>
  <c r="F21"/>
  <c r="F22"/>
  <c r="R12" i="29"/>
  <c r="F23" i="40"/>
  <c r="R12" i="25"/>
  <c r="S19" i="21"/>
  <c r="T19" i="34" s="1"/>
  <c r="S15" i="21"/>
  <c r="T15" i="34" s="1"/>
  <c r="S18" i="21"/>
  <c r="S17"/>
  <c r="S14" i="33"/>
  <c r="S16" i="21"/>
  <c r="R50" i="29"/>
  <c r="R49" s="1"/>
  <c r="R8" i="25"/>
  <c r="R11" i="48" s="1"/>
  <c r="R13" s="1"/>
  <c r="S7" i="21"/>
  <c r="S10"/>
  <c r="S9"/>
  <c r="S6"/>
  <c r="S5" i="33"/>
  <c r="S8" i="21"/>
  <c r="R6" i="48" l="1"/>
  <c r="R8" i="49"/>
  <c r="R10" s="1"/>
  <c r="R13" i="51"/>
  <c r="S71" i="29"/>
  <c r="T18" i="34"/>
  <c r="S69" i="29"/>
  <c r="T16" i="34"/>
  <c r="S70" i="29"/>
  <c r="T17" i="34"/>
  <c r="S34" i="29"/>
  <c r="T9" i="34"/>
  <c r="S35" i="29"/>
  <c r="T10" i="34"/>
  <c r="S32" i="29"/>
  <c r="T7" i="34"/>
  <c r="S33" i="29"/>
  <c r="T8" i="34"/>
  <c r="S31" i="29"/>
  <c r="T6" i="34"/>
  <c r="R13" i="25"/>
  <c r="R5" i="48" s="1"/>
  <c r="F37" i="40" s="1"/>
  <c r="S27" i="25"/>
  <c r="S77" i="29" s="1"/>
  <c r="S68"/>
  <c r="S31" i="25"/>
  <c r="S81" i="29" s="1"/>
  <c r="S72"/>
  <c r="S68" i="25"/>
  <c r="S50"/>
  <c r="S64"/>
  <c r="S28"/>
  <c r="S78" i="29" s="1"/>
  <c r="S46" i="25"/>
  <c r="S49"/>
  <c r="S66"/>
  <c r="S29"/>
  <c r="S79" i="29" s="1"/>
  <c r="S67" i="25"/>
  <c r="S48"/>
  <c r="S30"/>
  <c r="S80" i="29" s="1"/>
  <c r="S14" i="21"/>
  <c r="S15" i="46" s="1"/>
  <c r="S65" i="25"/>
  <c r="S47"/>
  <c r="S38"/>
  <c r="S40"/>
  <c r="S58"/>
  <c r="S21"/>
  <c r="S43" i="29" s="1"/>
  <c r="S19" i="25"/>
  <c r="S41" i="29" s="1"/>
  <c r="S56" i="25"/>
  <c r="S41"/>
  <c r="S59"/>
  <c r="S22"/>
  <c r="S44" i="29" s="1"/>
  <c r="S37" i="25"/>
  <c r="S39"/>
  <c r="S18"/>
  <c r="S40" i="29" s="1"/>
  <c r="S55" i="25"/>
  <c r="S20"/>
  <c r="S42" i="29" s="1"/>
  <c r="S57" i="25"/>
  <c r="S5" i="21"/>
  <c r="S5" i="46" s="1"/>
  <c r="R12" i="51" l="1"/>
  <c r="R14" s="1"/>
  <c r="S17" i="29"/>
  <c r="S14"/>
  <c r="S16"/>
  <c r="S30"/>
  <c r="S13"/>
  <c r="S15"/>
  <c r="S54"/>
  <c r="S50"/>
  <c r="S67"/>
  <c r="S76"/>
  <c r="S39"/>
  <c r="S52"/>
  <c r="S7" i="46"/>
  <c r="T15" i="33"/>
  <c r="T59" i="29" s="1"/>
  <c r="S9" i="46"/>
  <c r="S6"/>
  <c r="S8"/>
  <c r="S14"/>
  <c r="S13"/>
  <c r="S16"/>
  <c r="S17"/>
  <c r="T14" i="34"/>
  <c r="T17" i="33"/>
  <c r="T61" i="29" s="1"/>
  <c r="T18" i="33"/>
  <c r="T62" i="29" s="1"/>
  <c r="T16" i="33"/>
  <c r="T60" i="29" s="1"/>
  <c r="S7" i="25"/>
  <c r="T19" i="33"/>
  <c r="T63" i="29" s="1"/>
  <c r="S51"/>
  <c r="S63" i="25"/>
  <c r="S53" i="29"/>
  <c r="S45" i="25"/>
  <c r="S26"/>
  <c r="T9" i="33"/>
  <c r="T25" i="29" s="1"/>
  <c r="S36" i="25"/>
  <c r="T7" i="33"/>
  <c r="T23" i="29" s="1"/>
  <c r="T8" i="33"/>
  <c r="T24" i="29" s="1"/>
  <c r="S6" i="25"/>
  <c r="T10" i="33"/>
  <c r="T26" i="29" s="1"/>
  <c r="T5" i="34"/>
  <c r="S54" i="25"/>
  <c r="T6" i="33"/>
  <c r="T22" i="29" s="1"/>
  <c r="S17" i="25"/>
  <c r="R7" i="48" l="1"/>
  <c r="F39" i="40" s="1"/>
  <c r="F38"/>
  <c r="S11" i="25"/>
  <c r="T15" i="21"/>
  <c r="T58" i="29"/>
  <c r="T21"/>
  <c r="T18" i="21"/>
  <c r="S12" i="25"/>
  <c r="S12" i="29"/>
  <c r="T17" i="21"/>
  <c r="U17" i="34" s="1"/>
  <c r="T16" i="21"/>
  <c r="U16" i="34" s="1"/>
  <c r="S49" i="29"/>
  <c r="T19" i="21"/>
  <c r="S8" i="25"/>
  <c r="S11" i="48" s="1"/>
  <c r="S13" s="1"/>
  <c r="T14" i="33"/>
  <c r="T9" i="21"/>
  <c r="T10"/>
  <c r="T8"/>
  <c r="T7"/>
  <c r="T5" i="33"/>
  <c r="T6" i="21"/>
  <c r="S8" i="49" l="1"/>
  <c r="S10" s="1"/>
  <c r="S6" i="48"/>
  <c r="S13" i="51"/>
  <c r="T30" i="25"/>
  <c r="T80" i="29" s="1"/>
  <c r="U18" i="34"/>
  <c r="T72" i="29"/>
  <c r="U19" i="34"/>
  <c r="T68" i="29"/>
  <c r="U15" i="34"/>
  <c r="T31" i="29"/>
  <c r="U6" i="34"/>
  <c r="T32" i="29"/>
  <c r="U7" i="34"/>
  <c r="T33" i="29"/>
  <c r="U8" i="34"/>
  <c r="T35" i="29"/>
  <c r="U10" i="34"/>
  <c r="T34" i="29"/>
  <c r="U9" i="34"/>
  <c r="T64" i="25"/>
  <c r="T46"/>
  <c r="T27"/>
  <c r="T77" i="29" s="1"/>
  <c r="T29" i="25"/>
  <c r="T79" i="29" s="1"/>
  <c r="T70"/>
  <c r="T69"/>
  <c r="T49" i="25"/>
  <c r="T71" i="29"/>
  <c r="T67" i="25"/>
  <c r="S13"/>
  <c r="S5" i="48" s="1"/>
  <c r="T66" i="25"/>
  <c r="T47"/>
  <c r="T14" i="21"/>
  <c r="T17" i="46" s="1"/>
  <c r="T48" i="25"/>
  <c r="T68"/>
  <c r="T50"/>
  <c r="T65"/>
  <c r="T31"/>
  <c r="T81" i="29" s="1"/>
  <c r="T28" i="25"/>
  <c r="T78" i="29" s="1"/>
  <c r="T41" i="25"/>
  <c r="T22"/>
  <c r="T44" i="29" s="1"/>
  <c r="T19" i="25"/>
  <c r="T41" i="29" s="1"/>
  <c r="T56" i="25"/>
  <c r="T57"/>
  <c r="T40"/>
  <c r="T59"/>
  <c r="T58"/>
  <c r="T37"/>
  <c r="T21"/>
  <c r="T43" i="29" s="1"/>
  <c r="T20" i="25"/>
  <c r="T42" i="29" s="1"/>
  <c r="T5" i="21"/>
  <c r="T7" i="46" s="1"/>
  <c r="T38" i="25"/>
  <c r="T39"/>
  <c r="T55"/>
  <c r="T18"/>
  <c r="T40" i="29" s="1"/>
  <c r="S7" i="48" l="1"/>
  <c r="S12" i="51"/>
  <c r="S14" s="1"/>
  <c r="T14" i="29"/>
  <c r="T53"/>
  <c r="T16"/>
  <c r="T17"/>
  <c r="T30"/>
  <c r="T15"/>
  <c r="T52"/>
  <c r="U18" i="33"/>
  <c r="U62" i="29" s="1"/>
  <c r="T76"/>
  <c r="T67"/>
  <c r="T39"/>
  <c r="T13"/>
  <c r="T63" i="25"/>
  <c r="T12" s="1"/>
  <c r="T14" i="46"/>
  <c r="T16"/>
  <c r="T5"/>
  <c r="T15"/>
  <c r="T13"/>
  <c r="U17" i="33"/>
  <c r="U61" i="29" s="1"/>
  <c r="T51"/>
  <c r="T54"/>
  <c r="T6" i="46"/>
  <c r="T9"/>
  <c r="T8"/>
  <c r="T45" i="25"/>
  <c r="U16" i="33"/>
  <c r="U60" i="29" s="1"/>
  <c r="U15" i="33"/>
  <c r="U19"/>
  <c r="U63" i="29" s="1"/>
  <c r="T26" i="25"/>
  <c r="U14" i="34"/>
  <c r="T7" i="25"/>
  <c r="U7" i="33"/>
  <c r="U23" i="29" s="1"/>
  <c r="U10" i="33"/>
  <c r="U26" i="29" s="1"/>
  <c r="T36" i="25"/>
  <c r="T54"/>
  <c r="U6" i="33"/>
  <c r="U22" i="29" s="1"/>
  <c r="U8" i="33"/>
  <c r="U24" i="29" s="1"/>
  <c r="U5" i="34"/>
  <c r="U9" i="33"/>
  <c r="U25" i="29" s="1"/>
  <c r="T6" i="25"/>
  <c r="T17"/>
  <c r="T50" i="29"/>
  <c r="T11" i="25" l="1"/>
  <c r="T13" s="1"/>
  <c r="T5" i="48" s="1"/>
  <c r="U18" i="21"/>
  <c r="U15"/>
  <c r="U59" i="29"/>
  <c r="U58" s="1"/>
  <c r="U21"/>
  <c r="U19" i="21"/>
  <c r="T12" i="29"/>
  <c r="U16" i="21"/>
  <c r="U17"/>
  <c r="V17" i="34" s="1"/>
  <c r="T49" i="29"/>
  <c r="U14" i="33"/>
  <c r="U7" i="21"/>
  <c r="U10"/>
  <c r="U8"/>
  <c r="U6"/>
  <c r="U5" i="33"/>
  <c r="U9" i="21"/>
  <c r="T8" i="25"/>
  <c r="T11" i="48" s="1"/>
  <c r="T13" s="1"/>
  <c r="T8" i="49" l="1"/>
  <c r="T10" s="1"/>
  <c r="T6" i="48"/>
  <c r="T13" i="51"/>
  <c r="U68" i="29"/>
  <c r="V15" i="34"/>
  <c r="U71" i="29"/>
  <c r="V18" i="34"/>
  <c r="U69" i="29"/>
  <c r="V16" i="34"/>
  <c r="U68" i="25"/>
  <c r="V19" i="34"/>
  <c r="U35" i="29"/>
  <c r="V10" i="34"/>
  <c r="U32" i="29"/>
  <c r="V7" i="34"/>
  <c r="U34" i="29"/>
  <c r="V9" i="34"/>
  <c r="U31" i="29"/>
  <c r="V6" i="34"/>
  <c r="U33" i="29"/>
  <c r="V8" i="34"/>
  <c r="U30" i="25"/>
  <c r="U80" i="29" s="1"/>
  <c r="U53" s="1"/>
  <c r="U67" i="25"/>
  <c r="U49"/>
  <c r="U48"/>
  <c r="U70" i="29"/>
  <c r="U46" i="25"/>
  <c r="U64"/>
  <c r="U27"/>
  <c r="U77" i="29" s="1"/>
  <c r="U50" i="25"/>
  <c r="U72" i="29"/>
  <c r="U29" i="25"/>
  <c r="U79" i="29" s="1"/>
  <c r="U31" i="25"/>
  <c r="U28"/>
  <c r="U14" i="21"/>
  <c r="U13" i="46" s="1"/>
  <c r="U66" i="25"/>
  <c r="U47"/>
  <c r="U65"/>
  <c r="U59"/>
  <c r="U41"/>
  <c r="U22"/>
  <c r="U44" i="29" s="1"/>
  <c r="U39" i="25"/>
  <c r="U56"/>
  <c r="U58"/>
  <c r="U18"/>
  <c r="U40" i="29" s="1"/>
  <c r="U40" i="25"/>
  <c r="U38"/>
  <c r="U19"/>
  <c r="U41" i="29" s="1"/>
  <c r="U57" i="25"/>
  <c r="U20"/>
  <c r="U42" i="29" s="1"/>
  <c r="U5" i="21"/>
  <c r="U8" i="46" s="1"/>
  <c r="U55" i="25"/>
  <c r="U21"/>
  <c r="U43" i="29" s="1"/>
  <c r="U37" i="25"/>
  <c r="U50" i="29" l="1"/>
  <c r="T7" i="48"/>
  <c r="T12" i="51"/>
  <c r="T14" s="1"/>
  <c r="U16" i="29"/>
  <c r="U30"/>
  <c r="U14"/>
  <c r="U15"/>
  <c r="U17"/>
  <c r="U67"/>
  <c r="U45" i="25"/>
  <c r="U81" i="29"/>
  <c r="U54" s="1"/>
  <c r="U78"/>
  <c r="U39"/>
  <c r="U13"/>
  <c r="U63" i="25"/>
  <c r="U12" s="1"/>
  <c r="V14" i="34"/>
  <c r="U52" i="29"/>
  <c r="U15" i="46"/>
  <c r="U14"/>
  <c r="U16"/>
  <c r="U17"/>
  <c r="V17" i="33"/>
  <c r="V61" i="29" s="1"/>
  <c r="U26" i="25"/>
  <c r="U7"/>
  <c r="V16" i="33"/>
  <c r="V60" i="29" s="1"/>
  <c r="V19" i="33"/>
  <c r="V63" i="29" s="1"/>
  <c r="V18" i="33"/>
  <c r="V62" i="29" s="1"/>
  <c r="V15" i="33"/>
  <c r="V59" i="29" s="1"/>
  <c r="U6" i="46"/>
  <c r="U5"/>
  <c r="U7"/>
  <c r="U9"/>
  <c r="U36" i="25"/>
  <c r="U54"/>
  <c r="U17"/>
  <c r="V9" i="33"/>
  <c r="V25" i="29" s="1"/>
  <c r="V10" i="33"/>
  <c r="V26" i="29" s="1"/>
  <c r="V5" i="34"/>
  <c r="V6" i="33"/>
  <c r="V22" i="29" s="1"/>
  <c r="V7" i="33"/>
  <c r="V23" i="29" s="1"/>
  <c r="U6" i="25"/>
  <c r="V8" i="33"/>
  <c r="V24" i="29" s="1"/>
  <c r="U11" i="25" l="1"/>
  <c r="U13" s="1"/>
  <c r="U5" i="48" s="1"/>
  <c r="U76" i="29"/>
  <c r="V58"/>
  <c r="U51"/>
  <c r="U49" s="1"/>
  <c r="V21"/>
  <c r="V17" i="21"/>
  <c r="V18"/>
  <c r="V19"/>
  <c r="W19" i="34" s="1"/>
  <c r="V15" i="21"/>
  <c r="W15" i="34" s="1"/>
  <c r="U12" i="29"/>
  <c r="U8" i="25"/>
  <c r="U11" i="48" s="1"/>
  <c r="U13" s="1"/>
  <c r="V14" i="33"/>
  <c r="V16" i="21"/>
  <c r="W16" i="34" s="1"/>
  <c r="V6" i="21"/>
  <c r="V9"/>
  <c r="V10"/>
  <c r="V8"/>
  <c r="V5" i="33"/>
  <c r="V7" i="21"/>
  <c r="U6" i="48" l="1"/>
  <c r="U8" i="49"/>
  <c r="U10" s="1"/>
  <c r="U13" i="51"/>
  <c r="V71" i="29"/>
  <c r="W18" i="34"/>
  <c r="V70" i="29"/>
  <c r="W17" i="34"/>
  <c r="V33" i="29"/>
  <c r="W8" i="34"/>
  <c r="V34" i="29"/>
  <c r="W9" i="34"/>
  <c r="V32" i="29"/>
  <c r="W7" i="34"/>
  <c r="V35" i="29"/>
  <c r="W10" i="34"/>
  <c r="V31" i="29"/>
  <c r="W6" i="34"/>
  <c r="V29" i="25"/>
  <c r="V79" i="29" s="1"/>
  <c r="V48" i="25"/>
  <c r="V66"/>
  <c r="V68"/>
  <c r="V64"/>
  <c r="V68" i="29"/>
  <c r="V31" i="25"/>
  <c r="V81" i="29" s="1"/>
  <c r="V72"/>
  <c r="V67" i="25"/>
  <c r="V47"/>
  <c r="V69" i="29"/>
  <c r="V49" i="25"/>
  <c r="V50"/>
  <c r="V30"/>
  <c r="V80" i="29" s="1"/>
  <c r="V27" i="25"/>
  <c r="V77" i="29" s="1"/>
  <c r="V46" i="25"/>
  <c r="V14" i="21"/>
  <c r="V13" i="46" s="1"/>
  <c r="V28" i="25"/>
  <c r="V78" i="29" s="1"/>
  <c r="V65" i="25"/>
  <c r="V57"/>
  <c r="V40"/>
  <c r="V21"/>
  <c r="V43" i="29" s="1"/>
  <c r="V37" i="25"/>
  <c r="V56"/>
  <c r="V55"/>
  <c r="V18"/>
  <c r="V40" i="29" s="1"/>
  <c r="V58" i="25"/>
  <c r="V41"/>
  <c r="V19"/>
  <c r="V41" i="29" s="1"/>
  <c r="V59" i="25"/>
  <c r="V38"/>
  <c r="V5" i="21"/>
  <c r="V8" i="46" s="1"/>
  <c r="V20" i="25"/>
  <c r="V42" i="29" s="1"/>
  <c r="V22" i="25"/>
  <c r="V44" i="29" s="1"/>
  <c r="V39" i="25"/>
  <c r="V16" i="29" l="1"/>
  <c r="U7" i="48"/>
  <c r="U12" i="51"/>
  <c r="U14" s="1"/>
  <c r="V53" i="29"/>
  <c r="V14"/>
  <c r="V15"/>
  <c r="V30"/>
  <c r="V52"/>
  <c r="V17"/>
  <c r="W16" i="33"/>
  <c r="W60" i="29" s="1"/>
  <c r="V54"/>
  <c r="W14" i="34"/>
  <c r="V45" i="25"/>
  <c r="V67" i="29"/>
  <c r="V76"/>
  <c r="V63" i="25"/>
  <c r="V12" s="1"/>
  <c r="W19" i="33"/>
  <c r="W63" i="29" s="1"/>
  <c r="W15" i="33"/>
  <c r="W59" i="29" s="1"/>
  <c r="W17" i="33"/>
  <c r="W61" i="29" s="1"/>
  <c r="W18" i="33"/>
  <c r="W62" i="29" s="1"/>
  <c r="V26" i="25"/>
  <c r="V51" i="29"/>
  <c r="V39"/>
  <c r="V13"/>
  <c r="V17" i="46"/>
  <c r="V15"/>
  <c r="V7" i="25"/>
  <c r="V16" i="46"/>
  <c r="V14"/>
  <c r="V7"/>
  <c r="V6"/>
  <c r="V5"/>
  <c r="V9"/>
  <c r="V54" i="25"/>
  <c r="V36"/>
  <c r="W5" i="34"/>
  <c r="W9" i="33"/>
  <c r="W25" i="29" s="1"/>
  <c r="W7" i="33"/>
  <c r="W23" i="29" s="1"/>
  <c r="V6" i="25"/>
  <c r="V17"/>
  <c r="W10" i="33"/>
  <c r="W26" i="29" s="1"/>
  <c r="W6" i="33"/>
  <c r="W22" i="29" s="1"/>
  <c r="W8" i="33"/>
  <c r="W24" i="29" s="1"/>
  <c r="V50"/>
  <c r="W18" i="21" l="1"/>
  <c r="W71" i="29" s="1"/>
  <c r="V11" i="25"/>
  <c r="V13" s="1"/>
  <c r="V5" i="48" s="1"/>
  <c r="W16" i="21"/>
  <c r="W69" i="29" s="1"/>
  <c r="V49"/>
  <c r="W58"/>
  <c r="W19" i="21"/>
  <c r="W72" i="29" s="1"/>
  <c r="W15" i="21"/>
  <c r="W68" i="29" s="1"/>
  <c r="W14" i="33"/>
  <c r="W17" i="21"/>
  <c r="W70" i="29" s="1"/>
  <c r="W21"/>
  <c r="W7" i="21"/>
  <c r="W32" i="29" s="1"/>
  <c r="V12"/>
  <c r="V8" i="25"/>
  <c r="V11" i="48" s="1"/>
  <c r="V13" s="1"/>
  <c r="W9" i="21"/>
  <c r="W34" i="29" s="1"/>
  <c r="W10" i="21"/>
  <c r="W35" i="29" s="1"/>
  <c r="W5" i="33"/>
  <c r="W8" i="21"/>
  <c r="W33" i="29" s="1"/>
  <c r="W6" i="21"/>
  <c r="W31" i="29" s="1"/>
  <c r="V6" i="48" l="1"/>
  <c r="V8" i="49"/>
  <c r="V10" s="1"/>
  <c r="V13" i="51"/>
  <c r="W30" i="25"/>
  <c r="W80" i="29" s="1"/>
  <c r="W53" s="1"/>
  <c r="W49" i="25"/>
  <c r="W67"/>
  <c r="W28"/>
  <c r="W78" i="29" s="1"/>
  <c r="W51" s="1"/>
  <c r="W67"/>
  <c r="W47" i="25"/>
  <c r="W65"/>
  <c r="W46"/>
  <c r="W50"/>
  <c r="W48"/>
  <c r="W29"/>
  <c r="W79" i="29" s="1"/>
  <c r="W52" s="1"/>
  <c r="W68" i="25"/>
  <c r="W31"/>
  <c r="W81" i="29" s="1"/>
  <c r="W54" s="1"/>
  <c r="W14" i="21"/>
  <c r="W14" i="46" s="1"/>
  <c r="G30" i="40" s="1"/>
  <c r="W66" i="25"/>
  <c r="W27"/>
  <c r="W77" i="29" s="1"/>
  <c r="W64" i="25"/>
  <c r="W30" i="29"/>
  <c r="W59" i="25"/>
  <c r="W19"/>
  <c r="W41" i="29" s="1"/>
  <c r="W38" i="25"/>
  <c r="W56"/>
  <c r="W40"/>
  <c r="W21"/>
  <c r="W43" i="29" s="1"/>
  <c r="W16" s="1"/>
  <c r="W57" i="25"/>
  <c r="W39"/>
  <c r="W20"/>
  <c r="W42" i="29" s="1"/>
  <c r="W15" s="1"/>
  <c r="W41" i="25"/>
  <c r="W58"/>
  <c r="W18"/>
  <c r="W40" i="29" s="1"/>
  <c r="W13" s="1"/>
  <c r="W55" i="25"/>
  <c r="W5" i="21"/>
  <c r="W6" i="46" s="1"/>
  <c r="W22" i="25"/>
  <c r="W44" i="29" s="1"/>
  <c r="W17" s="1"/>
  <c r="W37" i="25"/>
  <c r="V7" i="48" l="1"/>
  <c r="V12" i="51"/>
  <c r="V14" s="1"/>
  <c r="W63" i="25"/>
  <c r="W12" s="1"/>
  <c r="W45"/>
  <c r="W76" i="29"/>
  <c r="W16" i="46"/>
  <c r="G32" i="40" s="1"/>
  <c r="W15" i="46"/>
  <c r="G31" i="40" s="1"/>
  <c r="E14"/>
  <c r="W26" i="25"/>
  <c r="W7"/>
  <c r="W17" i="46"/>
  <c r="G33" i="40" s="1"/>
  <c r="W50" i="29"/>
  <c r="W49" s="1"/>
  <c r="W13" i="46"/>
  <c r="G29" i="40" s="1"/>
  <c r="W39" i="29"/>
  <c r="W14"/>
  <c r="D14" i="40"/>
  <c r="G22"/>
  <c r="W9" i="46"/>
  <c r="W8"/>
  <c r="W5"/>
  <c r="W7"/>
  <c r="W17" i="25"/>
  <c r="W54"/>
  <c r="W6"/>
  <c r="W36"/>
  <c r="B6" i="29" l="1"/>
  <c r="E16" i="40"/>
  <c r="E15"/>
  <c r="W11" i="25"/>
  <c r="W13" s="1"/>
  <c r="W5" i="48" s="1"/>
  <c r="G37" i="40" s="1"/>
  <c r="F14"/>
  <c r="E17"/>
  <c r="E13"/>
  <c r="G25"/>
  <c r="D17"/>
  <c r="D16"/>
  <c r="G24"/>
  <c r="G21"/>
  <c r="D13"/>
  <c r="D15"/>
  <c r="G23"/>
  <c r="W12" i="29"/>
  <c r="B5" s="1"/>
  <c r="W8" i="25"/>
  <c r="W11" i="48" s="1"/>
  <c r="W13" s="1"/>
  <c r="W6" l="1"/>
  <c r="W8" i="49"/>
  <c r="W10" s="1"/>
  <c r="W13" i="51"/>
  <c r="F16" i="40"/>
  <c r="F15"/>
  <c r="B7" i="29"/>
  <c r="F13" i="40"/>
  <c r="F17"/>
  <c r="B5" i="51" l="1"/>
  <c r="C43" i="40"/>
  <c r="C7" i="29"/>
  <c r="W7" i="48" l="1"/>
  <c r="G39" i="40" s="1"/>
  <c r="G38"/>
  <c r="W12" i="51"/>
  <c r="W14" s="1"/>
  <c r="B7" s="1"/>
  <c r="C45" i="40" s="1"/>
  <c r="B4" i="49"/>
  <c r="B6" i="51" l="1"/>
  <c r="C44" i="40"/>
</calcChain>
</file>

<file path=xl/sharedStrings.xml><?xml version="1.0" encoding="utf-8"?>
<sst xmlns="http://schemas.openxmlformats.org/spreadsheetml/2006/main" count="247" uniqueCount="172">
  <si>
    <t>Water Heat Ending</t>
  </si>
  <si>
    <t>Existing Market Segment Code</t>
  </si>
  <si>
    <t>2015 Baseline Existing SH</t>
  </si>
  <si>
    <t>2015 Baseline Existing WH</t>
  </si>
  <si>
    <t>Retro WH</t>
  </si>
  <si>
    <t>Water heater size (gals)</t>
  </si>
  <si>
    <t>Dwelling Type</t>
  </si>
  <si>
    <t>Gas FAF</t>
  </si>
  <si>
    <t>Electric Resistance</t>
  </si>
  <si>
    <t>X&lt;=55</t>
  </si>
  <si>
    <t>SF</t>
  </si>
  <si>
    <t>HPWH</t>
  </si>
  <si>
    <t>Gas Tank</t>
  </si>
  <si>
    <t>Instant Gas</t>
  </si>
  <si>
    <t>Condensing Gas</t>
  </si>
  <si>
    <t>State</t>
  </si>
  <si>
    <t>Energy (mmBtu/ device/Yr)</t>
  </si>
  <si>
    <t>Electric Technology</t>
  </si>
  <si>
    <t>Electric</t>
  </si>
  <si>
    <t>Natural Gas</t>
  </si>
  <si>
    <t>WH Capital Cost (2012$/ device)</t>
  </si>
  <si>
    <t>WH O&amp;M Cost (2012$/ device/Yr)</t>
  </si>
  <si>
    <t>Basement</t>
  </si>
  <si>
    <t>Gas Availability</t>
  </si>
  <si>
    <t>Yes</t>
  </si>
  <si>
    <t>Existing</t>
  </si>
  <si>
    <t>Segments of Interest in ENERGY 2020 Study of Direct Use of Natural Gas</t>
  </si>
  <si>
    <t>and return of principal and on investment (including risk premiums and inflation: 1+ROIN+DRISK+INSM).</t>
  </si>
  <si>
    <t>Note:  Capital charge rate is defined as the annualization of device capital expenses over the life of the device, accounting for taxes, tax credits,</t>
  </si>
  <si>
    <t>Source:  "NPCC_SF_Tables_2013-08-30 with data on market share and electricity and natural gas retail prices.xlsx" from M. Jourabchi.</t>
  </si>
  <si>
    <t>Levelized Costs (2012$/Device/Yr)</t>
  </si>
  <si>
    <t>Negative values indicate resistance to a specified technology independent of price.</t>
  </si>
  <si>
    <t>Positive values indicate a propensity toward purchasing the given device independent of price considerations.</t>
  </si>
  <si>
    <t>Assumptions:</t>
  </si>
  <si>
    <t>a. Heat pump water heaters (HPWH) &lt;=55 gallons - strong market resistance exists in 2012 that lessens in the future</t>
  </si>
  <si>
    <t>c. Instant gas (tankless gas) &lt;=55 gallons - strong market resistance in 2012 that lessens in the future</t>
  </si>
  <si>
    <t>d. Condensing gas water heaters &lt;=55 gallons - strong market resistance in 2012 that lessens in the future</t>
  </si>
  <si>
    <t>Note:  Non-price factors are parameters in the market share equation representing the impact of non-price factors on market share of a given technology.</t>
  </si>
  <si>
    <t>Annual Fuel Costs (2012$/Device/Yr)</t>
  </si>
  <si>
    <t>Input</t>
  </si>
  <si>
    <t>Description</t>
  </si>
  <si>
    <t>b. Gas tank water heaters &lt;=55 gallons - slight market resistance in 2012 that lessens in the future</t>
  </si>
  <si>
    <t>Variance factor - BAU forecast</t>
  </si>
  <si>
    <t>BAU Case</t>
  </si>
  <si>
    <r>
      <t>Marginal Allocation Weights ($/$) -</t>
    </r>
    <r>
      <rPr>
        <b/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</si>
  <si>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Total Allocation Weight ($/$) - </t>
    </r>
    <r>
      <rPr>
        <b/>
        <sz val="12"/>
        <color rgb="FFC00000"/>
        <rFont val="Calibri"/>
        <family val="2"/>
        <scheme val="minor"/>
      </rPr>
      <t>BAU Case</t>
    </r>
  </si>
  <si>
    <t>Device lifetime</t>
  </si>
  <si>
    <r>
      <t xml:space="preserve">Water Heating Energy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</si>
  <si>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Total</t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</si>
  <si>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</si>
  <si>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BAU Case</t>
    </r>
  </si>
  <si>
    <t>Water Heating Energy Usage by Fuel and Scenario</t>
  </si>
  <si>
    <t>Discount rate (4% after-tax per M. Jourabchi)</t>
  </si>
  <si>
    <t>Source</t>
  </si>
  <si>
    <t>Source:  Technology usage and cost assumptions from:  "RevisedDUG_HVACDWH_CostUseData_090611.xlsx"</t>
  </si>
  <si>
    <t>2013$</t>
  </si>
  <si>
    <t>2011$</t>
  </si>
  <si>
    <t>2008$</t>
  </si>
  <si>
    <t>Source:  Per M. Jourabchi email (9-19-14) - FROM RTF Workbook: Res_HPWH_v1_3.xlsm, Tab: CostData, 50gal, 0.92EF, added estimated $200 for installation - (2008$)</t>
  </si>
  <si>
    <t>Source: Per M. Jourabchi email (9-19-14) - FROM RTF Workbook: Res_HPWH_v1_3.xlsm, Tab: CostData, Tier 1 50gal, added $200 for baseline installation - (2011$)</t>
  </si>
  <si>
    <t>Source:  Per M. Jourabchi email (9-19-14) - From ETO CPA (2013$)</t>
  </si>
  <si>
    <t>2006$</t>
  </si>
  <si>
    <t>Source:  "RevisedDUG_HVACDWH_CostUseData_090611.xlsx"</t>
  </si>
  <si>
    <t>Capital charge rate</t>
  </si>
  <si>
    <t>Source:  Calculated in ENERGY 2020</t>
  </si>
  <si>
    <t>Inflation</t>
  </si>
  <si>
    <t>Source:  M. Jourabchi input to ENERGY 2020 model</t>
  </si>
  <si>
    <t>Units of Dollars</t>
  </si>
  <si>
    <t>O&amp;M Cost Inflation Adjustment</t>
  </si>
  <si>
    <t>User Input - Assumptions</t>
  </si>
  <si>
    <t>Source:  M. Jourabchi email of September 15, 2014</t>
  </si>
  <si>
    <t>Non-Price Factor Assumptions ($/$)</t>
  </si>
  <si>
    <t>Source:  "Retail Rates_Northwest.xlsx"</t>
  </si>
  <si>
    <t>Starting water heating system</t>
  </si>
  <si>
    <t>Starting water heating tank size</t>
  </si>
  <si>
    <t>&lt;=55 Gallons</t>
  </si>
  <si>
    <t>Notes:  Variance factor is parameter in market share calculation indicating impact of price on probability of choosing a given technology.  Negative values increase sensitivity to price.</t>
  </si>
  <si>
    <t>Scenario</t>
  </si>
  <si>
    <t>Electricity Usage (tBtu/Yr)</t>
  </si>
  <si>
    <t>Natural Gas Usage (tBtu/Yr)</t>
  </si>
  <si>
    <t>Difference</t>
  </si>
  <si>
    <t>Change  in Market Share</t>
  </si>
  <si>
    <t>Change (%)</t>
  </si>
  <si>
    <t>Water Heating Replacement</t>
  </si>
  <si>
    <t>BAU Case 2035</t>
  </si>
  <si>
    <t>Electric - BAU</t>
  </si>
  <si>
    <t>Gas - BAU</t>
  </si>
  <si>
    <t>Water Heating Capital Cost (2012$/device)</t>
  </si>
  <si>
    <t>Energy Use Per Device (mmBtu/Device/Yr)</t>
  </si>
  <si>
    <t>Water Heating O&amp;M Costs (2012$/Device/Yr)</t>
  </si>
  <si>
    <t>Green:  Linked exogenous input</t>
  </si>
  <si>
    <t>Blue:  User-specified exogenous input</t>
  </si>
  <si>
    <t>Gradually descrease resistance of market:</t>
  </si>
  <si>
    <t>Note:  Levelized Costs = Capital Cost*Capital Charge Rate + Fuel Cost + O&amp;M Cost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</si>
  <si>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BAU Case</t>
    </r>
  </si>
  <si>
    <t>Starting space heating system</t>
  </si>
  <si>
    <t>Source:  "Regional Economic Analysis of Residential Fuel Use:  Electricity &amp; Natural Gas.pdf"</t>
  </si>
  <si>
    <t>Least Cost</t>
  </si>
  <si>
    <t>Non-price factors - BAU forecast</t>
  </si>
  <si>
    <t>See "Non-Price Factors" sheet</t>
  </si>
  <si>
    <t>Electric - Least Cost</t>
  </si>
  <si>
    <t>Least Cost Case</t>
  </si>
  <si>
    <t>Gas - Least Cost</t>
  </si>
  <si>
    <r>
      <t xml:space="preserve">Water Heating Energy Usage by Type (mmBtu/Yr)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</si>
  <si>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Electricity Usage by Type (MWh/Yr) 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</si>
  <si>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Heating Gas Usage by Type (mmBtu/Yr)  - </t>
    </r>
    <r>
      <rPr>
        <b/>
        <sz val="12"/>
        <color rgb="FFC00000"/>
        <rFont val="Calibri"/>
        <family val="2"/>
        <scheme val="minor"/>
      </rPr>
      <t>Least Cost Case</t>
    </r>
  </si>
  <si>
    <t>Least Cost Case 2035</t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</si>
  <si>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BAU Case</t>
    </r>
  </si>
  <si>
    <r>
      <t>Water Heaters Purchased (Number of Water Heaters)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</si>
  <si>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</si>
  <si>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Retired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</si>
  <si>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</si>
  <si>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Water Heaters Stock by Type (Number of Water Heaters) - </t>
    </r>
    <r>
      <rPr>
        <b/>
        <sz val="12"/>
        <color rgb="FFC00000"/>
        <rFont val="Calibri"/>
        <family val="2"/>
        <scheme val="minor"/>
      </rPr>
      <t>Least Cost Case</t>
    </r>
  </si>
  <si>
    <r>
      <t xml:space="preserve">Average Market Share (Fraction) - </t>
    </r>
    <r>
      <rPr>
        <b/>
        <sz val="12"/>
        <color rgb="FFC00000"/>
        <rFont val="Calibri"/>
        <family val="2"/>
        <scheme val="minor"/>
      </rPr>
      <t>BAU Case</t>
    </r>
  </si>
  <si>
    <r>
      <t>Average Market Share (Fraction)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</si>
  <si>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Existing 2014</t>
  </si>
  <si>
    <r>
      <t xml:space="preserve">Total Consumer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</si>
  <si>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Capital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</si>
  <si>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BAU Case</t>
    </r>
  </si>
  <si>
    <r>
      <t xml:space="preserve">Price of Energy Usage (2012 M$) - </t>
    </r>
    <r>
      <rPr>
        <b/>
        <sz val="12"/>
        <color rgb="FFC00000"/>
        <rFont val="Calibri"/>
        <family val="2"/>
        <scheme val="minor"/>
      </rPr>
      <t>BAU Case</t>
    </r>
  </si>
  <si>
    <r>
      <t>Total Consumer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</si>
  <si>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>Capital Cost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</si>
  <si>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r>
      <t xml:space="preserve">O&amp;M Cost (2012 M$) - </t>
    </r>
    <r>
      <rPr>
        <b/>
        <sz val="12"/>
        <color rgb="FFC00000"/>
        <rFont val="Calibri"/>
        <family val="2"/>
        <scheme val="minor"/>
      </rPr>
      <t>Least Cost Case</t>
    </r>
  </si>
  <si>
    <r>
      <t>Price of Energy Usage (2012 M$) -</t>
    </r>
    <r>
      <rPr>
        <b/>
        <sz val="12"/>
        <color rgb="FFC00000"/>
        <rFont val="Calibri"/>
        <family val="2"/>
        <scheme val="minor"/>
      </rPr>
      <t xml:space="preserve"> Least Cost Case</t>
    </r>
  </si>
  <si>
    <t>Source:  "RBSA Metering Final Report (2).docx" pulled out into "Book3.xls" from M. Jourabchi 9-24-14</t>
  </si>
  <si>
    <t>Number of households with access to gas, &lt;=55</t>
  </si>
  <si>
    <t>Heat rate of new CCCT unit (Btu/kWh)</t>
  </si>
  <si>
    <t>Source:  Gillian Charles email of September 24, 2014 per M. Jourabchi (6530 w/ duct firing)</t>
  </si>
  <si>
    <t>Wholesale Price of Natural Gas (2012$/mmBtu/Yr)</t>
  </si>
  <si>
    <t>Source:  ENERGY 2020 model data from "Q:\MJ\ex\Fuel\FUELMOD8 Rev 050114- 7P July 2014 .xlsx" per 7/15/2014 update from M. Jourabchi.</t>
  </si>
  <si>
    <t>Gas price (2012$/mmBtu)</t>
  </si>
  <si>
    <t>NPV (2012M$)</t>
  </si>
  <si>
    <t>Consumer Cost of Water Heating Replacements</t>
  </si>
  <si>
    <t>NPV (2012 M$)</t>
  </si>
  <si>
    <t>Change in Total Resource Costs due to Direct Use of Natural Gas (2012 M$)</t>
  </si>
  <si>
    <t>Capital Cost (Various Real $)</t>
  </si>
  <si>
    <t>O&amp;M Cost (2006$/ device/Yr)</t>
  </si>
  <si>
    <t>Gas Required (mmBtu/ device/Yr)</t>
  </si>
  <si>
    <t>Electricity Required (KWh/ device/Yr)</t>
  </si>
  <si>
    <t>User-Specified Assumptions</t>
  </si>
  <si>
    <t>Water Heater Ending</t>
  </si>
  <si>
    <t>Capital Cost Inflation Adjustment ($/$)</t>
  </si>
  <si>
    <r>
      <t xml:space="preserve">Marginal Market Share Forecast (Fraction) - </t>
    </r>
    <r>
      <rPr>
        <b/>
        <sz val="12"/>
        <color rgb="FFC00000"/>
        <rFont val="Calibri"/>
        <family val="2"/>
        <scheme val="minor"/>
      </rPr>
      <t>Least Cost Case</t>
    </r>
  </si>
  <si>
    <t>Cost Savings of Utility - Least Cost vs BAU Case (2012 $/Yr)</t>
  </si>
  <si>
    <t>Wholesale Price of Gas (2012$/mmBtu)</t>
  </si>
  <si>
    <t>Cost Savings of Utility - Least Cost vs BAU Case (2012 M$)</t>
  </si>
  <si>
    <t>NPV of Costs Savings to Utility - Least Cost vs BAU Case</t>
  </si>
  <si>
    <t>NPV 2012 M$</t>
  </si>
  <si>
    <t>Consumer's Increase in Natural Gas Usage (tBtu)</t>
  </si>
  <si>
    <t>Utility Reduction in Natural Gas Usage (tBtu)</t>
  </si>
  <si>
    <t>MWh to mmBtu conversion</t>
  </si>
  <si>
    <t>Net Change in Natural Gas Usage (tBtu)</t>
  </si>
  <si>
    <t>Gas Heat Rate (Btu/kWh)</t>
  </si>
  <si>
    <t>Reduction in Natural Gas Usage by Utility - Least Cost vs BAU Case</t>
  </si>
  <si>
    <t>Net Change in Natural Gas Usage</t>
  </si>
  <si>
    <t>Net Change in Natural Gas Usage (tBtu) - Least Cost vs BAU Case</t>
  </si>
  <si>
    <t>Decreased Consumer Cost of Least Cost Case</t>
  </si>
  <si>
    <t>Decreased Utility Cost of Least Cost Case (2012 M$)</t>
  </si>
  <si>
    <t>Total Cost Reduction of Least Cost Case</t>
  </si>
  <si>
    <t>Total Cost Reduction of Least Cost Case (2012 M$)</t>
  </si>
  <si>
    <t>Inflation Index (1.0=2006)</t>
  </si>
  <si>
    <t>Consumer Cost Reduction</t>
  </si>
  <si>
    <t>Utility Cost Reduction</t>
  </si>
  <si>
    <t>Total Resource Cost Reduction</t>
  </si>
  <si>
    <t>Cost Reduction of Least Cost vs BAU Case</t>
  </si>
  <si>
    <t>Utility Change in Natural Gas Usage</t>
  </si>
  <si>
    <t>Consumer's Change in Natural Gas Usage</t>
  </si>
  <si>
    <t>Reduction in Consumer Electricity Usage (MWh/Yr)</t>
  </si>
  <si>
    <t>Reduction in Utility Natural Gas Usage (tBtu/Yr)</t>
  </si>
  <si>
    <t>Reduction in Natural Gas Usage by Utility (tBtu)</t>
  </si>
  <si>
    <t>Stored in "Retail Rates_Northwest.xlsx"</t>
  </si>
  <si>
    <t>Oregon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</si>
</sst>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0.000"/>
    <numFmt numFmtId="169" formatCode="m/d/\ h:mm"/>
    <numFmt numFmtId="170" formatCode="0_);\(0\)"/>
    <numFmt numFmtId="171" formatCode="0.0000"/>
    <numFmt numFmtId="172" formatCode="#,##0.000"/>
    <numFmt numFmtId="173" formatCode="&quot;$&quot;#,##0.000"/>
    <numFmt numFmtId="174" formatCode="&quot;$&quot;#,##0.000_);[Red]\(&quot;$&quot;#,##0.000\)"/>
    <numFmt numFmtId="175" formatCode="#,##0.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B05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rgb="FF0000FF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18" borderId="0" applyNumberFormat="0" applyAlignment="0">
      <alignment horizontal="right"/>
    </xf>
    <xf numFmtId="0" fontId="12" fillId="19" borderId="0" applyNumberFormat="0" applyAlignment="0"/>
    <xf numFmtId="169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>
      <alignment horizontal="center" wrapText="1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1" applyNumberFormat="0" applyAlignment="0" applyProtection="0"/>
    <xf numFmtId="0" fontId="22" fillId="3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>
      <alignment readingOrder="1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3" fillId="21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0" borderId="0"/>
    <xf numFmtId="0" fontId="13" fillId="0" borderId="0"/>
    <xf numFmtId="0" fontId="13" fillId="21" borderId="0"/>
    <xf numFmtId="0" fontId="13" fillId="21" borderId="0"/>
    <xf numFmtId="0" fontId="26" fillId="0" borderId="0" applyNumberFormat="0" applyFont="0" applyFill="0" applyBorder="0" applyAlignment="0" applyProtection="0"/>
    <xf numFmtId="0" fontId="25" fillId="0" borderId="0"/>
    <xf numFmtId="0" fontId="12" fillId="0" borderId="0">
      <alignment readingOrder="1"/>
    </xf>
    <xf numFmtId="0" fontId="13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27" fillId="16" borderId="8" applyNumberFormat="0" applyAlignment="0" applyProtection="0"/>
    <xf numFmtId="0" fontId="27" fillId="16" borderId="8" applyNumberFormat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31" fillId="0" borderId="0"/>
    <xf numFmtId="43" fontId="31" fillId="0" borderId="0" applyFont="0" applyFill="0" applyBorder="0" applyAlignment="0" applyProtection="0"/>
  </cellStyleXfs>
  <cellXfs count="182">
    <xf numFmtId="0" fontId="0" fillId="0" borderId="0" xfId="0"/>
    <xf numFmtId="49" fontId="2" fillId="0" borderId="0" xfId="0" applyNumberFormat="1" applyFont="1" applyFill="1" applyBorder="1"/>
    <xf numFmtId="0" fontId="2" fillId="0" borderId="0" xfId="0" applyFont="1" applyFill="1" applyBorder="1"/>
    <xf numFmtId="1" fontId="4" fillId="0" borderId="0" xfId="0" applyNumberFormat="1" applyFont="1" applyFill="1" applyBorder="1"/>
    <xf numFmtId="168" fontId="4" fillId="0" borderId="0" xfId="0" applyNumberFormat="1" applyFont="1" applyFill="1" applyBorder="1"/>
    <xf numFmtId="0" fontId="6" fillId="0" borderId="0" xfId="0" applyFont="1" applyFill="1" applyBorder="1"/>
    <xf numFmtId="168" fontId="6" fillId="0" borderId="0" xfId="0" applyNumberFormat="1" applyFont="1" applyFill="1" applyBorder="1"/>
    <xf numFmtId="167" fontId="6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/>
    <xf numFmtId="2" fontId="2" fillId="0" borderId="0" xfId="0" applyNumberFormat="1" applyFont="1"/>
    <xf numFmtId="43" fontId="2" fillId="0" borderId="0" xfId="0" applyNumberFormat="1" applyFont="1"/>
    <xf numFmtId="0" fontId="32" fillId="0" borderId="0" xfId="0" applyFont="1"/>
    <xf numFmtId="170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165" applyFont="1"/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49" fontId="32" fillId="0" borderId="0" xfId="0" applyNumberFormat="1" applyFont="1" applyAlignment="1">
      <alignment wrapText="1"/>
    </xf>
    <xf numFmtId="170" fontId="32" fillId="0" borderId="0" xfId="0" applyNumberFormat="1" applyFont="1"/>
    <xf numFmtId="0" fontId="3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5" fillId="0" borderId="0" xfId="0" applyFont="1"/>
    <xf numFmtId="2" fontId="32" fillId="0" borderId="0" xfId="0" applyNumberFormat="1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5" fontId="2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left" indent="5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indent="2"/>
    </xf>
    <xf numFmtId="166" fontId="2" fillId="0" borderId="0" xfId="2" applyNumberFormat="1" applyFont="1"/>
    <xf numFmtId="3" fontId="2" fillId="0" borderId="0" xfId="0" applyNumberFormat="1" applyFont="1"/>
    <xf numFmtId="0" fontId="6" fillId="0" borderId="0" xfId="0" applyFont="1" applyAlignment="1">
      <alignment horizontal="left" indent="2"/>
    </xf>
    <xf numFmtId="2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wrapText="1"/>
    </xf>
    <xf numFmtId="170" fontId="2" fillId="0" borderId="12" xfId="0" applyNumberFormat="1" applyFont="1" applyBorder="1"/>
    <xf numFmtId="2" fontId="2" fillId="0" borderId="12" xfId="0" applyNumberFormat="1" applyFont="1" applyBorder="1" applyAlignment="1">
      <alignment wrapText="1"/>
    </xf>
    <xf numFmtId="0" fontId="2" fillId="0" borderId="12" xfId="0" applyFont="1" applyBorder="1"/>
    <xf numFmtId="0" fontId="3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/>
    <xf numFmtId="3" fontId="36" fillId="0" borderId="0" xfId="0" applyNumberFormat="1" applyFont="1" applyBorder="1"/>
    <xf numFmtId="0" fontId="36" fillId="0" borderId="13" xfId="0" applyFont="1" applyBorder="1" applyAlignment="1">
      <alignment horizontal="left" wrapText="1"/>
    </xf>
    <xf numFmtId="0" fontId="36" fillId="0" borderId="13" xfId="0" applyFont="1" applyBorder="1" applyAlignment="1">
      <alignment wrapText="1"/>
    </xf>
    <xf numFmtId="3" fontId="36" fillId="0" borderId="13" xfId="0" applyNumberFormat="1" applyFont="1" applyBorder="1"/>
    <xf numFmtId="0" fontId="6" fillId="0" borderId="0" xfId="0" applyFont="1" applyBorder="1" applyAlignment="1">
      <alignment horizontal="left" indent="2"/>
    </xf>
    <xf numFmtId="0" fontId="37" fillId="0" borderId="0" xfId="0" applyFont="1" applyAlignment="1">
      <alignment horizontal="left" indent="2"/>
    </xf>
    <xf numFmtId="0" fontId="6" fillId="0" borderId="12" xfId="0" applyFont="1" applyBorder="1" applyAlignment="1">
      <alignment horizontal="left" indent="2"/>
    </xf>
    <xf numFmtId="0" fontId="2" fillId="0" borderId="0" xfId="0" applyFont="1" applyAlignment="1">
      <alignment horizontal="left" indent="1"/>
    </xf>
    <xf numFmtId="0" fontId="40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" fillId="0" borderId="16" xfId="0" applyFont="1" applyBorder="1"/>
    <xf numFmtId="3" fontId="6" fillId="0" borderId="0" xfId="0" applyNumberFormat="1" applyFont="1" applyFill="1" applyBorder="1"/>
    <xf numFmtId="0" fontId="41" fillId="0" borderId="0" xfId="0" applyFont="1" applyFill="1" applyBorder="1"/>
    <xf numFmtId="1" fontId="6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 applyBorder="1" applyAlignment="1">
      <alignment horizontal="right" wrapText="1"/>
    </xf>
    <xf numFmtId="172" fontId="2" fillId="0" borderId="0" xfId="0" applyNumberFormat="1" applyFont="1"/>
    <xf numFmtId="2" fontId="4" fillId="0" borderId="0" xfId="0" applyNumberFormat="1" applyFont="1"/>
    <xf numFmtId="0" fontId="32" fillId="0" borderId="0" xfId="165" applyFont="1"/>
    <xf numFmtId="0" fontId="32" fillId="22" borderId="17" xfId="0" applyFont="1" applyFill="1" applyBorder="1"/>
    <xf numFmtId="0" fontId="2" fillId="0" borderId="20" xfId="0" applyFont="1" applyBorder="1"/>
    <xf numFmtId="0" fontId="2" fillId="0" borderId="15" xfId="0" applyFont="1" applyBorder="1"/>
    <xf numFmtId="0" fontId="2" fillId="0" borderId="20" xfId="0" applyFont="1" applyBorder="1" applyAlignment="1">
      <alignment wrapText="1"/>
    </xf>
    <xf numFmtId="0" fontId="2" fillId="0" borderId="14" xfId="0" applyFont="1" applyBorder="1"/>
    <xf numFmtId="0" fontId="32" fillId="22" borderId="11" xfId="0" applyFont="1" applyFill="1" applyBorder="1"/>
    <xf numFmtId="0" fontId="5" fillId="0" borderId="21" xfId="0" applyFont="1" applyBorder="1" applyAlignment="1">
      <alignment horizontal="right"/>
    </xf>
    <xf numFmtId="0" fontId="5" fillId="0" borderId="21" xfId="0" applyFont="1" applyBorder="1"/>
    <xf numFmtId="0" fontId="37" fillId="0" borderId="0" xfId="165" applyFont="1"/>
    <xf numFmtId="0" fontId="33" fillId="0" borderId="0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" fillId="0" borderId="0" xfId="0" applyFont="1" applyFill="1"/>
    <xf numFmtId="0" fontId="2" fillId="0" borderId="12" xfId="0" applyFont="1" applyFill="1" applyBorder="1"/>
    <xf numFmtId="164" fontId="2" fillId="0" borderId="0" xfId="0" applyNumberFormat="1" applyFont="1" applyBorder="1"/>
    <xf numFmtId="2" fontId="2" fillId="22" borderId="17" xfId="0" applyNumberFormat="1" applyFont="1" applyFill="1" applyBorder="1"/>
    <xf numFmtId="0" fontId="2" fillId="22" borderId="18" xfId="0" applyFont="1" applyFill="1" applyBorder="1"/>
    <xf numFmtId="2" fontId="2" fillId="0" borderId="20" xfId="0" applyNumberFormat="1" applyFont="1" applyBorder="1"/>
    <xf numFmtId="166" fontId="2" fillId="0" borderId="0" xfId="0" applyNumberFormat="1" applyFont="1" applyBorder="1"/>
    <xf numFmtId="166" fontId="2" fillId="0" borderId="15" xfId="0" applyNumberFormat="1" applyFont="1" applyBorder="1"/>
    <xf numFmtId="2" fontId="2" fillId="0" borderId="16" xfId="0" applyNumberFormat="1" applyFont="1" applyBorder="1"/>
    <xf numFmtId="166" fontId="2" fillId="0" borderId="12" xfId="0" applyNumberFormat="1" applyFont="1" applyBorder="1"/>
    <xf numFmtId="166" fontId="2" fillId="0" borderId="14" xfId="0" applyNumberFormat="1" applyFont="1" applyBorder="1"/>
    <xf numFmtId="0" fontId="2" fillId="22" borderId="18" xfId="0" applyFont="1" applyFill="1" applyBorder="1" applyAlignment="1">
      <alignment horizontal="center" wrapText="1"/>
    </xf>
    <xf numFmtId="172" fontId="2" fillId="0" borderId="0" xfId="0" applyNumberFormat="1" applyFont="1" applyBorder="1"/>
    <xf numFmtId="1" fontId="2" fillId="0" borderId="0" xfId="0" applyNumberFormat="1" applyFont="1" applyBorder="1"/>
    <xf numFmtId="172" fontId="2" fillId="0" borderId="12" xfId="0" applyNumberFormat="1" applyFont="1" applyBorder="1"/>
    <xf numFmtId="0" fontId="2" fillId="22" borderId="19" xfId="0" applyFont="1" applyFill="1" applyBorder="1"/>
    <xf numFmtId="0" fontId="2" fillId="22" borderId="19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10" fontId="2" fillId="0" borderId="0" xfId="0" applyNumberFormat="1" applyFont="1" applyBorder="1"/>
    <xf numFmtId="2" fontId="2" fillId="0" borderId="0" xfId="0" applyNumberFormat="1" applyFont="1" applyBorder="1"/>
    <xf numFmtId="3" fontId="5" fillId="0" borderId="21" xfId="0" applyNumberFormat="1" applyFont="1" applyFill="1" applyBorder="1"/>
    <xf numFmtId="166" fontId="5" fillId="0" borderId="21" xfId="0" applyNumberFormat="1" applyFont="1" applyBorder="1"/>
    <xf numFmtId="171" fontId="5" fillId="0" borderId="0" xfId="0" applyNumberFormat="1" applyFont="1"/>
    <xf numFmtId="0" fontId="5" fillId="0" borderId="11" xfId="165" applyFont="1" applyBorder="1"/>
    <xf numFmtId="0" fontId="32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wrapText="1"/>
    </xf>
    <xf numFmtId="0" fontId="2" fillId="22" borderId="12" xfId="0" applyFont="1" applyFill="1" applyBorder="1" applyAlignment="1">
      <alignment horizontal="center" wrapText="1"/>
    </xf>
    <xf numFmtId="0" fontId="2" fillId="22" borderId="12" xfId="0" applyFont="1" applyFill="1" applyBorder="1"/>
    <xf numFmtId="1" fontId="6" fillId="0" borderId="12" xfId="0" applyNumberFormat="1" applyFont="1" applyFill="1" applyBorder="1"/>
    <xf numFmtId="0" fontId="32" fillId="22" borderId="18" xfId="0" applyFont="1" applyFill="1" applyBorder="1"/>
    <xf numFmtId="164" fontId="5" fillId="0" borderId="0" xfId="1" applyNumberFormat="1" applyFont="1" applyFill="1" applyBorder="1"/>
    <xf numFmtId="0" fontId="5" fillId="0" borderId="0" xfId="0" applyFont="1" applyAlignment="1">
      <alignment horizontal="center"/>
    </xf>
    <xf numFmtId="164" fontId="5" fillId="0" borderId="12" xfId="1" applyNumberFormat="1" applyFont="1" applyFill="1" applyBorder="1"/>
    <xf numFmtId="0" fontId="5" fillId="0" borderId="12" xfId="0" applyFont="1" applyBorder="1" applyAlignment="1">
      <alignment horizontal="center"/>
    </xf>
    <xf numFmtId="3" fontId="5" fillId="0" borderId="0" xfId="0" applyNumberFormat="1" applyFont="1" applyFill="1" applyBorder="1"/>
    <xf numFmtId="168" fontId="5" fillId="0" borderId="0" xfId="0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3" fontId="5" fillId="0" borderId="12" xfId="0" applyNumberFormat="1" applyFont="1" applyFill="1" applyBorder="1"/>
    <xf numFmtId="168" fontId="5" fillId="0" borderId="12" xfId="0" applyNumberFormat="1" applyFont="1" applyFill="1" applyBorder="1"/>
    <xf numFmtId="165" fontId="5" fillId="0" borderId="12" xfId="1" applyNumberFormat="1" applyFont="1" applyFill="1" applyBorder="1"/>
    <xf numFmtId="0" fontId="5" fillId="0" borderId="12" xfId="0" applyFont="1" applyFill="1" applyBorder="1"/>
    <xf numFmtId="166" fontId="5" fillId="0" borderId="21" xfId="2" applyNumberFormat="1" applyFont="1" applyBorder="1"/>
    <xf numFmtId="166" fontId="5" fillId="0" borderId="22" xfId="2" applyNumberFormat="1" applyFont="1" applyBorder="1"/>
    <xf numFmtId="0" fontId="43" fillId="0" borderId="0" xfId="0" applyFont="1"/>
    <xf numFmtId="173" fontId="2" fillId="0" borderId="0" xfId="0" applyNumberFormat="1" applyFont="1"/>
    <xf numFmtId="173" fontId="2" fillId="0" borderId="0" xfId="0" applyNumberFormat="1" applyFont="1" applyBorder="1"/>
    <xf numFmtId="173" fontId="2" fillId="0" borderId="12" xfId="0" applyNumberFormat="1" applyFont="1" applyBorder="1"/>
    <xf numFmtId="0" fontId="2" fillId="0" borderId="0" xfId="0" applyFont="1" applyAlignment="1">
      <alignment vertical="center"/>
    </xf>
    <xf numFmtId="0" fontId="33" fillId="0" borderId="0" xfId="0" applyFont="1"/>
    <xf numFmtId="166" fontId="2" fillId="0" borderId="0" xfId="0" applyNumberFormat="1" applyFont="1"/>
    <xf numFmtId="173" fontId="36" fillId="0" borderId="13" xfId="0" applyNumberFormat="1" applyFont="1" applyBorder="1"/>
    <xf numFmtId="0" fontId="5" fillId="0" borderId="11" xfId="165" applyNumberFormat="1" applyFont="1" applyBorder="1" applyAlignment="1">
      <alignment horizontal="left"/>
    </xf>
    <xf numFmtId="168" fontId="2" fillId="0" borderId="0" xfId="0" applyNumberFormat="1" applyFont="1"/>
    <xf numFmtId="168" fontId="2" fillId="0" borderId="12" xfId="0" applyNumberFormat="1" applyFont="1" applyBorder="1"/>
    <xf numFmtId="168" fontId="2" fillId="0" borderId="0" xfId="0" applyNumberFormat="1" applyFont="1" applyBorder="1"/>
    <xf numFmtId="168" fontId="2" fillId="0" borderId="15" xfId="0" applyNumberFormat="1" applyFont="1" applyBorder="1"/>
    <xf numFmtId="168" fontId="2" fillId="0" borderId="14" xfId="0" applyNumberFormat="1" applyFont="1" applyBorder="1"/>
    <xf numFmtId="0" fontId="0" fillId="0" borderId="0" xfId="0" applyAlignment="1">
      <alignment wrapText="1"/>
    </xf>
    <xf numFmtId="0" fontId="32" fillId="22" borderId="19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32" fillId="0" borderId="12" xfId="0" applyFont="1" applyFill="1" applyBorder="1" applyAlignment="1">
      <alignment horizontal="left" wrapText="1"/>
    </xf>
    <xf numFmtId="0" fontId="6" fillId="22" borderId="10" xfId="165" applyFont="1" applyFill="1" applyBorder="1" applyAlignment="1">
      <alignment wrapText="1"/>
    </xf>
    <xf numFmtId="0" fontId="6" fillId="22" borderId="11" xfId="165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2" fontId="2" fillId="22" borderId="12" xfId="0" applyNumberFormat="1" applyFont="1" applyFill="1" applyBorder="1" applyAlignment="1">
      <alignment wrapText="1"/>
    </xf>
    <xf numFmtId="170" fontId="2" fillId="22" borderId="12" xfId="0" applyNumberFormat="1" applyFont="1" applyFill="1" applyBorder="1"/>
    <xf numFmtId="0" fontId="32" fillId="0" borderId="12" xfId="0" applyFont="1" applyFill="1" applyBorder="1" applyAlignment="1">
      <alignment horizontal="center" wrapText="1"/>
    </xf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Border="1" applyAlignment="1"/>
    <xf numFmtId="172" fontId="2" fillId="0" borderId="0" xfId="0" applyNumberFormat="1" applyFont="1" applyAlignment="1"/>
    <xf numFmtId="168" fontId="2" fillId="0" borderId="0" xfId="0" applyNumberFormat="1" applyFont="1" applyAlignment="1"/>
    <xf numFmtId="0" fontId="2" fillId="0" borderId="12" xfId="0" applyFont="1" applyBorder="1" applyAlignment="1"/>
    <xf numFmtId="0" fontId="32" fillId="0" borderId="16" xfId="0" applyFont="1" applyBorder="1" applyAlignment="1"/>
    <xf numFmtId="0" fontId="2" fillId="22" borderId="17" xfId="0" applyFont="1" applyFill="1" applyBorder="1"/>
    <xf numFmtId="174" fontId="2" fillId="0" borderId="14" xfId="0" applyNumberFormat="1" applyFont="1" applyBorder="1"/>
    <xf numFmtId="0" fontId="2" fillId="0" borderId="16" xfId="0" applyFont="1" applyBorder="1" applyAlignment="1">
      <alignment wrapText="1"/>
    </xf>
    <xf numFmtId="175" fontId="2" fillId="0" borderId="12" xfId="0" applyNumberFormat="1" applyFont="1" applyBorder="1"/>
    <xf numFmtId="171" fontId="2" fillId="0" borderId="0" xfId="0" applyNumberFormat="1" applyFont="1"/>
    <xf numFmtId="0" fontId="2" fillId="0" borderId="2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36" fillId="0" borderId="14" xfId="0" applyFont="1" applyBorder="1"/>
    <xf numFmtId="166" fontId="2" fillId="0" borderId="14" xfId="2" applyNumberFormat="1" applyFont="1" applyBorder="1"/>
    <xf numFmtId="171" fontId="2" fillId="0" borderId="12" xfId="0" applyNumberFormat="1" applyFont="1" applyBorder="1"/>
    <xf numFmtId="1" fontId="2" fillId="22" borderId="12" xfId="0" applyNumberFormat="1" applyFont="1" applyFill="1" applyBorder="1"/>
    <xf numFmtId="167" fontId="2" fillId="0" borderId="0" xfId="0" applyNumberFormat="1" applyFont="1" applyFill="1" applyBorder="1"/>
    <xf numFmtId="168" fontId="2" fillId="0" borderId="20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16" xfId="0" applyNumberFormat="1" applyFont="1" applyBorder="1"/>
    <xf numFmtId="0" fontId="2" fillId="0" borderId="16" xfId="0" applyFont="1" applyFill="1" applyBorder="1"/>
    <xf numFmtId="0" fontId="2" fillId="0" borderId="20" xfId="0" applyFont="1" applyFill="1" applyBorder="1"/>
    <xf numFmtId="9" fontId="2" fillId="0" borderId="0" xfId="2" applyFont="1" applyFill="1" applyBorder="1"/>
    <xf numFmtId="0" fontId="2" fillId="0" borderId="0" xfId="0" quotePrefix="1" applyFont="1"/>
    <xf numFmtId="0" fontId="42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2" fillId="0" borderId="1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3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167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 2" xfId="57"/>
    <cellStyle name="Comma 3" xfId="58"/>
    <cellStyle name="Comma 3 2" xfId="59"/>
    <cellStyle name="Comma 4" xfId="60"/>
    <cellStyle name="Comma 5" xfId="61"/>
    <cellStyle name="Comma 6" xfId="62"/>
    <cellStyle name="Comma 7" xfId="166"/>
    <cellStyle name="Currency" xfId="1" builtinId="4"/>
    <cellStyle name="Currency 2" xfId="63"/>
    <cellStyle name="Currency 2 2" xfId="64"/>
    <cellStyle name="Currency 3" xfId="65"/>
    <cellStyle name="Currency 4" xfId="66"/>
    <cellStyle name="Data Field" xfId="67"/>
    <cellStyle name="Data Name" xfId="68"/>
    <cellStyle name="Date/Time" xfId="69"/>
    <cellStyle name="Explanatory Text 2" xfId="70"/>
    <cellStyle name="Explanatory Text 3" xfId="71"/>
    <cellStyle name="Good 2" xfId="72"/>
    <cellStyle name="Good 3" xfId="73"/>
    <cellStyle name="Heading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2" xfId="100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11"/>
    <cellStyle name="Normal 30" xfId="112"/>
    <cellStyle name="Normal 31" xfId="113"/>
    <cellStyle name="Normal 32" xfId="114"/>
    <cellStyle name="Normal 33" xfId="115"/>
    <cellStyle name="Normal 34" xfId="116"/>
    <cellStyle name="Normal 35" xfId="117"/>
    <cellStyle name="Normal 36" xfId="118"/>
    <cellStyle name="Normal 37" xfId="119"/>
    <cellStyle name="Normal 38" xfId="120"/>
    <cellStyle name="Normal 39" xfId="121"/>
    <cellStyle name="Normal 4" xfId="122"/>
    <cellStyle name="Normal 40" xfId="123"/>
    <cellStyle name="Normal 41" xfId="124"/>
    <cellStyle name="Normal 42" xfId="125"/>
    <cellStyle name="Normal 43" xfId="126"/>
    <cellStyle name="Normal 44" xfId="127"/>
    <cellStyle name="Normal 45" xfId="128"/>
    <cellStyle name="Normal 46" xfId="129"/>
    <cellStyle name="Normal 47" xfId="130"/>
    <cellStyle name="Normal 47 2" xfId="131"/>
    <cellStyle name="Normal 48" xfId="132"/>
    <cellStyle name="Normal 48 2" xfId="133"/>
    <cellStyle name="Normal 49" xfId="134"/>
    <cellStyle name="Normal 5" xfId="135"/>
    <cellStyle name="Normal 50" xfId="136"/>
    <cellStyle name="Normal 51" xfId="137"/>
    <cellStyle name="Normal 52" xfId="138"/>
    <cellStyle name="Normal 53" xfId="139"/>
    <cellStyle name="Normal 54" xfId="165"/>
    <cellStyle name="Normal 6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" xfId="2" builtinId="5"/>
    <cellStyle name="Percent 2" xfId="148"/>
    <cellStyle name="Percent 2 2" xfId="149"/>
    <cellStyle name="Percent 3" xfId="150"/>
    <cellStyle name="Percent 3 2" xfId="151"/>
    <cellStyle name="Percent 3 3" xfId="152"/>
    <cellStyle name="Percent 4" xfId="153"/>
    <cellStyle name="Percent 5" xfId="154"/>
    <cellStyle name="Percent 6" xfId="155"/>
    <cellStyle name="Percent 7" xfId="156"/>
    <cellStyle name="Title 2" xfId="157"/>
    <cellStyle name="Title 3" xfId="158"/>
    <cellStyle name="Total 2" xfId="159"/>
    <cellStyle name="Total 3" xfId="160"/>
    <cellStyle name="Warning Text 2" xfId="161"/>
    <cellStyle name="Warning Text 3" xfId="162"/>
    <cellStyle name="표준_ENERGY CONSUMP" xfId="163"/>
    <cellStyle name="常规_海外市场服务网站资料操作BOM" xfId="164"/>
  </cellStyles>
  <dxfs count="0"/>
  <tableStyles count="0" defaultTableStyle="TableStyleMedium2" defaultPivotStyle="PivotStyleLight16"/>
  <colors>
    <mruColors>
      <color rgb="FF0064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176145405812895"/>
          <c:y val="3.296678793314415E-2"/>
          <c:w val="0.54370985763674384"/>
          <c:h val="0.90972682883913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showCatNam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'Summary-Results'!$B$5:$B$9</c:f>
              <c:strCache>
                <c:ptCount val="5"/>
                <c:pt idx="0">
                  <c:v>Electric Resistance</c:v>
                </c:pt>
                <c:pt idx="1">
                  <c:v>HPWH</c:v>
                </c:pt>
                <c:pt idx="2">
                  <c:v>Gas Tank</c:v>
                </c:pt>
                <c:pt idx="3">
                  <c:v>Instant Gas</c:v>
                </c:pt>
                <c:pt idx="4">
                  <c:v>Condensing Gas</c:v>
                </c:pt>
              </c:strCache>
            </c:strRef>
          </c:cat>
          <c:val>
            <c:numRef>
              <c:f>'Summary-Results'!$D$5:$D$9</c:f>
              <c:numCache>
                <c:formatCode>0.0%</c:formatCode>
                <c:ptCount val="5"/>
                <c:pt idx="0">
                  <c:v>0.51893216380291629</c:v>
                </c:pt>
                <c:pt idx="1">
                  <c:v>0.13342760264751158</c:v>
                </c:pt>
                <c:pt idx="2">
                  <c:v>0.1575605404956866</c:v>
                </c:pt>
                <c:pt idx="3">
                  <c:v>4.0421240836454167E-2</c:v>
                </c:pt>
                <c:pt idx="4">
                  <c:v>0.14965845221743138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  <c:dispBlanksAs val="zero"/>
  </c:chart>
  <c:txPr>
    <a:bodyPr/>
    <a:lstStyle/>
    <a:p>
      <a:pPr>
        <a:defRPr sz="12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9351880573004513E-2"/>
          <c:y val="0.14265634313752404"/>
          <c:w val="0.66305553558026065"/>
          <c:h val="0.70451904432123713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'Summary-Results'!$B$5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'Summary-Results'!$C$5:$E$5</c:f>
              <c:numCache>
                <c:formatCode>0.0%</c:formatCode>
                <c:ptCount val="3"/>
                <c:pt idx="0">
                  <c:v>0.99998643715123314</c:v>
                </c:pt>
                <c:pt idx="1">
                  <c:v>0.51893216380291629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'Summary-Results'!$B$6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'Summary-Results'!$C$6:$E$6</c:f>
              <c:numCache>
                <c:formatCode>0.0%</c:formatCode>
                <c:ptCount val="3"/>
                <c:pt idx="0">
                  <c:v>3.1794961998537285E-9</c:v>
                </c:pt>
                <c:pt idx="1">
                  <c:v>0.13342760264751158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'Summary-Results'!$B$7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'Summary-Results'!$C$7:$E$7</c:f>
              <c:numCache>
                <c:formatCode>0.0%</c:formatCode>
                <c:ptCount val="3"/>
                <c:pt idx="0">
                  <c:v>1.3555477113576472E-5</c:v>
                </c:pt>
                <c:pt idx="1">
                  <c:v>0.1575605404956866</c:v>
                </c:pt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'Summary-Results'!$B$8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'Summary-Results'!$C$8:$E$8</c:f>
              <c:numCache>
                <c:formatCode>0.0%</c:formatCode>
                <c:ptCount val="3"/>
                <c:pt idx="0">
                  <c:v>8.5693037405876635E-10</c:v>
                </c:pt>
                <c:pt idx="1">
                  <c:v>4.0421240836454167E-2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'Summary-Results'!$B$9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'Summary-Results'!$C$4:$E$4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'Summary-Results'!$C$9:$E$9</c:f>
              <c:numCache>
                <c:formatCode>0.0%</c:formatCode>
                <c:ptCount val="3"/>
                <c:pt idx="0">
                  <c:v>3.3352269080818244E-9</c:v>
                </c:pt>
                <c:pt idx="1">
                  <c:v>0.14965845221743138</c:v>
                </c:pt>
                <c:pt idx="2">
                  <c:v>0</c:v>
                </c:pt>
              </c:numCache>
            </c:numRef>
          </c:val>
        </c:ser>
        <c:overlap val="100"/>
        <c:axId val="103444864"/>
        <c:axId val="103446400"/>
      </c:barChart>
      <c:catAx>
        <c:axId val="10344486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3446400"/>
        <c:crosses val="autoZero"/>
        <c:auto val="1"/>
        <c:lblAlgn val="ctr"/>
        <c:lblOffset val="100"/>
      </c:catAx>
      <c:valAx>
        <c:axId val="103446400"/>
        <c:scaling>
          <c:orientation val="minMax"/>
        </c:scaling>
        <c:axPos val="l"/>
        <c:majorGridlines/>
        <c:numFmt formatCode="0%" sourceLinked="1"/>
        <c:tickLblPos val="nextTo"/>
        <c:crossAx val="103444864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 w="19050"/>
          <a:bevelB/>
        </a:sp3d>
      </c:spPr>
    </c:plotArea>
    <c:legend>
      <c:legendPos val="r"/>
      <c:layout>
        <c:manualLayout>
          <c:xMode val="edge"/>
          <c:yMode val="edge"/>
          <c:x val="0.76521318009640027"/>
          <c:y val="0.29779540120492565"/>
          <c:w val="0.22224763701402239"/>
          <c:h val="0.4044088869782809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9449639107611575E-2"/>
          <c:y val="0.12927063506374675"/>
          <c:w val="0.65733054461942264"/>
          <c:h val="0.74259782412694597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'Summary-Results'!$B$13</c:f>
              <c:strCache>
                <c:ptCount val="1"/>
                <c:pt idx="0">
                  <c:v>Electric Resistance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'Summary-Results'!$C$13:$E$13</c:f>
              <c:numCache>
                <c:formatCode>0.0%</c:formatCode>
                <c:ptCount val="3"/>
                <c:pt idx="0">
                  <c:v>1</c:v>
                </c:pt>
                <c:pt idx="1">
                  <c:v>0.73588982536572578</c:v>
                </c:pt>
                <c:pt idx="2">
                  <c:v>0.2109218875508691</c:v>
                </c:pt>
              </c:numCache>
            </c:numRef>
          </c:val>
        </c:ser>
        <c:ser>
          <c:idx val="1"/>
          <c:order val="1"/>
          <c:tx>
            <c:strRef>
              <c:f>'Summary-Results'!$B$14</c:f>
              <c:strCache>
                <c:ptCount val="1"/>
                <c:pt idx="0">
                  <c:v>HPWH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'Summary-Results'!$C$14:$E$14</c:f>
              <c:numCache>
                <c:formatCode>0.0%</c:formatCode>
                <c:ptCount val="3"/>
                <c:pt idx="0">
                  <c:v>0</c:v>
                </c:pt>
                <c:pt idx="1">
                  <c:v>4.3748992718060105E-2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'Summary-Results'!$B$15</c:f>
              <c:strCache>
                <c:ptCount val="1"/>
                <c:pt idx="0">
                  <c:v>Gas Tank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'Summary-Results'!$C$15:$E$15</c:f>
              <c:numCache>
                <c:formatCode>0.0%</c:formatCode>
                <c:ptCount val="3"/>
                <c:pt idx="0">
                  <c:v>0</c:v>
                </c:pt>
                <c:pt idx="1">
                  <c:v>0.15868384714599468</c:v>
                </c:pt>
                <c:pt idx="2">
                  <c:v>0.78907811244913084</c:v>
                </c:pt>
              </c:numCache>
            </c:numRef>
          </c:val>
        </c:ser>
        <c:ser>
          <c:idx val="3"/>
          <c:order val="3"/>
          <c:tx>
            <c:strRef>
              <c:f>'Summary-Results'!$B$16</c:f>
              <c:strCache>
                <c:ptCount val="1"/>
                <c:pt idx="0">
                  <c:v>Instant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'Summary-Results'!$C$16:$E$16</c:f>
              <c:numCache>
                <c:formatCode>0.0%</c:formatCode>
                <c:ptCount val="3"/>
                <c:pt idx="0">
                  <c:v>0</c:v>
                </c:pt>
                <c:pt idx="1">
                  <c:v>1.3041526852385887E-2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'Summary-Results'!$B$17</c:f>
              <c:strCache>
                <c:ptCount val="1"/>
                <c:pt idx="0">
                  <c:v>Condensing Gas</c:v>
                </c:pt>
              </c:strCache>
            </c:strRef>
          </c:tx>
          <c:cat>
            <c:strRef>
              <c:f>'Summary-Results'!$C$12:$E$12</c:f>
              <c:strCache>
                <c:ptCount val="3"/>
                <c:pt idx="0">
                  <c:v>Existing 2014</c:v>
                </c:pt>
                <c:pt idx="1">
                  <c:v>BAU Case 2035</c:v>
                </c:pt>
                <c:pt idx="2">
                  <c:v>Least Cost Case 2035</c:v>
                </c:pt>
              </c:strCache>
            </c:strRef>
          </c:cat>
          <c:val>
            <c:numRef>
              <c:f>'Summary-Results'!$C$17:$E$17</c:f>
              <c:numCache>
                <c:formatCode>0.0%</c:formatCode>
                <c:ptCount val="3"/>
                <c:pt idx="0">
                  <c:v>0</c:v>
                </c:pt>
                <c:pt idx="1">
                  <c:v>4.8635807917833597E-2</c:v>
                </c:pt>
                <c:pt idx="2">
                  <c:v>0</c:v>
                </c:pt>
              </c:numCache>
            </c:numRef>
          </c:val>
        </c:ser>
        <c:gapWidth val="100"/>
        <c:overlap val="100"/>
        <c:axId val="196733184"/>
        <c:axId val="196755456"/>
      </c:barChart>
      <c:catAx>
        <c:axId val="19673318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96755456"/>
        <c:crosses val="autoZero"/>
        <c:auto val="1"/>
        <c:lblAlgn val="ctr"/>
        <c:lblOffset val="100"/>
      </c:catAx>
      <c:valAx>
        <c:axId val="196755456"/>
        <c:scaling>
          <c:orientation val="minMax"/>
        </c:scaling>
        <c:axPos val="l"/>
        <c:majorGridlines/>
        <c:numFmt formatCode="0%" sourceLinked="1"/>
        <c:tickLblPos val="nextTo"/>
        <c:crossAx val="196733184"/>
        <c:crosses val="autoZero"/>
        <c:crossBetween val="between"/>
      </c:valAx>
    </c:plotArea>
    <c:legend>
      <c:legendPos val="r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075226817120301E-2"/>
          <c:y val="0.10445850439979631"/>
          <c:w val="0.69082274164548352"/>
          <c:h val="0.81140495977045668"/>
        </c:manualLayout>
      </c:layout>
      <c:barChart>
        <c:barDir val="col"/>
        <c:grouping val="percentStacked"/>
        <c:ser>
          <c:idx val="0"/>
          <c:order val="0"/>
          <c:tx>
            <c:strRef>
              <c:f>'Summary-Results'!$B$21</c:f>
              <c:strCache>
                <c:ptCount val="1"/>
                <c:pt idx="0">
                  <c:v>Electric Resistance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'Summary-Results'!$C$21:$G$21</c:f>
              <c:numCache>
                <c:formatCode>0.0%</c:formatCode>
                <c:ptCount val="5"/>
                <c:pt idx="0">
                  <c:v>0.98354472463772857</c:v>
                </c:pt>
                <c:pt idx="1">
                  <c:v>0.91655133417323442</c:v>
                </c:pt>
                <c:pt idx="2">
                  <c:v>0.86505426331039148</c:v>
                </c:pt>
                <c:pt idx="3">
                  <c:v>0.81035739422128594</c:v>
                </c:pt>
                <c:pt idx="4">
                  <c:v>0.73588982536572578</c:v>
                </c:pt>
              </c:numCache>
            </c:numRef>
          </c:val>
        </c:ser>
        <c:ser>
          <c:idx val="1"/>
          <c:order val="1"/>
          <c:tx>
            <c:strRef>
              <c:f>'Summary-Results'!$B$22</c:f>
              <c:strCache>
                <c:ptCount val="1"/>
                <c:pt idx="0">
                  <c:v>HPWH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'Summary-Results'!$C$22:$G$22</c:f>
              <c:numCache>
                <c:formatCode>0.0%</c:formatCode>
                <c:ptCount val="5"/>
                <c:pt idx="0">
                  <c:v>8.1304715163093296E-6</c:v>
                </c:pt>
                <c:pt idx="1">
                  <c:v>3.4291081145667912E-4</c:v>
                </c:pt>
                <c:pt idx="2">
                  <c:v>3.3027815317431181E-3</c:v>
                </c:pt>
                <c:pt idx="3">
                  <c:v>1.5633335315572157E-2</c:v>
                </c:pt>
                <c:pt idx="4">
                  <c:v>4.3748992718060105E-2</c:v>
                </c:pt>
              </c:numCache>
            </c:numRef>
          </c:val>
        </c:ser>
        <c:ser>
          <c:idx val="2"/>
          <c:order val="2"/>
          <c:tx>
            <c:strRef>
              <c:f>'Summary-Results'!$B$23</c:f>
              <c:strCache>
                <c:ptCount val="1"/>
                <c:pt idx="0">
                  <c:v>Gas Tank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'Summary-Results'!$C$23:$G$23</c:f>
              <c:numCache>
                <c:formatCode>0.0%</c:formatCode>
                <c:ptCount val="5"/>
                <c:pt idx="0">
                  <c:v>1.6436383710188542E-2</c:v>
                </c:pt>
                <c:pt idx="1">
                  <c:v>8.2644904263221727E-2</c:v>
                </c:pt>
                <c:pt idx="2">
                  <c:v>0.12712928078521776</c:v>
                </c:pt>
                <c:pt idx="3">
                  <c:v>0.15229847108682329</c:v>
                </c:pt>
                <c:pt idx="4">
                  <c:v>0.15868384714599468</c:v>
                </c:pt>
              </c:numCache>
            </c:numRef>
          </c:val>
        </c:ser>
        <c:ser>
          <c:idx val="3"/>
          <c:order val="3"/>
          <c:tx>
            <c:strRef>
              <c:f>'Summary-Results'!$B$24</c:f>
              <c:strCache>
                <c:ptCount val="1"/>
                <c:pt idx="0">
                  <c:v>Instant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'Summary-Results'!$C$24:$G$24</c:f>
              <c:numCache>
                <c:formatCode>0.0%</c:formatCode>
                <c:ptCount val="5"/>
                <c:pt idx="0">
                  <c:v>2.2036514310145261E-6</c:v>
                </c:pt>
                <c:pt idx="1">
                  <c:v>9.5062708116069083E-5</c:v>
                </c:pt>
                <c:pt idx="2">
                  <c:v>9.3883123635024092E-4</c:v>
                </c:pt>
                <c:pt idx="3">
                  <c:v>4.5534841454697057E-3</c:v>
                </c:pt>
                <c:pt idx="4">
                  <c:v>1.3041526852385887E-2</c:v>
                </c:pt>
              </c:numCache>
            </c:numRef>
          </c:val>
        </c:ser>
        <c:ser>
          <c:idx val="4"/>
          <c:order val="4"/>
          <c:tx>
            <c:strRef>
              <c:f>'Summary-Results'!$B$25</c:f>
              <c:strCache>
                <c:ptCount val="1"/>
                <c:pt idx="0">
                  <c:v>Condensing Gas</c:v>
                </c:pt>
              </c:strCache>
            </c:strRef>
          </c:tx>
          <c:cat>
            <c:numRef>
              <c:f>'Summary-Results'!$C$20:$G$20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'Summary-Results'!$C$25:$G$25</c:f>
              <c:numCache>
                <c:formatCode>0.0%</c:formatCode>
                <c:ptCount val="5"/>
                <c:pt idx="0">
                  <c:v>8.5575291355838557E-6</c:v>
                </c:pt>
                <c:pt idx="1">
                  <c:v>3.6578804397132249E-4</c:v>
                </c:pt>
                <c:pt idx="2">
                  <c:v>3.5748431362973591E-3</c:v>
                </c:pt>
                <c:pt idx="3">
                  <c:v>1.7157315230849089E-2</c:v>
                </c:pt>
                <c:pt idx="4">
                  <c:v>4.8635807917833597E-2</c:v>
                </c:pt>
              </c:numCache>
            </c:numRef>
          </c:val>
        </c:ser>
        <c:overlap val="100"/>
        <c:axId val="200069504"/>
        <c:axId val="200071040"/>
      </c:barChart>
      <c:catAx>
        <c:axId val="2000695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0071040"/>
        <c:crosses val="autoZero"/>
        <c:auto val="1"/>
        <c:lblAlgn val="ctr"/>
        <c:lblOffset val="100"/>
      </c:catAx>
      <c:valAx>
        <c:axId val="200071040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0069504"/>
        <c:crosses val="autoZero"/>
        <c:crossBetween val="between"/>
      </c:valAx>
    </c:plotArea>
    <c:legend>
      <c:legendPos val="r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650491362998248E-2"/>
          <c:y val="0.11366526552601984"/>
          <c:w val="0.63835846100632754"/>
          <c:h val="0.80691360948302548"/>
        </c:manualLayout>
      </c:layout>
      <c:barChart>
        <c:barDir val="col"/>
        <c:grouping val="clustered"/>
        <c:ser>
          <c:idx val="0"/>
          <c:order val="0"/>
          <c:tx>
            <c:strRef>
              <c:f>'Summary-Results'!$B$37</c:f>
              <c:strCache>
                <c:ptCount val="1"/>
                <c:pt idx="0">
                  <c:v>Consumer's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'Summary-Results'!$C$37:$G$37</c:f>
              <c:numCache>
                <c:formatCode>0.000</c:formatCode>
                <c:ptCount val="5"/>
                <c:pt idx="0">
                  <c:v>0.11629096586315203</c:v>
                </c:pt>
                <c:pt idx="1">
                  <c:v>0.58380091825348168</c:v>
                </c:pt>
                <c:pt idx="2">
                  <c:v>0.90456945201360417</c:v>
                </c:pt>
                <c:pt idx="3">
                  <c:v>1.1201349377181544</c:v>
                </c:pt>
                <c:pt idx="4">
                  <c:v>1.2578209585443432</c:v>
                </c:pt>
              </c:numCache>
            </c:numRef>
          </c:val>
        </c:ser>
        <c:ser>
          <c:idx val="1"/>
          <c:order val="1"/>
          <c:tx>
            <c:strRef>
              <c:f>'Summary-Results'!$B$38</c:f>
              <c:strCache>
                <c:ptCount val="1"/>
                <c:pt idx="0">
                  <c:v>Utility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'Summary-Results'!$C$38:$G$38</c:f>
              <c:numCache>
                <c:formatCode>0.000</c:formatCode>
                <c:ptCount val="5"/>
                <c:pt idx="0">
                  <c:v>-0.14551758050348951</c:v>
                </c:pt>
                <c:pt idx="1">
                  <c:v>-0.72964831780555239</c:v>
                </c:pt>
                <c:pt idx="2">
                  <c:v>-1.1224512374145501</c:v>
                </c:pt>
                <c:pt idx="3">
                  <c:v>-1.3558858502610498</c:v>
                </c:pt>
                <c:pt idx="4">
                  <c:v>-1.4445277744296363</c:v>
                </c:pt>
              </c:numCache>
            </c:numRef>
          </c:val>
        </c:ser>
        <c:ser>
          <c:idx val="2"/>
          <c:order val="2"/>
          <c:tx>
            <c:strRef>
              <c:f>'Summary-Results'!$B$39</c:f>
              <c:strCache>
                <c:ptCount val="1"/>
                <c:pt idx="0">
                  <c:v>Net Change in Natural Gas Usage</c:v>
                </c:pt>
              </c:strCache>
            </c:strRef>
          </c:tx>
          <c:cat>
            <c:numRef>
              <c:f>'Summary-Results'!$C$36:$G$36</c:f>
              <c:numCache>
                <c:formatCode>General</c:formatCode>
                <c:ptCount val="5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</c:numCache>
            </c:numRef>
          </c:cat>
          <c:val>
            <c:numRef>
              <c:f>'Summary-Results'!$C$39:$G$39</c:f>
              <c:numCache>
                <c:formatCode>0.000</c:formatCode>
                <c:ptCount val="5"/>
                <c:pt idx="0">
                  <c:v>-2.9226614640337475E-2</c:v>
                </c:pt>
                <c:pt idx="1">
                  <c:v>-0.14584739955207071</c:v>
                </c:pt>
                <c:pt idx="2">
                  <c:v>-0.21788178540094594</c:v>
                </c:pt>
                <c:pt idx="3">
                  <c:v>-0.23575091254289537</c:v>
                </c:pt>
                <c:pt idx="4">
                  <c:v>-0.18670681588529314</c:v>
                </c:pt>
              </c:numCache>
            </c:numRef>
          </c:val>
        </c:ser>
        <c:axId val="200235648"/>
        <c:axId val="200245632"/>
      </c:barChart>
      <c:catAx>
        <c:axId val="200235648"/>
        <c:scaling>
          <c:orientation val="minMax"/>
        </c:scaling>
        <c:axPos val="b"/>
        <c:numFmt formatCode="General" sourceLinked="1"/>
        <c:tickLblPos val="low"/>
        <c:txPr>
          <a:bodyPr rot="0" vert="horz" anchor="ctr" anchorCtr="1"/>
          <a:lstStyle/>
          <a:p>
            <a:pPr>
              <a:defRPr sz="1200"/>
            </a:pPr>
            <a:endParaRPr lang="en-US"/>
          </a:p>
        </c:txPr>
        <c:crossAx val="200245632"/>
        <c:crosses val="autoZero"/>
        <c:auto val="1"/>
        <c:lblAlgn val="ctr"/>
        <c:lblOffset val="100"/>
      </c:catAx>
      <c:valAx>
        <c:axId val="200245632"/>
        <c:scaling>
          <c:orientation val="minMax"/>
        </c:scaling>
        <c:axPos val="l"/>
        <c:majorGridlines/>
        <c:numFmt formatCode="0.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0235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10439683411665"/>
          <c:y val="0.30648932041389576"/>
          <c:w val="0.27889560316588347"/>
          <c:h val="0.4110986126734158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9523</xdr:rowOff>
    </xdr:from>
    <xdr:to>
      <xdr:col>11</xdr:col>
      <xdr:colOff>0</xdr:colOff>
      <xdr:row>73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3</xdr:row>
      <xdr:rowOff>9524</xdr:rowOff>
    </xdr:from>
    <xdr:to>
      <xdr:col>11</xdr:col>
      <xdr:colOff>9525</xdr:colOff>
      <xdr:row>18</xdr:row>
      <xdr:rowOff>190500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21</xdr:row>
      <xdr:rowOff>0</xdr:rowOff>
    </xdr:from>
    <xdr:to>
      <xdr:col>11</xdr:col>
      <xdr:colOff>28575</xdr:colOff>
      <xdr:row>36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39</xdr:row>
      <xdr:rowOff>9525</xdr:rowOff>
    </xdr:from>
    <xdr:to>
      <xdr:col>10</xdr:col>
      <xdr:colOff>590549</xdr:colOff>
      <xdr:row>54</xdr:row>
      <xdr:rowOff>219075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19049</xdr:colOff>
      <xdr:row>75</xdr:row>
      <xdr:rowOff>19049</xdr:rowOff>
    </xdr:from>
    <xdr:to>
      <xdr:col>11</xdr:col>
      <xdr:colOff>66674</xdr:colOff>
      <xdr:row>91</xdr:row>
      <xdr:rowOff>9524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0.22819</cdr:x>
      <cdr:y>0.12722</cdr:y>
    </cdr:from>
    <cdr:to>
      <cdr:x>0.74664</cdr:x>
      <cdr:y>0.23373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95400" y="409575"/>
          <a:ext cx="29432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75"/>
  <sheetViews>
    <sheetView workbookViewId="0"/>
  </sheetViews>
  <sheetFormatPr defaultRowHeight="18.75"/>
  <cols>
    <col min="1" max="1" width="5.5703125" style="122" customWidth="1"/>
    <col min="2" max="16384" width="9.140625" style="122"/>
  </cols>
  <sheetData>
    <row r="1" spans="1:11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11" ht="39" customHeight="1">
      <c r="B3" s="176" t="str">
        <f>CONCATENATE("Marginal Market Shares (%) - ",State,", Single Family, ", SpaceHeat, ", ", TankSize,", ", StartWH, " is starting water heater")</f>
        <v>Marginal Market Shares (%) - Oregon, Single Family, Gas FAF, &lt;=55 Gallons, Electric Resistance is starting water heater</v>
      </c>
      <c r="C3" s="177"/>
      <c r="D3" s="177"/>
      <c r="E3" s="177"/>
      <c r="F3" s="177"/>
      <c r="G3" s="177"/>
      <c r="H3" s="177"/>
      <c r="I3" s="177"/>
      <c r="J3" s="177"/>
      <c r="K3" s="177"/>
    </row>
    <row r="18" spans="2:16">
      <c r="M18" s="95"/>
    </row>
    <row r="21" spans="2:16" ht="36" customHeight="1">
      <c r="B21" s="176" t="str">
        <f>CONCATENATE("Average Market Shares by Scenario (%) - ",State,", Single Family, ", SpaceHeat, ", ", TankSize,", ", StartWH, " is starting water heater")</f>
        <v>Average Market Shares by Scenario (%) - Oregon, Single Family, Gas FAF, &lt;=55 Gallons, Electric Resistance is starting water heater</v>
      </c>
      <c r="C21" s="177"/>
      <c r="D21" s="177"/>
      <c r="E21" s="177"/>
      <c r="F21" s="177"/>
      <c r="G21" s="177"/>
      <c r="H21" s="177"/>
      <c r="I21" s="177"/>
      <c r="J21" s="177"/>
      <c r="K21" s="177"/>
    </row>
    <row r="29" spans="2:16">
      <c r="P29" s="95"/>
    </row>
    <row r="39" spans="2:11" ht="36" customHeight="1">
      <c r="B39" s="176" t="str">
        <f>CONCATENATE("BAU Average Market Shares (%) - ",State,", Single Family, ", SpaceHeat, ", ", TankSize,", ", StartWH, " is starting water heater")</f>
        <v>BAU Average Market Shares (%) - Oregon, Single Family, Gas FAF, &lt;=55 Gallons, Electric Resistance is starting water heater</v>
      </c>
      <c r="C39" s="177"/>
      <c r="D39" s="177"/>
      <c r="E39" s="177"/>
      <c r="F39" s="177"/>
      <c r="G39" s="177"/>
      <c r="H39" s="177"/>
      <c r="I39" s="177"/>
      <c r="J39" s="177"/>
      <c r="K39" s="177"/>
    </row>
    <row r="57" spans="2:11" ht="38.25" customHeight="1">
      <c r="B57" s="176" t="str">
        <f>CONCATENATE("BAU Average Market Shares, 2035 (%) - ",State,", Single Family, ", SpaceHeat, ", ", TankSize,", ", StartWH, " is starting water heater")</f>
        <v>BAU Average Market Shares, 2035 (%) - Oregon, Single Family, Gas FAF, &lt;=55 Gallons, Electric Resistance is starting water heater</v>
      </c>
      <c r="C57" s="177"/>
      <c r="D57" s="177"/>
      <c r="E57" s="177"/>
      <c r="F57" s="177"/>
      <c r="G57" s="177"/>
      <c r="H57" s="177"/>
      <c r="I57" s="177"/>
      <c r="J57" s="177"/>
      <c r="K57" s="177"/>
    </row>
    <row r="75" spans="2:12" ht="40.5" customHeight="1">
      <c r="B75" s="176" t="str">
        <f>CONCATENATE('Input Assumptions'!B$9," Change in Natural Gas Usage Least Cost vs BAU Case (Mcf/Yr) -  ",'Input Assumptions'!B$11," ",'Input Assumptions'!B$12,", ",'Input Assumptions'!B$10," Space Heat")</f>
        <v>Oregon Change in Natural Gas Usage Least Cost vs BAU Case (Mcf/Yr) -  Electric Resistance &lt;=55 Gallons, Gas FAF Space Heat</v>
      </c>
      <c r="C75" s="177"/>
      <c r="D75" s="177"/>
      <c r="E75" s="177"/>
      <c r="F75" s="177"/>
      <c r="G75" s="177"/>
      <c r="H75" s="177"/>
      <c r="I75" s="177"/>
      <c r="J75" s="177"/>
      <c r="K75" s="177"/>
      <c r="L75" s="136"/>
    </row>
  </sheetData>
  <mergeCells count="5">
    <mergeCell ref="B75:K75"/>
    <mergeCell ref="B3:K3"/>
    <mergeCell ref="B21:K21"/>
    <mergeCell ref="B39:K39"/>
    <mergeCell ref="B57:K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81"/>
  <sheetViews>
    <sheetView workbookViewId="0"/>
  </sheetViews>
  <sheetFormatPr defaultColWidth="9.140625" defaultRowHeight="15.75"/>
  <cols>
    <col min="1" max="1" width="28.7109375" style="9" customWidth="1"/>
    <col min="2" max="11" width="11.7109375" style="9" customWidth="1"/>
    <col min="12" max="31" width="13.28515625" style="9" bestFit="1" customWidth="1"/>
    <col min="3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>
      <c r="A3" s="12" t="s">
        <v>132</v>
      </c>
      <c r="H3" s="14"/>
      <c r="I3" s="14"/>
    </row>
    <row r="4" spans="1:23" ht="31.5">
      <c r="A4" s="66"/>
      <c r="B4" s="89" t="s">
        <v>131</v>
      </c>
      <c r="C4" s="94" t="s">
        <v>82</v>
      </c>
      <c r="D4" s="45"/>
      <c r="E4" s="45"/>
      <c r="F4" s="45"/>
      <c r="G4" s="45"/>
      <c r="H4" s="45"/>
    </row>
    <row r="5" spans="1:23">
      <c r="A5" s="160" t="s">
        <v>43</v>
      </c>
      <c r="B5" s="124">
        <f>NPV(DiscountRate,B12:W12)</f>
        <v>734.43291099698729</v>
      </c>
      <c r="C5" s="68"/>
      <c r="D5" s="45"/>
      <c r="E5" s="45"/>
      <c r="F5" s="45"/>
      <c r="G5" s="45"/>
      <c r="H5" s="45"/>
    </row>
    <row r="6" spans="1:23">
      <c r="A6" s="161" t="s">
        <v>101</v>
      </c>
      <c r="B6" s="125">
        <f>NPV(DiscountRate,B49:W49)</f>
        <v>653.68726959606192</v>
      </c>
      <c r="C6" s="162"/>
      <c r="D6" s="45"/>
      <c r="E6" s="45"/>
      <c r="F6" s="45"/>
      <c r="G6" s="45"/>
      <c r="H6" s="45"/>
    </row>
    <row r="7" spans="1:23">
      <c r="A7" s="161" t="s">
        <v>80</v>
      </c>
      <c r="B7" s="125">
        <f>B5-B6</f>
        <v>80.745641400925365</v>
      </c>
      <c r="C7" s="163">
        <f>1-B6/B5</f>
        <v>0.10994284187416625</v>
      </c>
    </row>
    <row r="8" spans="1:23">
      <c r="A8" s="54"/>
      <c r="E8" s="29"/>
    </row>
    <row r="9" spans="1:23">
      <c r="A9" s="12"/>
    </row>
    <row r="10" spans="1:23">
      <c r="A10" s="12" t="s">
        <v>116</v>
      </c>
    </row>
    <row r="11" spans="1:23">
      <c r="A11" s="14" t="str">
        <f t="shared" ref="A11:W11" si="0">A20</f>
        <v>Water Heat Ending</v>
      </c>
      <c r="B11" s="9">
        <f t="shared" si="0"/>
        <v>2014</v>
      </c>
      <c r="C11" s="9">
        <f t="shared" si="0"/>
        <v>2015</v>
      </c>
      <c r="D11" s="9">
        <f t="shared" si="0"/>
        <v>2016</v>
      </c>
      <c r="E11" s="9">
        <f t="shared" si="0"/>
        <v>2017</v>
      </c>
      <c r="F11" s="9">
        <f t="shared" si="0"/>
        <v>2018</v>
      </c>
      <c r="G11" s="9">
        <f t="shared" si="0"/>
        <v>2019</v>
      </c>
      <c r="H11" s="9">
        <f t="shared" si="0"/>
        <v>2020</v>
      </c>
      <c r="I11" s="9">
        <f t="shared" si="0"/>
        <v>2021</v>
      </c>
      <c r="J11" s="9">
        <f t="shared" si="0"/>
        <v>2022</v>
      </c>
      <c r="K11" s="9">
        <f t="shared" si="0"/>
        <v>2023</v>
      </c>
      <c r="L11" s="9">
        <f t="shared" si="0"/>
        <v>2024</v>
      </c>
      <c r="M11" s="9">
        <f t="shared" si="0"/>
        <v>2025</v>
      </c>
      <c r="N11" s="9">
        <f t="shared" si="0"/>
        <v>2026</v>
      </c>
      <c r="O11" s="9">
        <f t="shared" si="0"/>
        <v>2027</v>
      </c>
      <c r="P11" s="9">
        <f t="shared" si="0"/>
        <v>2028</v>
      </c>
      <c r="Q11" s="9">
        <f t="shared" si="0"/>
        <v>2029</v>
      </c>
      <c r="R11" s="9">
        <f t="shared" si="0"/>
        <v>2030</v>
      </c>
      <c r="S11" s="9">
        <f t="shared" si="0"/>
        <v>2031</v>
      </c>
      <c r="T11" s="9">
        <f t="shared" si="0"/>
        <v>2032</v>
      </c>
      <c r="U11" s="9">
        <f t="shared" si="0"/>
        <v>2033</v>
      </c>
      <c r="V11" s="9">
        <f t="shared" si="0"/>
        <v>2034</v>
      </c>
      <c r="W11" s="9">
        <f t="shared" si="0"/>
        <v>2035</v>
      </c>
    </row>
    <row r="12" spans="1:23" ht="16.5" thickBot="1">
      <c r="A12" s="49" t="s">
        <v>48</v>
      </c>
      <c r="B12" s="129">
        <f t="shared" ref="B12:W12" si="1">SUM(B13:B17)</f>
        <v>41.713514629387021</v>
      </c>
      <c r="C12" s="129">
        <f t="shared" si="1"/>
        <v>47.733263441388615</v>
      </c>
      <c r="D12" s="129">
        <f t="shared" si="1"/>
        <v>48.023424225137965</v>
      </c>
      <c r="E12" s="129">
        <f t="shared" si="1"/>
        <v>48.335029554646788</v>
      </c>
      <c r="F12" s="129">
        <f t="shared" si="1"/>
        <v>48.668556457149371</v>
      </c>
      <c r="G12" s="129">
        <f t="shared" si="1"/>
        <v>49.02494532924058</v>
      </c>
      <c r="H12" s="129">
        <f t="shared" si="1"/>
        <v>49.405617056170044</v>
      </c>
      <c r="I12" s="129">
        <f t="shared" si="1"/>
        <v>49.812424131923976</v>
      </c>
      <c r="J12" s="129">
        <f t="shared" si="1"/>
        <v>50.247510098996507</v>
      </c>
      <c r="K12" s="129">
        <f t="shared" si="1"/>
        <v>50.713058740525476</v>
      </c>
      <c r="L12" s="129">
        <f t="shared" si="1"/>
        <v>51.210929848864069</v>
      </c>
      <c r="M12" s="129">
        <f t="shared" si="1"/>
        <v>51.742202518674944</v>
      </c>
      <c r="N12" s="129">
        <f t="shared" si="1"/>
        <v>52.306677210244999</v>
      </c>
      <c r="O12" s="129">
        <f t="shared" si="1"/>
        <v>52.902417382519495</v>
      </c>
      <c r="P12" s="129">
        <f t="shared" si="1"/>
        <v>53.525429398219899</v>
      </c>
      <c r="Q12" s="129">
        <f t="shared" si="1"/>
        <v>54.169574124438327</v>
      </c>
      <c r="R12" s="129">
        <f t="shared" si="1"/>
        <v>54.826769035813264</v>
      </c>
      <c r="S12" s="129">
        <f t="shared" si="1"/>
        <v>55.48748055221737</v>
      </c>
      <c r="T12" s="129">
        <f t="shared" si="1"/>
        <v>56.141439651576761</v>
      </c>
      <c r="U12" s="129">
        <f t="shared" si="1"/>
        <v>56.778462143930255</v>
      </c>
      <c r="V12" s="129">
        <f t="shared" si="1"/>
        <v>57.389236203746449</v>
      </c>
      <c r="W12" s="129">
        <f t="shared" si="1"/>
        <v>57.965958231570291</v>
      </c>
    </row>
    <row r="13" spans="1:23" ht="16.5" thickTop="1">
      <c r="A13" s="38" t="str">
        <f>A22</f>
        <v>Electric Resistance</v>
      </c>
      <c r="B13" s="123">
        <f t="shared" ref="B13:W13" si="2">(B22+B31+B40)</f>
        <v>41.713514629387021</v>
      </c>
      <c r="C13" s="123">
        <f t="shared" si="2"/>
        <v>45.756081476695954</v>
      </c>
      <c r="D13" s="123">
        <f t="shared" si="2"/>
        <v>45.63174280497887</v>
      </c>
      <c r="E13" s="123">
        <f t="shared" si="2"/>
        <v>45.542250479800998</v>
      </c>
      <c r="F13" s="123">
        <f t="shared" si="2"/>
        <v>45.484472337519577</v>
      </c>
      <c r="G13" s="123">
        <f t="shared" si="2"/>
        <v>45.454721817674184</v>
      </c>
      <c r="H13" s="123">
        <f t="shared" si="2"/>
        <v>45.448559125742385</v>
      </c>
      <c r="I13" s="123">
        <f t="shared" si="2"/>
        <v>45.460600376784768</v>
      </c>
      <c r="J13" s="123">
        <f t="shared" si="2"/>
        <v>45.484365998718829</v>
      </c>
      <c r="K13" s="123">
        <f t="shared" si="2"/>
        <v>45.512206355216833</v>
      </c>
      <c r="L13" s="123">
        <f t="shared" si="2"/>
        <v>45.535343836503529</v>
      </c>
      <c r="M13" s="123">
        <f t="shared" si="2"/>
        <v>45.544063378331856</v>
      </c>
      <c r="N13" s="123">
        <f t="shared" si="2"/>
        <v>45.528065408579764</v>
      </c>
      <c r="O13" s="123">
        <f t="shared" si="2"/>
        <v>45.476967334012656</v>
      </c>
      <c r="P13" s="123">
        <f t="shared" si="2"/>
        <v>45.380906856965524</v>
      </c>
      <c r="Q13" s="123">
        <f t="shared" si="2"/>
        <v>45.231171645579778</v>
      </c>
      <c r="R13" s="123">
        <f t="shared" si="2"/>
        <v>45.020765422574932</v>
      </c>
      <c r="S13" s="123">
        <f t="shared" si="2"/>
        <v>44.744827309028508</v>
      </c>
      <c r="T13" s="123">
        <f t="shared" si="2"/>
        <v>44.400848855468951</v>
      </c>
      <c r="U13" s="123">
        <f t="shared" si="2"/>
        <v>43.98867324999366</v>
      </c>
      <c r="V13" s="123">
        <f t="shared" si="2"/>
        <v>43.510301003469763</v>
      </c>
      <c r="W13" s="123">
        <f t="shared" si="2"/>
        <v>42.9695547032345</v>
      </c>
    </row>
    <row r="14" spans="1:23">
      <c r="A14" s="38" t="str">
        <f>A23</f>
        <v>HPWH</v>
      </c>
      <c r="B14" s="123">
        <f t="shared" ref="B14:W14" si="3">(B23+B32+B41)</f>
        <v>0</v>
      </c>
      <c r="C14" s="123">
        <f t="shared" si="3"/>
        <v>1.8062986280179591E-3</v>
      </c>
      <c r="D14" s="123">
        <f t="shared" si="3"/>
        <v>3.7755196064338864E-3</v>
      </c>
      <c r="E14" s="123">
        <f t="shared" si="3"/>
        <v>7.3537990454722903E-3</v>
      </c>
      <c r="F14" s="123">
        <f t="shared" si="3"/>
        <v>1.3558129852584996E-2</v>
      </c>
      <c r="G14" s="123">
        <f t="shared" si="3"/>
        <v>2.3851465300421419E-2</v>
      </c>
      <c r="H14" s="123">
        <f t="shared" si="3"/>
        <v>4.023548048991725E-2</v>
      </c>
      <c r="I14" s="123">
        <f t="shared" si="3"/>
        <v>6.5316662056049066E-2</v>
      </c>
      <c r="J14" s="123">
        <f t="shared" si="3"/>
        <v>0.10232294835806652</v>
      </c>
      <c r="K14" s="123">
        <f t="shared" si="3"/>
        <v>0.15504775878935309</v>
      </c>
      <c r="L14" s="123">
        <f t="shared" si="3"/>
        <v>0.22770311620387551</v>
      </c>
      <c r="M14" s="123">
        <f t="shared" si="3"/>
        <v>0.32467519643970999</v>
      </c>
      <c r="N14" s="123">
        <f t="shared" si="3"/>
        <v>0.45019401969015826</v>
      </c>
      <c r="O14" s="123">
        <f t="shared" si="3"/>
        <v>0.60795137423077827</v>
      </c>
      <c r="P14" s="123">
        <f t="shared" si="3"/>
        <v>0.80072148292271716</v>
      </c>
      <c r="Q14" s="123">
        <f t="shared" si="3"/>
        <v>1.0300495336397228</v>
      </c>
      <c r="R14" s="123">
        <f t="shared" si="3"/>
        <v>1.2960675012663958</v>
      </c>
      <c r="S14" s="123">
        <f t="shared" si="3"/>
        <v>1.597473454156241</v>
      </c>
      <c r="T14" s="123">
        <f t="shared" si="3"/>
        <v>1.9316757722570665</v>
      </c>
      <c r="U14" s="123">
        <f t="shared" si="3"/>
        <v>2.2950687737979929</v>
      </c>
      <c r="V14" s="123">
        <f t="shared" si="3"/>
        <v>2.6833826684183402</v>
      </c>
      <c r="W14" s="123">
        <f t="shared" si="3"/>
        <v>3.0920448033997072</v>
      </c>
    </row>
    <row r="15" spans="1:23">
      <c r="A15" s="38" t="str">
        <f>A24</f>
        <v>Gas Tank</v>
      </c>
      <c r="B15" s="123">
        <f t="shared" ref="B15:W15" si="4">(B24+B33+B42)</f>
        <v>0</v>
      </c>
      <c r="C15" s="123">
        <f t="shared" si="4"/>
        <v>1.9720248463725056</v>
      </c>
      <c r="D15" s="123">
        <f t="shared" si="4"/>
        <v>2.3809993955708206</v>
      </c>
      <c r="E15" s="123">
        <f t="shared" si="4"/>
        <v>2.7720503534904388</v>
      </c>
      <c r="F15" s="123">
        <f t="shared" si="4"/>
        <v>3.1459297110861528</v>
      </c>
      <c r="G15" s="123">
        <f t="shared" si="4"/>
        <v>3.5031573322970004</v>
      </c>
      <c r="H15" s="123">
        <f t="shared" si="4"/>
        <v>3.8439809887393839</v>
      </c>
      <c r="I15" s="123">
        <f t="shared" si="4"/>
        <v>4.1683408770386645</v>
      </c>
      <c r="J15" s="123">
        <f t="shared" si="4"/>
        <v>4.4758467979184804</v>
      </c>
      <c r="K15" s="123">
        <f t="shared" si="4"/>
        <v>4.7657773408524466</v>
      </c>
      <c r="L15" s="123">
        <f t="shared" si="4"/>
        <v>5.0371099932435435</v>
      </c>
      <c r="M15" s="123">
        <f t="shared" si="4"/>
        <v>5.288588343177504</v>
      </c>
      <c r="N15" s="123">
        <f t="shared" si="4"/>
        <v>5.5188271188600933</v>
      </c>
      <c r="O15" s="123">
        <f t="shared" si="4"/>
        <v>5.7264481978241673</v>
      </c>
      <c r="P15" s="123">
        <f t="shared" si="4"/>
        <v>5.9102325568628693</v>
      </c>
      <c r="Q15" s="123">
        <f t="shared" si="4"/>
        <v>6.069266977625368</v>
      </c>
      <c r="R15" s="123">
        <f t="shared" si="4"/>
        <v>6.2030627560845124</v>
      </c>
      <c r="S15" s="123">
        <f t="shared" si="4"/>
        <v>6.3116279967760249</v>
      </c>
      <c r="T15" s="123">
        <f t="shared" si="4"/>
        <v>6.3954844025605064</v>
      </c>
      <c r="U15" s="123">
        <f t="shared" si="4"/>
        <v>6.4556308403538418</v>
      </c>
      <c r="V15" s="123">
        <f t="shared" si="4"/>
        <v>6.4934656824018182</v>
      </c>
      <c r="W15" s="123">
        <f t="shared" si="4"/>
        <v>6.5106852755500189</v>
      </c>
    </row>
    <row r="16" spans="1:23">
      <c r="A16" s="38" t="str">
        <f>A25</f>
        <v>Instant Gas</v>
      </c>
      <c r="B16" s="123">
        <f t="shared" ref="B16:W16" si="5">(B25+B34+B43)</f>
        <v>0</v>
      </c>
      <c r="C16" s="123">
        <f t="shared" si="5"/>
        <v>1.0531844353053892E-3</v>
      </c>
      <c r="D16" s="123">
        <f t="shared" si="5"/>
        <v>2.1752256942293023E-3</v>
      </c>
      <c r="E16" s="123">
        <f t="shared" si="5"/>
        <v>4.2195859526482551E-3</v>
      </c>
      <c r="F16" s="123">
        <f t="shared" si="5"/>
        <v>7.7717743044408861E-3</v>
      </c>
      <c r="G16" s="123">
        <f t="shared" si="5"/>
        <v>1.3675059199664739E-2</v>
      </c>
      <c r="H16" s="123">
        <f t="shared" si="5"/>
        <v>2.3083969186107327E-2</v>
      </c>
      <c r="I16" s="123">
        <f t="shared" si="5"/>
        <v>3.7501756062136064E-2</v>
      </c>
      <c r="J16" s="123">
        <f t="shared" si="5"/>
        <v>5.8788165642349989E-2</v>
      </c>
      <c r="K16" s="123">
        <f t="shared" si="5"/>
        <v>8.9123593453548422E-2</v>
      </c>
      <c r="L16" s="123">
        <f t="shared" si="5"/>
        <v>0.1309186299568123</v>
      </c>
      <c r="M16" s="123">
        <f t="shared" si="5"/>
        <v>0.18666508316827912</v>
      </c>
      <c r="N16" s="123">
        <f t="shared" si="5"/>
        <v>0.25873583559794411</v>
      </c>
      <c r="O16" s="123">
        <f t="shared" si="5"/>
        <v>0.34915467698210428</v>
      </c>
      <c r="P16" s="123">
        <f t="shared" si="5"/>
        <v>0.45936987222851294</v>
      </c>
      <c r="Q16" s="123">
        <f t="shared" si="5"/>
        <v>0.59007175762476816</v>
      </c>
      <c r="R16" s="123">
        <f t="shared" si="5"/>
        <v>0.7410909878054075</v>
      </c>
      <c r="S16" s="123">
        <f t="shared" si="5"/>
        <v>0.91139933982524557</v>
      </c>
      <c r="T16" s="123">
        <f t="shared" si="5"/>
        <v>1.0992129716764398</v>
      </c>
      <c r="U16" s="123">
        <f t="shared" si="5"/>
        <v>1.3021759374789537</v>
      </c>
      <c r="V16" s="123">
        <f t="shared" si="5"/>
        <v>1.5175869478653394</v>
      </c>
      <c r="W16" s="123">
        <f t="shared" si="5"/>
        <v>1.7426288852624037</v>
      </c>
    </row>
    <row r="17" spans="1:23">
      <c r="A17" s="38" t="str">
        <f>A26</f>
        <v>Condensing Gas</v>
      </c>
      <c r="B17" s="123">
        <f t="shared" ref="B17:W17" si="6">(B26+B35+B44)</f>
        <v>0</v>
      </c>
      <c r="C17" s="123">
        <f t="shared" si="6"/>
        <v>2.2976352568295968E-3</v>
      </c>
      <c r="D17" s="123">
        <f t="shared" si="6"/>
        <v>4.7312792876117995E-3</v>
      </c>
      <c r="E17" s="123">
        <f t="shared" si="6"/>
        <v>9.1553363572272478E-3</v>
      </c>
      <c r="F17" s="123">
        <f t="shared" si="6"/>
        <v>1.682450438662075E-2</v>
      </c>
      <c r="G17" s="123">
        <f t="shared" si="6"/>
        <v>2.9539654769307887E-2</v>
      </c>
      <c r="H17" s="123">
        <f t="shared" si="6"/>
        <v>4.9757492012248022E-2</v>
      </c>
      <c r="I17" s="123">
        <f t="shared" si="6"/>
        <v>8.0664459982359632E-2</v>
      </c>
      <c r="J17" s="123">
        <f t="shared" si="6"/>
        <v>0.12618618835878864</v>
      </c>
      <c r="K17" s="123">
        <f t="shared" si="6"/>
        <v>0.19090369221329495</v>
      </c>
      <c r="L17" s="123">
        <f t="shared" si="6"/>
        <v>0.27985427295631549</v>
      </c>
      <c r="M17" s="123">
        <f t="shared" si="6"/>
        <v>0.39821051755759129</v>
      </c>
      <c r="N17" s="123">
        <f t="shared" si="6"/>
        <v>0.5508548275170323</v>
      </c>
      <c r="O17" s="123">
        <f t="shared" si="6"/>
        <v>0.74189579946978546</v>
      </c>
      <c r="P17" s="123">
        <f t="shared" si="6"/>
        <v>0.97419862924027245</v>
      </c>
      <c r="Q17" s="123">
        <f t="shared" si="6"/>
        <v>1.249014209968683</v>
      </c>
      <c r="R17" s="123">
        <f t="shared" si="6"/>
        <v>1.5657823680820191</v>
      </c>
      <c r="S17" s="123">
        <f t="shared" si="6"/>
        <v>1.9221524524313449</v>
      </c>
      <c r="T17" s="123">
        <f t="shared" si="6"/>
        <v>2.3142176496138034</v>
      </c>
      <c r="U17" s="123">
        <f t="shared" si="6"/>
        <v>2.7369133423058063</v>
      </c>
      <c r="V17" s="123">
        <f t="shared" si="6"/>
        <v>3.1844999015911899</v>
      </c>
      <c r="W17" s="123">
        <f t="shared" si="6"/>
        <v>3.65104456412366</v>
      </c>
    </row>
    <row r="18" spans="1:23">
      <c r="A18" s="12"/>
    </row>
    <row r="19" spans="1:23">
      <c r="A19" s="12" t="s">
        <v>117</v>
      </c>
    </row>
    <row r="20" spans="1:23">
      <c r="A20" s="14" t="str">
        <f>'Water Heaters Purchased'!A4</f>
        <v>Water Heat Ending</v>
      </c>
      <c r="B20" s="9">
        <f>'Water Heaters Purchased'!B4</f>
        <v>2014</v>
      </c>
      <c r="C20" s="9">
        <f>'Water Heaters Purchased'!C4</f>
        <v>2015</v>
      </c>
      <c r="D20" s="9">
        <f>'Water Heaters Purchased'!D4</f>
        <v>2016</v>
      </c>
      <c r="E20" s="9">
        <f>'Water Heaters Purchased'!E4</f>
        <v>2017</v>
      </c>
      <c r="F20" s="9">
        <f>'Water Heaters Purchased'!F4</f>
        <v>2018</v>
      </c>
      <c r="G20" s="9">
        <f>'Water Heaters Purchased'!G4</f>
        <v>2019</v>
      </c>
      <c r="H20" s="9">
        <f>'Water Heaters Purchased'!H4</f>
        <v>2020</v>
      </c>
      <c r="I20" s="9">
        <f>'Water Heaters Purchased'!I4</f>
        <v>2021</v>
      </c>
      <c r="J20" s="9">
        <f>'Water Heaters Purchased'!J4</f>
        <v>2022</v>
      </c>
      <c r="K20" s="9">
        <f>'Water Heaters Purchased'!K4</f>
        <v>2023</v>
      </c>
      <c r="L20" s="9">
        <f>'Water Heaters Purchased'!L4</f>
        <v>2024</v>
      </c>
      <c r="M20" s="9">
        <f>'Water Heaters Purchased'!M4</f>
        <v>2025</v>
      </c>
      <c r="N20" s="9">
        <f>'Water Heaters Purchased'!N4</f>
        <v>2026</v>
      </c>
      <c r="O20" s="9">
        <f>'Water Heaters Purchased'!O4</f>
        <v>2027</v>
      </c>
      <c r="P20" s="9">
        <f>'Water Heaters Purchased'!P4</f>
        <v>2028</v>
      </c>
      <c r="Q20" s="9">
        <f>'Water Heaters Purchased'!Q4</f>
        <v>2029</v>
      </c>
      <c r="R20" s="9">
        <f>'Water Heaters Purchased'!R4</f>
        <v>2030</v>
      </c>
      <c r="S20" s="9">
        <f>'Water Heaters Purchased'!S4</f>
        <v>2031</v>
      </c>
      <c r="T20" s="9">
        <f>'Water Heaters Purchased'!T4</f>
        <v>2032</v>
      </c>
      <c r="U20" s="9">
        <f>'Water Heaters Purchased'!U4</f>
        <v>2033</v>
      </c>
      <c r="V20" s="9">
        <f>'Water Heaters Purchased'!V4</f>
        <v>2034</v>
      </c>
      <c r="W20" s="9">
        <f>'Water Heaters Purchased'!W4</f>
        <v>2035</v>
      </c>
    </row>
    <row r="21" spans="1:23" ht="16.5" thickBot="1">
      <c r="A21" s="49" t="s">
        <v>48</v>
      </c>
      <c r="B21" s="129">
        <f>SUM(B22:B26)</f>
        <v>0</v>
      </c>
      <c r="C21" s="129">
        <f t="shared" ref="C21:W21" si="7">SUM(C22:C26)</f>
        <v>5.7529932914291226</v>
      </c>
      <c r="D21" s="129">
        <f t="shared" si="7"/>
        <v>5.7565757223439817</v>
      </c>
      <c r="E21" s="129">
        <f t="shared" si="7"/>
        <v>5.7628050020947716</v>
      </c>
      <c r="F21" s="129">
        <f t="shared" si="7"/>
        <v>5.7733186840551483</v>
      </c>
      <c r="G21" s="129">
        <f t="shared" si="7"/>
        <v>5.7904360476567902</v>
      </c>
      <c r="H21" s="129">
        <f t="shared" si="7"/>
        <v>5.8172725812717889</v>
      </c>
      <c r="I21" s="129">
        <f t="shared" si="7"/>
        <v>5.8577962075044976</v>
      </c>
      <c r="J21" s="129">
        <f t="shared" si="7"/>
        <v>5.9167881481938052</v>
      </c>
      <c r="K21" s="129">
        <f t="shared" si="7"/>
        <v>5.9996737544861229</v>
      </c>
      <c r="L21" s="129">
        <f t="shared" si="7"/>
        <v>6.1122006244281692</v>
      </c>
      <c r="M21" s="129">
        <f t="shared" si="7"/>
        <v>6.2599649064098948</v>
      </c>
      <c r="N21" s="129">
        <f t="shared" si="7"/>
        <v>6.4478208139222914</v>
      </c>
      <c r="O21" s="129">
        <f t="shared" si="7"/>
        <v>6.6792469796871661</v>
      </c>
      <c r="P21" s="129">
        <f t="shared" si="7"/>
        <v>6.9557748135852329</v>
      </c>
      <c r="Q21" s="129">
        <f t="shared" si="7"/>
        <v>7.2765943867293599</v>
      </c>
      <c r="R21" s="129">
        <f t="shared" si="7"/>
        <v>7.6384322140469996</v>
      </c>
      <c r="S21" s="129">
        <f t="shared" si="7"/>
        <v>8.035743124249084</v>
      </c>
      <c r="T21" s="129">
        <f t="shared" si="7"/>
        <v>8.4611892900518377</v>
      </c>
      <c r="U21" s="129">
        <f t="shared" si="7"/>
        <v>8.9063164175587897</v>
      </c>
      <c r="V21" s="129">
        <f t="shared" si="7"/>
        <v>9.3623012818867331</v>
      </c>
      <c r="W21" s="129">
        <f t="shared" si="7"/>
        <v>9.8206456415034431</v>
      </c>
    </row>
    <row r="22" spans="1:23" ht="16.5" thickTop="1">
      <c r="A22" s="9" t="str">
        <f>'Water Heaters Purchased'!A6</f>
        <v>Electric Resistance</v>
      </c>
      <c r="B22" s="123">
        <f>('Water Heaters Purchased'!B6*'Capital Cost'!$E5)/1000000</f>
        <v>0</v>
      </c>
      <c r="C22" s="123">
        <f>('Water Heaters Purchased'!C6*'Capital Cost'!$E5)/1000000</f>
        <v>4.2026164432702773</v>
      </c>
      <c r="D22" s="123">
        <f>('Water Heaters Purchased'!D6*'Capital Cost'!$E5)/1000000</f>
        <v>4.2002442352780758</v>
      </c>
      <c r="E22" s="123">
        <f>('Water Heaters Purchased'!E6*'Capital Cost'!$E5)/1000000</f>
        <v>4.1970282886350576</v>
      </c>
      <c r="F22" s="123">
        <f>('Water Heaters Purchased'!F6*'Capital Cost'!$E5)/1000000</f>
        <v>4.1924173844580679</v>
      </c>
      <c r="G22" s="123">
        <f>('Water Heaters Purchased'!G6*'Capital Cost'!$E5)/1000000</f>
        <v>4.1856320632469481</v>
      </c>
      <c r="H22" s="123">
        <f>('Water Heaters Purchased'!H6*'Capital Cost'!$E5)/1000000</f>
        <v>4.1756270264967412</v>
      </c>
      <c r="I22" s="123">
        <f>('Water Heaters Purchased'!I6*'Capital Cost'!$E5)/1000000</f>
        <v>4.1610733605028134</v>
      </c>
      <c r="J22" s="123">
        <f>('Water Heaters Purchased'!J6*'Capital Cost'!$E5)/1000000</f>
        <v>4.1403729416253983</v>
      </c>
      <c r="K22" s="123">
        <f>('Water Heaters Purchased'!K6*'Capital Cost'!$E5)/1000000</f>
        <v>4.1117164789316414</v>
      </c>
      <c r="L22" s="123">
        <f>('Water Heaters Purchased'!L6*'Capital Cost'!$E5)/1000000</f>
        <v>4.0731925416351329</v>
      </c>
      <c r="M22" s="123">
        <f>('Water Heaters Purchased'!M6*'Capital Cost'!$E5)/1000000</f>
        <v>4.0229469586477631</v>
      </c>
      <c r="N22" s="123">
        <f>('Water Heaters Purchased'!N6*'Capital Cost'!$E5)/1000000</f>
        <v>3.9593805432446261</v>
      </c>
      <c r="O22" s="123">
        <f>('Water Heaters Purchased'!O6*'Capital Cost'!$E5)/1000000</f>
        <v>3.8813602515813797</v>
      </c>
      <c r="P22" s="123">
        <f>('Water Heaters Purchased'!P6*'Capital Cost'!$E5)/1000000</f>
        <v>3.7884085032545953</v>
      </c>
      <c r="Q22" s="123">
        <f>('Water Heaters Purchased'!Q6*'Capital Cost'!$E5)/1000000</f>
        <v>3.6808321718751662</v>
      </c>
      <c r="R22" s="123">
        <f>('Water Heaters Purchased'!R6*'Capital Cost'!$E5)/1000000</f>
        <v>3.5597600827037201</v>
      </c>
      <c r="S22" s="123">
        <f>('Water Heaters Purchased'!S6*'Capital Cost'!$E5)/1000000</f>
        <v>3.4270754842442859</v>
      </c>
      <c r="T22" s="123">
        <f>('Water Heaters Purchased'!T6*'Capital Cost'!$E5)/1000000</f>
        <v>3.285253101231266</v>
      </c>
      <c r="U22" s="123">
        <f>('Water Heaters Purchased'!U6*'Capital Cost'!$E5)/1000000</f>
        <v>3.1371313260823279</v>
      </c>
      <c r="V22" s="123">
        <f>('Water Heaters Purchased'!V6*'Capital Cost'!$E5)/1000000</f>
        <v>2.9856618192893922</v>
      </c>
      <c r="W22" s="123">
        <f>('Water Heaters Purchased'!W6*'Capital Cost'!$E5)/1000000</f>
        <v>2.8336782201485891</v>
      </c>
    </row>
    <row r="23" spans="1:23">
      <c r="A23" s="9" t="str">
        <f>'Water Heaters Purchased'!A7</f>
        <v>HPWH</v>
      </c>
      <c r="B23" s="123">
        <f>('Water Heaters Purchased'!B7*'Capital Cost'!$E6)/1000000</f>
        <v>0</v>
      </c>
      <c r="C23" s="123">
        <f>('Water Heaters Purchased'!C7*'Capital Cost'!$E6)/1000000</f>
        <v>1.6353977661415641E-3</v>
      </c>
      <c r="D23" s="123">
        <f>('Water Heaters Purchased'!D7*'Capital Cost'!$E6)/1000000</f>
        <v>3.2690748179955132E-3</v>
      </c>
      <c r="E23" s="123">
        <f>('Water Heaters Purchased'!E7*'Capital Cost'!$E6)/1000000</f>
        <v>6.2125364576561233E-3</v>
      </c>
      <c r="F23" s="123">
        <f>('Water Heaters Purchased'!F7*'Capital Cost'!$E6)/1000000</f>
        <v>1.1264413327761401E-2</v>
      </c>
      <c r="G23" s="123">
        <f>('Water Heaters Purchased'!G7*'Capital Cost'!$E6)/1000000</f>
        <v>1.9550322176598019E-2</v>
      </c>
      <c r="H23" s="123">
        <f>('Water Heaters Purchased'!H7*'Capital Cost'!$E6)/1000000</f>
        <v>3.2574424687595985E-2</v>
      </c>
      <c r="I23" s="123">
        <f>('Water Heaters Purchased'!I7*'Capital Cost'!$E6)/1000000</f>
        <v>5.2241512641735988E-2</v>
      </c>
      <c r="J23" s="123">
        <f>('Water Heaters Purchased'!J7*'Capital Cost'!$E6)/1000000</f>
        <v>8.0832070710579934E-2</v>
      </c>
      <c r="K23" s="123">
        <f>('Water Heaters Purchased'!K7*'Capital Cost'!$E6)/1000000</f>
        <v>0.12091435918220707</v>
      </c>
      <c r="L23" s="123">
        <f>('Water Heaters Purchased'!L7*'Capital Cost'!$E6)/1000000</f>
        <v>0.17518376207211861</v>
      </c>
      <c r="M23" s="123">
        <f>('Water Heaters Purchased'!M7*'Capital Cost'!$E6)/1000000</f>
        <v>0.24623130264640461</v>
      </c>
      <c r="N23" s="123">
        <f>('Water Heaters Purchased'!N7*'Capital Cost'!$E6)/1000000</f>
        <v>0.33625968455158134</v>
      </c>
      <c r="O23" s="123">
        <f>('Water Heaters Purchased'!O7*'Capital Cost'!$E6)/1000000</f>
        <v>0.44678340567007702</v>
      </c>
      <c r="P23" s="123">
        <f>('Water Heaters Purchased'!P7*'Capital Cost'!$E6)/1000000</f>
        <v>0.57836381577774632</v>
      </c>
      <c r="Q23" s="123">
        <f>('Water Heaters Purchased'!Q7*'Capital Cost'!$E6)/1000000</f>
        <v>0.73043379388646934</v>
      </c>
      <c r="R23" s="123">
        <f>('Water Heaters Purchased'!R7*'Capital Cost'!$E6)/1000000</f>
        <v>0.90125536883946344</v>
      </c>
      <c r="S23" s="123">
        <f>('Water Heaters Purchased'!S7*'Capital Cost'!$E6)/1000000</f>
        <v>1.0880277531884013</v>
      </c>
      <c r="T23" s="123">
        <f>('Water Heaters Purchased'!T7*'Capital Cost'!$E6)/1000000</f>
        <v>1.2871300172717905</v>
      </c>
      <c r="U23" s="123">
        <f>('Water Heaters Purchased'!U7*'Capital Cost'!$E6)/1000000</f>
        <v>1.4944530941812788</v>
      </c>
      <c r="V23" s="123">
        <f>('Water Heaters Purchased'!V7*'Capital Cost'!$E6)/1000000</f>
        <v>1.7057599010675057</v>
      </c>
      <c r="W23" s="123">
        <f>('Water Heaters Purchased'!W7*'Capital Cost'!$E6)/1000000</f>
        <v>1.9170141333979718</v>
      </c>
    </row>
    <row r="24" spans="1:23">
      <c r="A24" s="9" t="str">
        <f>'Water Heaters Purchased'!A8</f>
        <v>Gas Tank</v>
      </c>
      <c r="B24" s="123">
        <f>('Water Heaters Purchased'!B8*'Capital Cost'!$E7)/1000000</f>
        <v>0</v>
      </c>
      <c r="C24" s="123">
        <f>('Water Heaters Purchased'!C8*'Capital Cost'!$E7)/1000000</f>
        <v>1.545578497228518</v>
      </c>
      <c r="D24" s="123">
        <f>('Water Heaters Purchased'!D8*'Capital Cost'!$E7)/1000000</f>
        <v>1.5467140571672391</v>
      </c>
      <c r="E24" s="123">
        <f>('Water Heaters Purchased'!E8*'Capital Cost'!$E7)/1000000</f>
        <v>1.5474507246633602</v>
      </c>
      <c r="F24" s="123">
        <f>('Water Heaters Purchased'!F8*'Capital Cost'!$E7)/1000000</f>
        <v>1.5475839919245835</v>
      </c>
      <c r="G24" s="123">
        <f>('Water Heaters Purchased'!G8*'Capital Cost'!$E7)/1000000</f>
        <v>1.5468242160958994</v>
      </c>
      <c r="H24" s="123">
        <f>('Water Heaters Purchased'!H8*'Capital Cost'!$E7)/1000000</f>
        <v>1.544782369365018</v>
      </c>
      <c r="I24" s="123">
        <f>('Water Heaters Purchased'!I8*'Capital Cost'!$E7)/1000000</f>
        <v>1.5409631146550231</v>
      </c>
      <c r="J24" s="123">
        <f>('Water Heaters Purchased'!J8*'Capital Cost'!$E7)/1000000</f>
        <v>1.5347698535362013</v>
      </c>
      <c r="K24" s="123">
        <f>('Water Heaters Purchased'!K8*'Capital Cost'!$E7)/1000000</f>
        <v>1.5255260795380565</v>
      </c>
      <c r="L24" s="123">
        <f>('Water Heaters Purchased'!L8*'Capital Cost'!$E7)/1000000</f>
        <v>1.5125158548037112</v>
      </c>
      <c r="M24" s="123">
        <f>('Water Heaters Purchased'!M8*'Capital Cost'!$E7)/1000000</f>
        <v>1.4950432622131447</v>
      </c>
      <c r="N24" s="123">
        <f>('Water Heaters Purchased'!N8*'Capital Cost'!$E7)/1000000</f>
        <v>1.4725064023402625</v>
      </c>
      <c r="O24" s="123">
        <f>('Water Heaters Purchased'!O8*'Capital Cost'!$E7)/1000000</f>
        <v>1.4444766716491986</v>
      </c>
      <c r="P24" s="123">
        <f>('Water Heaters Purchased'!P8*'Capital Cost'!$E7)/1000000</f>
        <v>1.4107701248498328</v>
      </c>
      <c r="Q24" s="123">
        <f>('Water Heaters Purchased'!Q8*'Capital Cost'!$E7)/1000000</f>
        <v>1.371496457196836</v>
      </c>
      <c r="R24" s="123">
        <f>('Water Heaters Purchased'!R8*'Capital Cost'!$E7)/1000000</f>
        <v>1.3270738282501164</v>
      </c>
      <c r="S24" s="123">
        <f>('Water Heaters Purchased'!S8*'Capital Cost'!$E7)/1000000</f>
        <v>1.2782043154769529</v>
      </c>
      <c r="T24" s="123">
        <f>('Water Heaters Purchased'!T8*'Capital Cost'!$E7)/1000000</f>
        <v>1.2258134556586968</v>
      </c>
      <c r="U24" s="123">
        <f>('Water Heaters Purchased'!U8*'Capital Cost'!$E7)/1000000</f>
        <v>1.170965220919497</v>
      </c>
      <c r="V24" s="123">
        <f>('Water Heaters Purchased'!V8*'Capital Cost'!$E7)/1000000</f>
        <v>1.1147682304274835</v>
      </c>
      <c r="W24" s="123">
        <f>('Water Heaters Purchased'!W8*'Capital Cost'!$E7)/1000000</f>
        <v>1.0582888534524368</v>
      </c>
    </row>
    <row r="25" spans="1:23">
      <c r="A25" s="9" t="str">
        <f>'Water Heaters Purchased'!A9</f>
        <v>Instant Gas</v>
      </c>
      <c r="B25" s="123">
        <f>('Water Heaters Purchased'!B9*'Capital Cost'!$E8)/1000000</f>
        <v>0</v>
      </c>
      <c r="C25" s="123">
        <f>('Water Heaters Purchased'!C9*'Capital Cost'!$E8)/1000000</f>
        <v>9.9253512179642376E-4</v>
      </c>
      <c r="D25" s="123">
        <f>('Water Heaters Purchased'!D9*'Capital Cost'!$E8)/1000000</f>
        <v>1.9952024269185098E-3</v>
      </c>
      <c r="E25" s="123">
        <f>('Water Heaters Purchased'!E9*'Capital Cost'!$E8)/1000000</f>
        <v>3.8130286345830246E-3</v>
      </c>
      <c r="F25" s="123">
        <f>('Water Heaters Purchased'!F9*'Capital Cost'!$E8)/1000000</f>
        <v>6.9526090085251348E-3</v>
      </c>
      <c r="G25" s="123">
        <f>('Water Heaters Purchased'!G9*'Capital Cost'!$E8)/1000000</f>
        <v>1.213472861703512E-2</v>
      </c>
      <c r="H25" s="123">
        <f>('Water Heaters Purchased'!H9*'Capital Cost'!$E8)/1000000</f>
        <v>2.0332385578550688E-2</v>
      </c>
      <c r="I25" s="123">
        <f>('Water Heaters Purchased'!I9*'Capital Cost'!$E8)/1000000</f>
        <v>3.2791476776804898E-2</v>
      </c>
      <c r="J25" s="123">
        <f>('Water Heaters Purchased'!J9*'Capital Cost'!$E8)/1000000</f>
        <v>5.102235548192325E-2</v>
      </c>
      <c r="K25" s="123">
        <f>('Water Heaters Purchased'!K9*'Capital Cost'!$E8)/1000000</f>
        <v>7.6750968330737926E-2</v>
      </c>
      <c r="L25" s="123">
        <f>('Water Heaters Purchased'!L9*'Capital Cost'!$E8)/1000000</f>
        <v>0.11182176287948055</v>
      </c>
      <c r="M25" s="123">
        <f>('Water Heaters Purchased'!M9*'Capital Cost'!$E8)/1000000</f>
        <v>0.15805173322659119</v>
      </c>
      <c r="N25" s="123">
        <f>('Water Heaters Purchased'!N9*'Capital Cost'!$E8)/1000000</f>
        <v>0.21704561872908384</v>
      </c>
      <c r="O25" s="123">
        <f>('Water Heaters Purchased'!O9*'Capital Cost'!$E8)/1000000</f>
        <v>0.28999458023081914</v>
      </c>
      <c r="P25" s="123">
        <f>('Water Heaters Purchased'!P9*'Capital Cost'!$E8)/1000000</f>
        <v>0.37749106919755765</v>
      </c>
      <c r="Q25" s="123">
        <f>('Water Heaters Purchased'!Q9*'Capital Cost'!$E8)/1000000</f>
        <v>0.47939658062992835</v>
      </c>
      <c r="R25" s="123">
        <f>('Water Heaters Purchased'!R9*'Capital Cost'!$E8)/1000000</f>
        <v>0.59479310318741185</v>
      </c>
      <c r="S25" s="123">
        <f>('Water Heaters Purchased'!S9*'Capital Cost'!$E8)/1000000</f>
        <v>0.72203323007520204</v>
      </c>
      <c r="T25" s="123">
        <f>('Water Heaters Purchased'!T9*'Capital Cost'!$E8)/1000000</f>
        <v>0.85888227587717392</v>
      </c>
      <c r="U25" s="123">
        <f>('Water Heaters Purchased'!U9*'Capital Cost'!$E8)/1000000</f>
        <v>1.0027255144291127</v>
      </c>
      <c r="V25" s="123">
        <f>('Water Heaters Purchased'!V9*'Capital Cost'!$E8)/1000000</f>
        <v>1.1508016248492512</v>
      </c>
      <c r="W25" s="123">
        <f>('Water Heaters Purchased'!W9*'Capital Cost'!$E8)/1000000</f>
        <v>1.3004228420975892</v>
      </c>
    </row>
    <row r="26" spans="1:23">
      <c r="A26" s="9" t="str">
        <f>'Water Heaters Purchased'!A10</f>
        <v>Condensing Gas</v>
      </c>
      <c r="B26" s="123">
        <f>('Water Heaters Purchased'!B10*'Capital Cost'!$E9)/1000000</f>
        <v>0</v>
      </c>
      <c r="C26" s="123">
        <f>('Water Heaters Purchased'!C10*'Capital Cost'!$E9)/1000000</f>
        <v>2.1704180423894877E-3</v>
      </c>
      <c r="D26" s="123">
        <f>('Water Heaters Purchased'!D10*'Capital Cost'!$E9)/1000000</f>
        <v>4.3531526537526899E-3</v>
      </c>
      <c r="E26" s="123">
        <f>('Water Heaters Purchased'!E10*'Capital Cost'!$E9)/1000000</f>
        <v>8.3004237041153801E-3</v>
      </c>
      <c r="F26" s="123">
        <f>('Water Heaters Purchased'!F10*'Capital Cost'!$E9)/1000000</f>
        <v>1.5100285336210424E-2</v>
      </c>
      <c r="G26" s="123">
        <f>('Water Heaters Purchased'!G10*'Capital Cost'!$E9)/1000000</f>
        <v>2.6294717520310096E-2</v>
      </c>
      <c r="H26" s="123">
        <f>('Water Heaters Purchased'!H10*'Capital Cost'!$E9)/1000000</f>
        <v>4.3956375143882384E-2</v>
      </c>
      <c r="I26" s="123">
        <f>('Water Heaters Purchased'!I10*'Capital Cost'!$E9)/1000000</f>
        <v>7.0726742928120562E-2</v>
      </c>
      <c r="J26" s="123">
        <f>('Water Heaters Purchased'!J10*'Capital Cost'!$E9)/1000000</f>
        <v>0.10979092683970172</v>
      </c>
      <c r="K26" s="123">
        <f>('Water Heaters Purchased'!K10*'Capital Cost'!$E9)/1000000</f>
        <v>0.16476586850347957</v>
      </c>
      <c r="L26" s="123">
        <f>('Water Heaters Purchased'!L10*'Capital Cost'!$E9)/1000000</f>
        <v>0.2394867030377259</v>
      </c>
      <c r="M26" s="123">
        <f>('Water Heaters Purchased'!M10*'Capital Cost'!$E9)/1000000</f>
        <v>0.33769164967599175</v>
      </c>
      <c r="N26" s="123">
        <f>('Water Heaters Purchased'!N10*'Capital Cost'!$E9)/1000000</f>
        <v>0.46262856505673783</v>
      </c>
      <c r="O26" s="123">
        <f>('Water Heaters Purchased'!O10*'Capital Cost'!$E9)/1000000</f>
        <v>0.61663207055569191</v>
      </c>
      <c r="P26" s="123">
        <f>('Water Heaters Purchased'!P10*'Capital Cost'!$E9)/1000000</f>
        <v>0.80074130050550041</v>
      </c>
      <c r="Q26" s="123">
        <f>('Water Heaters Purchased'!Q10*'Capital Cost'!$E9)/1000000</f>
        <v>1.0144353831409596</v>
      </c>
      <c r="R26" s="123">
        <f>('Water Heaters Purchased'!R10*'Capital Cost'!$E9)/1000000</f>
        <v>1.2555498310662869</v>
      </c>
      <c r="S26" s="123">
        <f>('Water Heaters Purchased'!S10*'Capital Cost'!$E9)/1000000</f>
        <v>1.5204023412642433</v>
      </c>
      <c r="T26" s="123">
        <f>('Water Heaters Purchased'!T10*'Capital Cost'!$E9)/1000000</f>
        <v>1.8041104400129109</v>
      </c>
      <c r="U26" s="123">
        <f>('Water Heaters Purchased'!U10*'Capital Cost'!$E9)/1000000</f>
        <v>2.1010412619465733</v>
      </c>
      <c r="V26" s="123">
        <f>('Water Heaters Purchased'!V10*'Capital Cost'!$E9)/1000000</f>
        <v>2.4053097062531017</v>
      </c>
      <c r="W26" s="123">
        <f>('Water Heaters Purchased'!W10*'Capital Cost'!$E9)/1000000</f>
        <v>2.7112415924068558</v>
      </c>
    </row>
    <row r="27" spans="1:23">
      <c r="A27" s="12"/>
    </row>
    <row r="28" spans="1:23">
      <c r="A28" s="12" t="s">
        <v>118</v>
      </c>
    </row>
    <row r="29" spans="1:23">
      <c r="A29" s="14" t="str">
        <f>'Energy Usage'!A16</f>
        <v>Water Heat Ending</v>
      </c>
      <c r="B29" s="9">
        <f>'Water Heater Stock'!B13</f>
        <v>2014</v>
      </c>
      <c r="C29" s="9">
        <f>'Water Heater Stock'!C13</f>
        <v>2015</v>
      </c>
      <c r="D29" s="9">
        <f>'Water Heater Stock'!D13</f>
        <v>2016</v>
      </c>
      <c r="E29" s="9">
        <f>'Water Heater Stock'!E13</f>
        <v>2017</v>
      </c>
      <c r="F29" s="9">
        <f>'Water Heater Stock'!F13</f>
        <v>2018</v>
      </c>
      <c r="G29" s="9">
        <f>'Water Heater Stock'!G13</f>
        <v>2019</v>
      </c>
      <c r="H29" s="9">
        <f>'Water Heater Stock'!H13</f>
        <v>2020</v>
      </c>
      <c r="I29" s="9">
        <f>'Water Heater Stock'!I13</f>
        <v>2021</v>
      </c>
      <c r="J29" s="9">
        <f>'Water Heater Stock'!J13</f>
        <v>2022</v>
      </c>
      <c r="K29" s="9">
        <f>'Water Heater Stock'!K13</f>
        <v>2023</v>
      </c>
      <c r="L29" s="9">
        <f>'Water Heater Stock'!L13</f>
        <v>2024</v>
      </c>
      <c r="M29" s="9">
        <f>'Water Heater Stock'!M13</f>
        <v>2025</v>
      </c>
      <c r="N29" s="9">
        <f>'Water Heater Stock'!N13</f>
        <v>2026</v>
      </c>
      <c r="O29" s="9">
        <f>'Water Heater Stock'!O13</f>
        <v>2027</v>
      </c>
      <c r="P29" s="9">
        <f>'Water Heater Stock'!P13</f>
        <v>2028</v>
      </c>
      <c r="Q29" s="9">
        <f>'Water Heater Stock'!Q13</f>
        <v>2029</v>
      </c>
      <c r="R29" s="9">
        <f>'Water Heater Stock'!R13</f>
        <v>2030</v>
      </c>
      <c r="S29" s="9">
        <f>'Water Heater Stock'!S13</f>
        <v>2031</v>
      </c>
      <c r="T29" s="9">
        <f>'Water Heater Stock'!T13</f>
        <v>2032</v>
      </c>
      <c r="U29" s="9">
        <f>'Water Heater Stock'!U13</f>
        <v>2033</v>
      </c>
      <c r="V29" s="9">
        <f>'Water Heater Stock'!V13</f>
        <v>2034</v>
      </c>
      <c r="W29" s="9">
        <f>'Water Heater Stock'!W13</f>
        <v>2035</v>
      </c>
    </row>
    <row r="30" spans="1:23" ht="16.5" thickBot="1">
      <c r="A30" s="48" t="s">
        <v>48</v>
      </c>
      <c r="B30" s="129">
        <f t="shared" ref="B30:W30" si="8">SUM(B31:B35)</f>
        <v>0.54704960452919282</v>
      </c>
      <c r="C30" s="129">
        <f t="shared" si="8"/>
        <v>0.56578732293793155</v>
      </c>
      <c r="D30" s="129">
        <f t="shared" si="8"/>
        <v>0.58323747956325778</v>
      </c>
      <c r="E30" s="129">
        <f t="shared" si="8"/>
        <v>0.59951726552747664</v>
      </c>
      <c r="F30" s="129">
        <f t="shared" si="8"/>
        <v>0.61475160085754721</v>
      </c>
      <c r="G30" s="129">
        <f t="shared" si="8"/>
        <v>0.62907933488890089</v>
      </c>
      <c r="H30" s="129">
        <f t="shared" si="8"/>
        <v>0.64266016930818248</v>
      </c>
      <c r="I30" s="129">
        <f t="shared" si="8"/>
        <v>0.65568169024541556</v>
      </c>
      <c r="J30" s="129">
        <f t="shared" si="8"/>
        <v>0.66836557021979282</v>
      </c>
      <c r="K30" s="129">
        <f t="shared" si="8"/>
        <v>0.68097171833967141</v>
      </c>
      <c r="L30" s="129">
        <f t="shared" si="8"/>
        <v>0.69379900928705973</v>
      </c>
      <c r="M30" s="129">
        <f t="shared" si="8"/>
        <v>0.70718131415616747</v>
      </c>
      <c r="N30" s="129">
        <f t="shared" si="8"/>
        <v>0.72147797888434329</v>
      </c>
      <c r="O30" s="129">
        <f t="shared" si="8"/>
        <v>0.73705867351555765</v>
      </c>
      <c r="P30" s="129">
        <f t="shared" si="8"/>
        <v>0.75428357724977002</v>
      </c>
      <c r="Q30" s="129">
        <f t="shared" si="8"/>
        <v>0.77348094529659339</v>
      </c>
      <c r="R30" s="129">
        <f t="shared" si="8"/>
        <v>0.79492490991007991</v>
      </c>
      <c r="S30" s="129">
        <f t="shared" si="8"/>
        <v>0.81881660852882032</v>
      </c>
      <c r="T30" s="129">
        <f t="shared" si="8"/>
        <v>0.84527127246961253</v>
      </c>
      <c r="U30" s="129">
        <f t="shared" si="8"/>
        <v>0.87431285202080211</v>
      </c>
      <c r="V30" s="129">
        <f t="shared" si="8"/>
        <v>0.90587640506188427</v>
      </c>
      <c r="W30" s="129">
        <f t="shared" si="8"/>
        <v>0.93981721900804205</v>
      </c>
    </row>
    <row r="31" spans="1:23" ht="16.5" thickTop="1">
      <c r="A31" s="9" t="str">
        <f>'Energy Usage'!A18</f>
        <v>Electric Resistance</v>
      </c>
      <c r="B31" s="123">
        <f>'Water Heater Stock'!B6*'O&amp;M Cost'!$D5/1000000</f>
        <v>0.54704960452919282</v>
      </c>
      <c r="C31" s="123">
        <f>'Water Heater Stock'!C6*'O&amp;M Cost'!$D5/1000000</f>
        <v>0.53804775264984328</v>
      </c>
      <c r="D31" s="123">
        <f>'Water Heater Stock'!D6*'O&amp;M Cost'!$D5/1000000</f>
        <v>0.52967191512353939</v>
      </c>
      <c r="E31" s="123">
        <f>'Water Heater Stock'!E6*'O&amp;M Cost'!$D5/1000000</f>
        <v>0.52187133900685778</v>
      </c>
      <c r="F31" s="123">
        <f>'Water Heater Stock'!F6*'O&amp;M Cost'!$D5/1000000</f>
        <v>0.514594952149666</v>
      </c>
      <c r="G31" s="123">
        <f>'Water Heater Stock'!G6*'O&amp;M Cost'!$D5/1000000</f>
        <v>0.50778975274937754</v>
      </c>
      <c r="H31" s="123">
        <f>'Water Heater Stock'!H6*'O&amp;M Cost'!$D5/1000000</f>
        <v>0.50139904489017184</v>
      </c>
      <c r="I31" s="123">
        <f>'Water Heater Stock'!I6*'O&amp;M Cost'!$D5/1000000</f>
        <v>0.49536067291207292</v>
      </c>
      <c r="J31" s="123">
        <f>'Water Heater Stock'!J6*'O&amp;M Cost'!$D5/1000000</f>
        <v>0.48960548497784318</v>
      </c>
      <c r="K31" s="123">
        <f>'Water Heater Stock'!K6*'O&amp;M Cost'!$D5/1000000</f>
        <v>0.48405632172714919</v>
      </c>
      <c r="L31" s="123">
        <f>'Water Heater Stock'!L6*'O&amp;M Cost'!$D5/1000000</f>
        <v>0.4786278573492303</v>
      </c>
      <c r="M31" s="123">
        <f>'Water Heater Stock'!M6*'O&amp;M Cost'!$D5/1000000</f>
        <v>0.47322759264024195</v>
      </c>
      <c r="N31" s="123">
        <f>'Water Heater Stock'!N6*'O&amp;M Cost'!$D5/1000000</f>
        <v>0.46775819200783397</v>
      </c>
      <c r="O31" s="123">
        <f>'Water Heater Stock'!O6*'O&amp;M Cost'!$D5/1000000</f>
        <v>0.46212116455681579</v>
      </c>
      <c r="P31" s="123">
        <f>'Water Heater Stock'!P6*'O&amp;M Cost'!$D5/1000000</f>
        <v>0.45622163698186929</v>
      </c>
      <c r="Q31" s="123">
        <f>'Water Heater Stock'!Q6*'O&amp;M Cost'!$D5/1000000</f>
        <v>0.44997370857123747</v>
      </c>
      <c r="R31" s="123">
        <f>'Water Heater Stock'!R6*'O&amp;M Cost'!$D5/1000000</f>
        <v>0.44330569203606163</v>
      </c>
      <c r="S31" s="123">
        <f>'Water Heater Stock'!S6*'O&amp;M Cost'!$D5/1000000</f>
        <v>0.43616449677439845</v>
      </c>
      <c r="T31" s="123">
        <f>'Water Heater Stock'!T6*'O&amp;M Cost'!$D5/1000000</f>
        <v>0.42851853302727494</v>
      </c>
      <c r="U31" s="123">
        <f>'Water Heater Stock'!U6*'O&amp;M Cost'!$D5/1000000</f>
        <v>0.4203587784406117</v>
      </c>
      <c r="V31" s="123">
        <f>'Water Heater Stock'!V6*'O&amp;M Cost'!$D5/1000000</f>
        <v>0.41169797663241653</v>
      </c>
      <c r="W31" s="123">
        <f>'Water Heater Stock'!W6*'O&amp;M Cost'!$D5/1000000</f>
        <v>0.40256823794337704</v>
      </c>
    </row>
    <row r="32" spans="1:23">
      <c r="A32" s="9" t="str">
        <f>'Energy Usage'!A19</f>
        <v>HPWH</v>
      </c>
      <c r="B32" s="123">
        <f>'Water Heater Stock'!B7*'O&amp;M Cost'!$D6/1000000</f>
        <v>0</v>
      </c>
      <c r="C32" s="123">
        <f>'Water Heater Stock'!C7*'O&amp;M Cost'!$D6/1000000</f>
        <v>9.850255890463323E-6</v>
      </c>
      <c r="D32" s="123">
        <f>'Water Heater Stock'!D7*'O&amp;M Cost'!$D6/1000000</f>
        <v>2.8836813834318431E-5</v>
      </c>
      <c r="E32" s="123">
        <f>'Water Heater Stock'!E7*'O&amp;M Cost'!$D6/1000000</f>
        <v>6.4196117744880354E-5</v>
      </c>
      <c r="F32" s="123">
        <f>'Water Heater Stock'!F7*'O&amp;M Cost'!$D6/1000000</f>
        <v>1.2745799964270505E-4</v>
      </c>
      <c r="G32" s="123">
        <f>'Water Heater Stock'!G7*'O&amp;M Cost'!$D6/1000000</f>
        <v>2.361084974052423E-4</v>
      </c>
      <c r="H32" s="123">
        <f>'Water Heater Stock'!H7*'O&amp;M Cost'!$D6/1000000</f>
        <v>4.1544444669403132E-4</v>
      </c>
      <c r="I32" s="123">
        <f>'Water Heater Stock'!I7*'O&amp;M Cost'!$D6/1000000</f>
        <v>7.0042862440872905E-4</v>
      </c>
      <c r="J32" s="123">
        <f>'Water Heater Stock'!J7*'O&amp;M Cost'!$D6/1000000</f>
        <v>1.1372621812062906E-3</v>
      </c>
      <c r="K32" s="123">
        <f>'Water Heater Stock'!K7*'O&amp;M Cost'!$D6/1000000</f>
        <v>1.784315217953622E-3</v>
      </c>
      <c r="L32" s="123">
        <f>'Water Heater Stock'!L7*'O&amp;M Cost'!$D6/1000000</f>
        <v>2.7120232610416449E-3</v>
      </c>
      <c r="M32" s="123">
        <f>'Water Heater Stock'!M7*'O&amp;M Cost'!$D6/1000000</f>
        <v>4.0013968652009959E-3</v>
      </c>
      <c r="N32" s="123">
        <f>'Water Heater Stock'!N7*'O&amp;M Cost'!$D6/1000000</f>
        <v>5.7409273446829001E-3</v>
      </c>
      <c r="O32" s="123">
        <f>'Water Heater Stock'!O7*'O&amp;M Cost'!$D6/1000000</f>
        <v>8.0219072626065615E-3</v>
      </c>
      <c r="P32" s="123">
        <f>'Water Heater Stock'!P7*'O&amp;M Cost'!$D6/1000000</f>
        <v>1.0932489382003937E-2</v>
      </c>
      <c r="Q32" s="123">
        <f>'Water Heater Stock'!Q7*'O&amp;M Cost'!$D6/1000000</f>
        <v>1.4551113981785862E-2</v>
      </c>
      <c r="R32" s="123">
        <f>'Water Heater Stock'!R7*'O&amp;M Cost'!$D6/1000000</f>
        <v>1.8940150392372915E-2</v>
      </c>
      <c r="S32" s="123">
        <f>'Water Heater Stock'!S7*'O&amp;M Cost'!$D6/1000000</f>
        <v>2.414064341224938E-2</v>
      </c>
      <c r="T32" s="123">
        <f>'Water Heater Stock'!T7*'O&amp;M Cost'!$D6/1000000</f>
        <v>3.0168896644312247E-2</v>
      </c>
      <c r="U32" s="123">
        <f>'Water Heater Stock'!U7*'O&amp;M Cost'!$D6/1000000</f>
        <v>3.7015299597333344E-2</v>
      </c>
      <c r="V32" s="123">
        <f>'Water Heater Stock'!V7*'O&amp;M Cost'!$D6/1000000</f>
        <v>4.4645407632697601E-2</v>
      </c>
      <c r="W32" s="123">
        <f>'Water Heater Stock'!W7*'O&amp;M Cost'!$D6/1000000</f>
        <v>5.3002925151200218E-2</v>
      </c>
    </row>
    <row r="33" spans="1:23">
      <c r="A33" s="45" t="str">
        <f>'Energy Usage'!A20</f>
        <v>Gas Tank</v>
      </c>
      <c r="B33" s="123">
        <f>'Water Heater Stock'!B8*'O&amp;M Cost'!$D7/1000000</f>
        <v>0</v>
      </c>
      <c r="C33" s="123">
        <f>'Water Heater Stock'!C8*'O&amp;M Cost'!$D7/1000000</f>
        <v>2.7692387097233973E-2</v>
      </c>
      <c r="D33" s="123">
        <f>'Water Heater Stock'!D8*'O&amp;M Cost'!$D7/1000000</f>
        <v>5.3427092561028677E-2</v>
      </c>
      <c r="E33" s="123">
        <f>'Water Heater Stock'!E8*'O&amp;M Cost'!$D7/1000000</f>
        <v>7.7336803771508519E-2</v>
      </c>
      <c r="F33" s="123">
        <f>'Water Heater Stock'!F8*'O&amp;M Cost'!$D7/1000000</f>
        <v>9.9541066238647238E-2</v>
      </c>
      <c r="G33" s="123">
        <f>'Water Heater Stock'!G8*'O&amp;M Cost'!$D7/1000000</f>
        <v>0.12014569692819468</v>
      </c>
      <c r="H33" s="123">
        <f>'Water Heater Stock'!H8*'O&amp;M Cost'!$D7/1000000</f>
        <v>0.13924198417516284</v>
      </c>
      <c r="I33" s="123">
        <f>'Water Heater Stock'!I8*'O&amp;M Cost'!$D7/1000000</f>
        <v>0.15690582068238154</v>
      </c>
      <c r="J33" s="123">
        <f>'Water Heater Stock'!J8*'O&amp;M Cost'!$D7/1000000</f>
        <v>0.1731969888920048</v>
      </c>
      <c r="K33" s="123">
        <f>'Water Heater Stock'!K8*'O&amp;M Cost'!$D7/1000000</f>
        <v>0.18815887999275416</v>
      </c>
      <c r="L33" s="123">
        <f>'Water Heater Stock'!L8*'O&amp;M Cost'!$D7/1000000</f>
        <v>0.2018189582250246</v>
      </c>
      <c r="M33" s="123">
        <f>'Water Heater Stock'!M8*'O&amp;M Cost'!$D7/1000000</f>
        <v>0.21419025723492408</v>
      </c>
      <c r="N33" s="123">
        <f>'Water Heater Stock'!N8*'O&amp;M Cost'!$D7/1000000</f>
        <v>0.22527409536167375</v>
      </c>
      <c r="O33" s="123">
        <f>'Water Heater Stock'!O8*'O&amp;M Cost'!$D7/1000000</f>
        <v>0.23506401741654184</v>
      </c>
      <c r="P33" s="123">
        <f>'Water Heater Stock'!P8*'O&amp;M Cost'!$D7/1000000</f>
        <v>0.243550733517337</v>
      </c>
      <c r="Q33" s="123">
        <f>'Water Heater Stock'!Q8*'O&amp;M Cost'!$D7/1000000</f>
        <v>0.25072758277301116</v>
      </c>
      <c r="R33" s="123">
        <f>'Water Heater Stock'!R8*'O&amp;M Cost'!$D7/1000000</f>
        <v>0.25659587230485914</v>
      </c>
      <c r="S33" s="123">
        <f>'Water Heater Stock'!S8*'O&amp;M Cost'!$D7/1000000</f>
        <v>0.2611693951071658</v>
      </c>
      <c r="T33" s="123">
        <f>'Water Heater Stock'!T8*'O&amp;M Cost'!$D7/1000000</f>
        <v>0.26447754195684636</v>
      </c>
      <c r="U33" s="123">
        <f>'Water Heater Stock'!U8*'O&amp;M Cost'!$D7/1000000</f>
        <v>0.26656666765518594</v>
      </c>
      <c r="V33" s="123">
        <f>'Water Heater Stock'!V8*'O&amp;M Cost'!$D7/1000000</f>
        <v>0.26749967926032897</v>
      </c>
      <c r="W33" s="123">
        <f>'Water Heater Stock'!W8*'O&amp;M Cost'!$D7/1000000</f>
        <v>0.26735409678475941</v>
      </c>
    </row>
    <row r="34" spans="1:23">
      <c r="A34" s="44" t="str">
        <f>'Energy Usage'!A21</f>
        <v>Instant Gas</v>
      </c>
      <c r="B34" s="123">
        <f>'Water Heater Stock'!B9*'O&amp;M Cost'!$D8/1000000</f>
        <v>0</v>
      </c>
      <c r="C34" s="123">
        <f>'Water Heater Stock'!C9*'O&amp;M Cost'!$D8/1000000</f>
        <v>2.0081708086665148E-5</v>
      </c>
      <c r="D34" s="123">
        <f>'Water Heater Stock'!D9*'O&amp;M Cost'!$D8/1000000</f>
        <v>5.9015718401275395E-5</v>
      </c>
      <c r="E34" s="123">
        <f>'Water Heater Stock'!E9*'O&amp;M Cost'!$D8/1000000</f>
        <v>1.3194833854700023E-4</v>
      </c>
      <c r="F34" s="123">
        <f>'Water Heater Stock'!F9*'O&amp;M Cost'!$D8/1000000</f>
        <v>2.6319380881361873E-4</v>
      </c>
      <c r="G34" s="123">
        <f>'Water Heater Stock'!G9*'O&amp;M Cost'!$D8/1000000</f>
        <v>4.899130971220949E-4</v>
      </c>
      <c r="H34" s="123">
        <f>'Water Heater Stock'!H9*'O&amp;M Cost'!$D8/1000000</f>
        <v>8.6629923745965107E-4</v>
      </c>
      <c r="I34" s="123">
        <f>'Water Heater Stock'!I9*'O&amp;M Cost'!$D8/1000000</f>
        <v>1.4678822443288573E-3</v>
      </c>
      <c r="J34" s="123">
        <f>'Water Heater Stock'!J9*'O&amp;M Cost'!$D8/1000000</f>
        <v>2.3953557208244327E-3</v>
      </c>
      <c r="K34" s="123">
        <f>'Water Heater Stock'!K9*'O&amp;M Cost'!$D8/1000000</f>
        <v>3.7771415046397904E-3</v>
      </c>
      <c r="L34" s="123">
        <f>'Water Heater Stock'!L9*'O&amp;M Cost'!$D8/1000000</f>
        <v>5.769806678534729E-3</v>
      </c>
      <c r="M34" s="123">
        <f>'Water Heater Stock'!M9*'O&amp;M Cost'!$D8/1000000</f>
        <v>8.5554977369305188E-3</v>
      </c>
      <c r="N34" s="123">
        <f>'Water Heater Stock'!N9*'O&amp;M Cost'!$D8/1000000</f>
        <v>1.233581898943268E-2</v>
      </c>
      <c r="O34" s="123">
        <f>'Water Heater Stock'!O9*'O&amp;M Cost'!$D8/1000000</f>
        <v>1.7322074889101934E-2</v>
      </c>
      <c r="P34" s="123">
        <f>'Water Heater Stock'!P9*'O&amp;M Cost'!$D8/1000000</f>
        <v>2.3722463632056268E-2</v>
      </c>
      <c r="Q34" s="123">
        <f>'Water Heater Stock'!Q9*'O&amp;M Cost'!$D8/1000000</f>
        <v>3.1727509778627636E-2</v>
      </c>
      <c r="R34" s="123">
        <f>'Water Heater Stock'!R9*'O&amp;M Cost'!$D8/1000000</f>
        <v>4.1495555104412406E-2</v>
      </c>
      <c r="S34" s="123">
        <f>'Water Heater Stock'!S9*'O&amp;M Cost'!$D8/1000000</f>
        <v>5.3140299699801719E-2</v>
      </c>
      <c r="T34" s="123">
        <f>'Water Heater Stock'!T9*'O&amp;M Cost'!$D8/1000000</f>
        <v>6.6722108404338412E-2</v>
      </c>
      <c r="U34" s="123">
        <f>'Water Heater Stock'!U9*'O&amp;M Cost'!$D8/1000000</f>
        <v>8.2244131200687562E-2</v>
      </c>
      <c r="V34" s="123">
        <f>'Water Heater Stock'!V9*'O&amp;M Cost'!$D8/1000000</f>
        <v>9.9653423976875127E-2</v>
      </c>
      <c r="W34" s="123">
        <f>'Water Heater Stock'!W9*'O&amp;M Cost'!$D8/1000000</f>
        <v>0.1188464434837798</v>
      </c>
    </row>
    <row r="35" spans="1:23">
      <c r="A35" s="45" t="str">
        <f>'Energy Usage'!A22</f>
        <v>Condensing Gas</v>
      </c>
      <c r="B35" s="123">
        <f>'Water Heater Stock'!B10*'O&amp;M Cost'!$D9/1000000</f>
        <v>0</v>
      </c>
      <c r="C35" s="123">
        <f>'Water Heater Stock'!C10*'O&amp;M Cost'!$D9/1000000</f>
        <v>1.7251226877165585E-5</v>
      </c>
      <c r="D35" s="123">
        <f>'Water Heater Stock'!D10*'O&amp;M Cost'!$D9/1000000</f>
        <v>5.0619346454051697E-5</v>
      </c>
      <c r="E35" s="123">
        <f>'Water Heater Stock'!E10*'O&amp;M Cost'!$D9/1000000</f>
        <v>1.1297829281840688E-4</v>
      </c>
      <c r="F35" s="123">
        <f>'Water Heater Stock'!F10*'O&amp;M Cost'!$D9/1000000</f>
        <v>2.2493066077763853E-4</v>
      </c>
      <c r="G35" s="123">
        <f>'Water Heater Stock'!G10*'O&amp;M Cost'!$D9/1000000</f>
        <v>4.1786361680134723E-4</v>
      </c>
      <c r="H35" s="123">
        <f>'Water Heater Stock'!H10*'O&amp;M Cost'!$D9/1000000</f>
        <v>7.3739655869408522E-4</v>
      </c>
      <c r="I35" s="123">
        <f>'Water Heater Stock'!I10*'O&amp;M Cost'!$D9/1000000</f>
        <v>1.246885782223518E-3</v>
      </c>
      <c r="J35" s="123">
        <f>'Water Heater Stock'!J10*'O&amp;M Cost'!$D9/1000000</f>
        <v>2.0304784479141694E-3</v>
      </c>
      <c r="K35" s="123">
        <f>'Water Heater Stock'!K10*'O&amp;M Cost'!$D9/1000000</f>
        <v>3.1950598971746528E-3</v>
      </c>
      <c r="L35" s="123">
        <f>'Water Heater Stock'!L10*'O&amp;M Cost'!$D9/1000000</f>
        <v>4.8703637732284777E-3</v>
      </c>
      <c r="M35" s="123">
        <f>'Water Heater Stock'!M10*'O&amp;M Cost'!$D9/1000000</f>
        <v>7.2065696788698504E-3</v>
      </c>
      <c r="N35" s="123">
        <f>'Water Heater Stock'!N10*'O&amp;M Cost'!$D9/1000000</f>
        <v>1.0368945180719923E-2</v>
      </c>
      <c r="O35" s="123">
        <f>'Water Heater Stock'!O10*'O&amp;M Cost'!$D9/1000000</f>
        <v>1.4529509390491496E-2</v>
      </c>
      <c r="P35" s="123">
        <f>'Water Heater Stock'!P10*'O&amp;M Cost'!$D9/1000000</f>
        <v>1.9856253736503463E-2</v>
      </c>
      <c r="Q35" s="123">
        <f>'Water Heater Stock'!Q10*'O&amp;M Cost'!$D9/1000000</f>
        <v>2.6501030191931309E-2</v>
      </c>
      <c r="R35" s="123">
        <f>'Water Heater Stock'!R10*'O&amp;M Cost'!$D9/1000000</f>
        <v>3.4587640072373776E-2</v>
      </c>
      <c r="S35" s="123">
        <f>'Water Heater Stock'!S10*'O&amp;M Cost'!$D9/1000000</f>
        <v>4.4201773535204977E-2</v>
      </c>
      <c r="T35" s="123">
        <f>'Water Heater Stock'!T10*'O&amp;M Cost'!$D9/1000000</f>
        <v>5.53841924368405E-2</v>
      </c>
      <c r="U35" s="123">
        <f>'Water Heater Stock'!U10*'O&amp;M Cost'!$D9/1000000</f>
        <v>6.812797512698357E-2</v>
      </c>
      <c r="V35" s="123">
        <f>'Water Heater Stock'!V10*'O&amp;M Cost'!$D9/1000000</f>
        <v>8.2379917559565932E-2</v>
      </c>
      <c r="W35" s="123">
        <f>'Water Heater Stock'!W10*'O&amp;M Cost'!$D9/1000000</f>
        <v>9.8045515644925627E-2</v>
      </c>
    </row>
    <row r="37" spans="1:23">
      <c r="A37" s="12" t="s">
        <v>119</v>
      </c>
    </row>
    <row r="38" spans="1:23">
      <c r="A38" s="14" t="str">
        <f>'Energy Usage'!A25</f>
        <v>Water Heat Ending</v>
      </c>
      <c r="B38" s="9">
        <f>'Energy Usage'!B25</f>
        <v>2014</v>
      </c>
      <c r="C38" s="9">
        <f>'Energy Usage'!C25</f>
        <v>2015</v>
      </c>
      <c r="D38" s="9">
        <f>'Energy Usage'!D25</f>
        <v>2016</v>
      </c>
      <c r="E38" s="9">
        <f>'Energy Usage'!E25</f>
        <v>2017</v>
      </c>
      <c r="F38" s="9">
        <f>'Energy Usage'!F25</f>
        <v>2018</v>
      </c>
      <c r="G38" s="9">
        <f>'Energy Usage'!G25</f>
        <v>2019</v>
      </c>
      <c r="H38" s="9">
        <f>'Energy Usage'!H25</f>
        <v>2020</v>
      </c>
      <c r="I38" s="9">
        <f>'Energy Usage'!I25</f>
        <v>2021</v>
      </c>
      <c r="J38" s="9">
        <f>'Energy Usage'!J25</f>
        <v>2022</v>
      </c>
      <c r="K38" s="9">
        <f>'Energy Usage'!K25</f>
        <v>2023</v>
      </c>
      <c r="L38" s="9">
        <f>'Energy Usage'!L25</f>
        <v>2024</v>
      </c>
      <c r="M38" s="9">
        <f>'Energy Usage'!M25</f>
        <v>2025</v>
      </c>
      <c r="N38" s="9">
        <f>'Energy Usage'!N25</f>
        <v>2026</v>
      </c>
      <c r="O38" s="9">
        <f>'Energy Usage'!O25</f>
        <v>2027</v>
      </c>
      <c r="P38" s="9">
        <f>'Energy Usage'!P25</f>
        <v>2028</v>
      </c>
      <c r="Q38" s="9">
        <f>'Energy Usage'!Q25</f>
        <v>2029</v>
      </c>
      <c r="R38" s="9">
        <f>'Energy Usage'!R25</f>
        <v>2030</v>
      </c>
      <c r="S38" s="9">
        <f>'Energy Usage'!S25</f>
        <v>2031</v>
      </c>
      <c r="T38" s="9">
        <f>'Energy Usage'!T25</f>
        <v>2032</v>
      </c>
      <c r="U38" s="9">
        <f>'Energy Usage'!U25</f>
        <v>2033</v>
      </c>
      <c r="V38" s="9">
        <f>'Energy Usage'!V25</f>
        <v>2034</v>
      </c>
      <c r="W38" s="9">
        <f>'Energy Usage'!W25</f>
        <v>2035</v>
      </c>
    </row>
    <row r="39" spans="1:23" ht="16.5" thickBot="1">
      <c r="A39" s="48" t="s">
        <v>48</v>
      </c>
      <c r="B39" s="129">
        <f t="shared" ref="B39" si="9">SUM(B40:B44)</f>
        <v>41.166465024857828</v>
      </c>
      <c r="C39" s="129">
        <f t="shared" ref="C39:W39" si="10">SUM(C40:C44)</f>
        <v>41.414482827021565</v>
      </c>
      <c r="D39" s="129">
        <f t="shared" si="10"/>
        <v>41.683611023230725</v>
      </c>
      <c r="E39" s="129">
        <f t="shared" si="10"/>
        <v>41.972707287024534</v>
      </c>
      <c r="F39" s="129">
        <f t="shared" si="10"/>
        <v>42.280486172236678</v>
      </c>
      <c r="G39" s="129">
        <f t="shared" si="10"/>
        <v>42.60542994669489</v>
      </c>
      <c r="H39" s="129">
        <f t="shared" si="10"/>
        <v>42.945684305590071</v>
      </c>
      <c r="I39" s="129">
        <f t="shared" si="10"/>
        <v>43.298946234174068</v>
      </c>
      <c r="J39" s="129">
        <f t="shared" si="10"/>
        <v>43.662356380582914</v>
      </c>
      <c r="K39" s="129">
        <f t="shared" si="10"/>
        <v>44.032413267699681</v>
      </c>
      <c r="L39" s="129">
        <f t="shared" si="10"/>
        <v>44.404930215148838</v>
      </c>
      <c r="M39" s="129">
        <f t="shared" si="10"/>
        <v>44.775056298108879</v>
      </c>
      <c r="N39" s="129">
        <f t="shared" si="10"/>
        <v>45.137378417438349</v>
      </c>
      <c r="O39" s="129">
        <f t="shared" si="10"/>
        <v>45.486111729316761</v>
      </c>
      <c r="P39" s="129">
        <f t="shared" si="10"/>
        <v>45.815371007384897</v>
      </c>
      <c r="Q39" s="129">
        <f t="shared" si="10"/>
        <v>46.119498792412372</v>
      </c>
      <c r="R39" s="129">
        <f t="shared" si="10"/>
        <v>46.393411911856184</v>
      </c>
      <c r="S39" s="129">
        <f t="shared" si="10"/>
        <v>46.632920819439455</v>
      </c>
      <c r="T39" s="129">
        <f t="shared" si="10"/>
        <v>46.834979089055309</v>
      </c>
      <c r="U39" s="129">
        <f t="shared" si="10"/>
        <v>46.997832874350664</v>
      </c>
      <c r="V39" s="129">
        <f t="shared" si="10"/>
        <v>47.121058516797838</v>
      </c>
      <c r="W39" s="129">
        <f t="shared" si="10"/>
        <v>47.205495371058795</v>
      </c>
    </row>
    <row r="40" spans="1:23" ht="16.5" thickTop="1">
      <c r="A40" s="9" t="str">
        <f>'Energy Usage'!A27</f>
        <v>Electric Resistance</v>
      </c>
      <c r="B40" s="123">
        <f>(('Energy Usage'!B18*'Retail Rates'!B$5*'Device Energy Use'!$E5+'Energy Usage'!B18*'Retail Rates'!B$6*(1-'Device Energy Use'!$E5)))/1000000</f>
        <v>41.166465024857828</v>
      </c>
      <c r="C40" s="123">
        <f>(('Energy Usage'!C18*'Retail Rates'!C$5*'Device Energy Use'!$E5+'Energy Usage'!C18*'Retail Rates'!C$6*(1-'Device Energy Use'!$E5)))/1000000</f>
        <v>41.015417280775836</v>
      </c>
      <c r="D40" s="123">
        <f>(('Energy Usage'!D18*'Retail Rates'!D$5*'Device Energy Use'!$E5+'Energy Usage'!D18*'Retail Rates'!D$6*(1-'Device Energy Use'!$E5)))/1000000</f>
        <v>40.901826654577256</v>
      </c>
      <c r="E40" s="123">
        <f>(('Energy Usage'!E18*'Retail Rates'!E$5*'Device Energy Use'!$E5+'Energy Usage'!E18*'Retail Rates'!E$6*(1-'Device Energy Use'!$E5)))/1000000</f>
        <v>40.823350852159081</v>
      </c>
      <c r="F40" s="123">
        <f>(('Energy Usage'!F18*'Retail Rates'!F$5*'Device Energy Use'!$E5+'Energy Usage'!F18*'Retail Rates'!F$6*(1-'Device Energy Use'!$E5)))/1000000</f>
        <v>40.777460000911844</v>
      </c>
      <c r="G40" s="123">
        <f>(('Energy Usage'!G18*'Retail Rates'!G$5*'Device Energy Use'!$E5+'Energy Usage'!G18*'Retail Rates'!G$6*(1-'Device Energy Use'!$E5)))/1000000</f>
        <v>40.76130000167786</v>
      </c>
      <c r="H40" s="123">
        <f>(('Energy Usage'!H18*'Retail Rates'!H$5*'Device Energy Use'!$E5+'Energy Usage'!H18*'Retail Rates'!H$6*(1-'Device Energy Use'!$E5)))/1000000</f>
        <v>40.771533054355473</v>
      </c>
      <c r="I40" s="123">
        <f>(('Energy Usage'!I18*'Retail Rates'!I$5*'Device Energy Use'!$E5+'Energy Usage'!I18*'Retail Rates'!I$6*(1-'Device Energy Use'!$E5)))/1000000</f>
        <v>40.804166343369886</v>
      </c>
      <c r="J40" s="123">
        <f>(('Energy Usage'!J18*'Retail Rates'!J$5*'Device Energy Use'!$E5+'Energy Usage'!J18*'Retail Rates'!J$6*(1-'Device Energy Use'!$E5)))/1000000</f>
        <v>40.854387572115591</v>
      </c>
      <c r="K40" s="123">
        <f>(('Energy Usage'!K18*'Retail Rates'!K$5*'Device Energy Use'!$E5+'Energy Usage'!K18*'Retail Rates'!K$6*(1-'Device Energy Use'!$E5)))/1000000</f>
        <v>40.91643355455804</v>
      </c>
      <c r="L40" s="123">
        <f>(('Energy Usage'!L18*'Retail Rates'!L$5*'Device Energy Use'!$E5+'Energy Usage'!L18*'Retail Rates'!L$6*(1-'Device Energy Use'!$E5)))/1000000</f>
        <v>40.983523437519167</v>
      </c>
      <c r="M40" s="123">
        <f>(('Energy Usage'!M18*'Retail Rates'!M$5*'Device Energy Use'!$E5+'Energy Usage'!M18*'Retail Rates'!M$6*(1-'Device Energy Use'!$E5)))/1000000</f>
        <v>41.047888827043849</v>
      </c>
      <c r="N40" s="123">
        <f>(('Energy Usage'!N18*'Retail Rates'!N$5*'Device Energy Use'!$E5+'Energy Usage'!N18*'Retail Rates'!N$6*(1-'Device Energy Use'!$E5)))/1000000</f>
        <v>41.100926673327301</v>
      </c>
      <c r="O40" s="123">
        <f>(('Energy Usage'!O18*'Retail Rates'!O$5*'Device Energy Use'!$E5+'Energy Usage'!O18*'Retail Rates'!O$6*(1-'Device Energy Use'!$E5)))/1000000</f>
        <v>41.133485917874459</v>
      </c>
      <c r="P40" s="123">
        <f>(('Energy Usage'!P18*'Retail Rates'!P$5*'Device Energy Use'!$E5+'Energy Usage'!P18*'Retail Rates'!P$6*(1-'Device Energy Use'!$E5)))/1000000</f>
        <v>41.136276716729057</v>
      </c>
      <c r="Q40" s="123">
        <f>(('Energy Usage'!Q18*'Retail Rates'!Q$5*'Device Energy Use'!$E5+'Energy Usage'!Q18*'Retail Rates'!Q$6*(1-'Device Energy Use'!$E5)))/1000000</f>
        <v>41.100365765133375</v>
      </c>
      <c r="R40" s="123">
        <f>(('Energy Usage'!R18*'Retail Rates'!R$5*'Device Energy Use'!$E5+'Energy Usage'!R18*'Retail Rates'!R$6*(1-'Device Energy Use'!$E5)))/1000000</f>
        <v>41.017699647835151</v>
      </c>
      <c r="S40" s="123">
        <f>(('Energy Usage'!S18*'Retail Rates'!S$5*'Device Energy Use'!$E5+'Energy Usage'!S18*'Retail Rates'!S$6*(1-'Device Energy Use'!$E5)))/1000000</f>
        <v>40.881587328009822</v>
      </c>
      <c r="T40" s="123">
        <f>(('Energy Usage'!T18*'Retail Rates'!T$5*'Device Energy Use'!$E5+'Energy Usage'!T18*'Retail Rates'!T$6*(1-'Device Energy Use'!$E5)))/1000000</f>
        <v>40.687077221210409</v>
      </c>
      <c r="U40" s="123">
        <f>(('Energy Usage'!U18*'Retail Rates'!U$5*'Device Energy Use'!$E5+'Energy Usage'!U18*'Retail Rates'!U$6*(1-'Device Energy Use'!$E5)))/1000000</f>
        <v>40.431183145470719</v>
      </c>
      <c r="V40" s="123">
        <f>(('Energy Usage'!V18*'Retail Rates'!V$5*'Device Energy Use'!$E5+'Energy Usage'!V18*'Retail Rates'!V$6*(1-'Device Energy Use'!$E5)))/1000000</f>
        <v>40.112941207547955</v>
      </c>
      <c r="W40" s="123">
        <f>(('Energy Usage'!W18*'Retail Rates'!W$5*'Device Energy Use'!$E5+'Energy Usage'!W18*'Retail Rates'!W$6*(1-'Device Energy Use'!$E5)))/1000000</f>
        <v>39.733308245142531</v>
      </c>
    </row>
    <row r="41" spans="1:23">
      <c r="A41" s="9" t="str">
        <f>'Energy Usage'!A28</f>
        <v>HPWH</v>
      </c>
      <c r="B41" s="123">
        <f>(('Energy Usage'!B19*'Retail Rates'!B$5*'Device Energy Use'!$E6+'Energy Usage'!B19*'Retail Rates'!B$6*(1-'Device Energy Use'!$E6)))/1000000</f>
        <v>0</v>
      </c>
      <c r="C41" s="123">
        <f>(('Energy Usage'!C19*'Retail Rates'!C$5*'Device Energy Use'!$E6+'Energy Usage'!C19*'Retail Rates'!C$6*(1-'Device Energy Use'!$E6)))/1000000</f>
        <v>1.6105060598593161E-4</v>
      </c>
      <c r="D41" s="123">
        <f>(('Energy Usage'!D19*'Retail Rates'!D$5*'Device Energy Use'!$E6+'Energy Usage'!D19*'Retail Rates'!D$6*(1-'Device Energy Use'!$E6)))/1000000</f>
        <v>4.7760797460405459E-4</v>
      </c>
      <c r="E41" s="123">
        <f>(('Energy Usage'!E19*'Retail Rates'!E$5*'Device Energy Use'!$E6+'Energy Usage'!E19*'Retail Rates'!E$6*(1-'Device Energy Use'!$E6)))/1000000</f>
        <v>1.0770664700712864E-3</v>
      </c>
      <c r="F41" s="123">
        <f>(('Energy Usage'!F19*'Retail Rates'!F$5*'Device Energy Use'!$E6+'Energy Usage'!F19*'Retail Rates'!F$6*(1-'Device Energy Use'!$E6)))/1000000</f>
        <v>2.1662585251808909E-3</v>
      </c>
      <c r="G41" s="123">
        <f>(('Energy Usage'!G19*'Retail Rates'!G$5*'Device Energy Use'!$E6+'Energy Usage'!G19*'Retail Rates'!G$6*(1-'Device Energy Use'!$E6)))/1000000</f>
        <v>4.0650346264181573E-3</v>
      </c>
      <c r="H41" s="123">
        <f>(('Energy Usage'!H19*'Retail Rates'!H$5*'Device Energy Use'!$E6+'Energy Usage'!H19*'Retail Rates'!H$6*(1-'Device Energy Use'!$E6)))/1000000</f>
        <v>7.2456113556272324E-3</v>
      </c>
      <c r="I41" s="123">
        <f>(('Energy Usage'!I19*'Retail Rates'!I$5*'Device Energy Use'!$E6+'Energy Usage'!I19*'Retail Rates'!I$6*(1-'Device Energy Use'!$E6)))/1000000</f>
        <v>1.2374720789904344E-2</v>
      </c>
      <c r="J41" s="123">
        <f>(('Energy Usage'!J19*'Retail Rates'!J$5*'Device Energy Use'!$E6+'Energy Usage'!J19*'Retail Rates'!J$6*(1-'Device Energy Use'!$E6)))/1000000</f>
        <v>2.0353615466280291E-2</v>
      </c>
      <c r="K41" s="123">
        <f>(('Energy Usage'!K19*'Retail Rates'!K$5*'Device Energy Use'!$E6+'Energy Usage'!K19*'Retail Rates'!K$6*(1-'Device Energy Use'!$E6)))/1000000</f>
        <v>3.2349084389192394E-2</v>
      </c>
      <c r="L41" s="123">
        <f>(('Energy Usage'!L19*'Retail Rates'!L$5*'Device Energy Use'!$E6+'Energy Usage'!L19*'Retail Rates'!L$6*(1-'Device Energy Use'!$E6)))/1000000</f>
        <v>4.9807330870715268E-2</v>
      </c>
      <c r="M41" s="123">
        <f>(('Energy Usage'!M19*'Retail Rates'!M$5*'Device Energy Use'!$E6+'Energy Usage'!M19*'Retail Rates'!M$6*(1-'Device Energy Use'!$E6)))/1000000</f>
        <v>7.4442496928104368E-2</v>
      </c>
      <c r="N41" s="123">
        <f>(('Energy Usage'!N19*'Retail Rates'!N$5*'Device Energy Use'!$E6+'Energy Usage'!N19*'Retail Rates'!N$6*(1-'Device Energy Use'!$E6)))/1000000</f>
        <v>0.10819340779389401</v>
      </c>
      <c r="O41" s="123">
        <f>(('Energy Usage'!O19*'Retail Rates'!O$5*'Device Energy Use'!$E6+'Energy Usage'!O19*'Retail Rates'!O$6*(1-'Device Energy Use'!$E6)))/1000000</f>
        <v>0.15314606129809472</v>
      </c>
      <c r="P41" s="123">
        <f>(('Energy Usage'!P19*'Retail Rates'!P$5*'Device Energy Use'!$E6+'Energy Usage'!P19*'Retail Rates'!P$6*(1-'Device Energy Use'!$E6)))/1000000</f>
        <v>0.2114251777629669</v>
      </c>
      <c r="Q41" s="123">
        <f>(('Energy Usage'!Q19*'Retail Rates'!Q$5*'Device Energy Use'!$E6+'Energy Usage'!Q19*'Retail Rates'!Q$6*(1-'Device Energy Use'!$E6)))/1000000</f>
        <v>0.28506462577146763</v>
      </c>
      <c r="R41" s="123">
        <f>(('Energy Usage'!R19*'Retail Rates'!R$5*'Device Energy Use'!$E6+'Energy Usage'!R19*'Retail Rates'!R$6*(1-'Device Energy Use'!$E6)))/1000000</f>
        <v>0.37587198203455952</v>
      </c>
      <c r="S41" s="123">
        <f>(('Energy Usage'!S19*'Retail Rates'!S$5*'Device Energy Use'!$E6+'Energy Usage'!S19*'Retail Rates'!S$6*(1-'Device Energy Use'!$E6)))/1000000</f>
        <v>0.4853050575555905</v>
      </c>
      <c r="T41" s="123">
        <f>(('Energy Usage'!T19*'Retail Rates'!T$5*'Device Energy Use'!$E6+'Energy Usage'!T19*'Retail Rates'!T$6*(1-'Device Energy Use'!$E6)))/1000000</f>
        <v>0.61437685834096356</v>
      </c>
      <c r="U41" s="123">
        <f>(('Energy Usage'!U19*'Retail Rates'!U$5*'Device Energy Use'!$E6+'Energy Usage'!U19*'Retail Rates'!U$6*(1-'Device Energy Use'!$E6)))/1000000</f>
        <v>0.7636003800193808</v>
      </c>
      <c r="V41" s="123">
        <f>(('Energy Usage'!V19*'Retail Rates'!V$5*'Device Energy Use'!$E6+'Energy Usage'!V19*'Retail Rates'!V$6*(1-'Device Energy Use'!$E6)))/1000000</f>
        <v>0.932977359718137</v>
      </c>
      <c r="W41" s="123">
        <f>(('Energy Usage'!W19*'Retail Rates'!W$5*'Device Energy Use'!$E6+'Energy Usage'!W19*'Retail Rates'!W$6*(1-'Device Energy Use'!$E6)))/1000000</f>
        <v>1.1220277448505354</v>
      </c>
    </row>
    <row r="42" spans="1:23">
      <c r="A42" s="9" t="str">
        <f>'Energy Usage'!A29</f>
        <v>Gas Tank</v>
      </c>
      <c r="B42" s="123">
        <f>(('Energy Usage'!B20*'Retail Rates'!B$5*'Device Energy Use'!$E7+'Energy Usage'!B20*'Retail Rates'!B$6*(1-'Device Energy Use'!$E7)))/1000000</f>
        <v>0</v>
      </c>
      <c r="C42" s="123">
        <f>(('Energy Usage'!C20*'Retail Rates'!C$5*'Device Energy Use'!$E7+'Energy Usage'!C20*'Retail Rates'!C$6*(1-'Device Energy Use'!$E7)))/1000000</f>
        <v>0.39875396204675367</v>
      </c>
      <c r="D42" s="123">
        <f>(('Energy Usage'!D20*'Retail Rates'!D$5*'Device Energy Use'!$E7+'Energy Usage'!D20*'Retail Rates'!D$6*(1-'Device Energy Use'!$E7)))/1000000</f>
        <v>0.78085824584255259</v>
      </c>
      <c r="E42" s="123">
        <f>(('Energy Usage'!E20*'Retail Rates'!E$5*'Device Energy Use'!$E7+'Energy Usage'!E20*'Retail Rates'!E$6*(1-'Device Energy Use'!$E7)))/1000000</f>
        <v>1.1472628250555703</v>
      </c>
      <c r="F42" s="123">
        <f>(('Energy Usage'!F20*'Retail Rates'!F$5*'Device Energy Use'!$E7+'Energy Usage'!F20*'Retail Rates'!F$6*(1-'Device Energy Use'!$E7)))/1000000</f>
        <v>1.498804652922922</v>
      </c>
      <c r="G42" s="123">
        <f>(('Energy Usage'!G20*'Retail Rates'!G$5*'Device Energy Use'!$E7+'Energy Usage'!G20*'Retail Rates'!G$6*(1-'Device Energy Use'!$E7)))/1000000</f>
        <v>1.8361874192729064</v>
      </c>
      <c r="H42" s="123">
        <f>(('Energy Usage'!H20*'Retail Rates'!H$5*'Device Energy Use'!$E7+'Energy Usage'!H20*'Retail Rates'!H$6*(1-'Device Energy Use'!$E7)))/1000000</f>
        <v>2.1599566351992032</v>
      </c>
      <c r="I42" s="123">
        <f>(('Energy Usage'!I20*'Retail Rates'!I$5*'Device Energy Use'!$E7+'Energy Usage'!I20*'Retail Rates'!I$6*(1-'Device Energy Use'!$E7)))/1000000</f>
        <v>2.4704719417012595</v>
      </c>
      <c r="J42" s="123">
        <f>(('Energy Usage'!J20*'Retail Rates'!J$5*'Device Energy Use'!$E7+'Energy Usage'!J20*'Retail Rates'!J$6*(1-'Device Energy Use'!$E7)))/1000000</f>
        <v>2.7678799554902742</v>
      </c>
      <c r="K42" s="123">
        <f>(('Energy Usage'!K20*'Retail Rates'!K$5*'Device Energy Use'!$E7+'Energy Usage'!K20*'Retail Rates'!K$6*(1-'Device Energy Use'!$E7)))/1000000</f>
        <v>3.0520923813216365</v>
      </c>
      <c r="L42" s="123">
        <f>(('Energy Usage'!L20*'Retail Rates'!L$5*'Device Energy Use'!$E7+'Energy Usage'!L20*'Retail Rates'!L$6*(1-'Device Energy Use'!$E7)))/1000000</f>
        <v>3.3227751802148076</v>
      </c>
      <c r="M42" s="123">
        <f>(('Energy Usage'!M20*'Retail Rates'!M$5*'Device Energy Use'!$E7+'Energy Usage'!M20*'Retail Rates'!M$6*(1-'Device Energy Use'!$E7)))/1000000</f>
        <v>3.5793548237294353</v>
      </c>
      <c r="N42" s="123">
        <f>(('Energy Usage'!N20*'Retail Rates'!N$5*'Device Energy Use'!$E7+'Energy Usage'!N20*'Retail Rates'!N$6*(1-'Device Energy Use'!$E7)))/1000000</f>
        <v>3.8210466211581569</v>
      </c>
      <c r="O42" s="123">
        <f>(('Energy Usage'!O20*'Retail Rates'!O$5*'Device Energy Use'!$E7+'Energy Usage'!O20*'Retail Rates'!O$6*(1-'Device Energy Use'!$E7)))/1000000</f>
        <v>4.0469075087584265</v>
      </c>
      <c r="P42" s="123">
        <f>(('Energy Usage'!P20*'Retail Rates'!P$5*'Device Energy Use'!$E7+'Energy Usage'!P20*'Retail Rates'!P$6*(1-'Device Energy Use'!$E7)))/1000000</f>
        <v>4.2559116984956997</v>
      </c>
      <c r="Q42" s="123">
        <f>(('Energy Usage'!Q20*'Retail Rates'!Q$5*'Device Energy Use'!$E7+'Energy Usage'!Q20*'Retail Rates'!Q$6*(1-'Device Energy Use'!$E7)))/1000000</f>
        <v>4.4470429376555209</v>
      </c>
      <c r="R42" s="123">
        <f>(('Energy Usage'!R20*'Retail Rates'!R$5*'Device Energy Use'!$E7+'Energy Usage'!R20*'Retail Rates'!R$6*(1-'Device Energy Use'!$E7)))/1000000</f>
        <v>4.6193930555295371</v>
      </c>
      <c r="S42" s="123">
        <f>(('Energy Usage'!S20*'Retail Rates'!S$5*'Device Energy Use'!$E7+'Energy Usage'!S20*'Retail Rates'!S$6*(1-'Device Energy Use'!$E7)))/1000000</f>
        <v>4.7722542861919059</v>
      </c>
      <c r="T42" s="123">
        <f>(('Energy Usage'!T20*'Retail Rates'!T$5*'Device Energy Use'!$E7+'Energy Usage'!T20*'Retail Rates'!T$6*(1-'Device Energy Use'!$E7)))/1000000</f>
        <v>4.9051934049449635</v>
      </c>
      <c r="U42" s="123">
        <f>(('Energy Usage'!U20*'Retail Rates'!U$5*'Device Energy Use'!$E7+'Energy Usage'!U20*'Retail Rates'!U$6*(1-'Device Energy Use'!$E7)))/1000000</f>
        <v>5.0180989517791588</v>
      </c>
      <c r="V42" s="123">
        <f>(('Energy Usage'!V20*'Retail Rates'!V$5*'Device Energy Use'!$E7+'Energy Usage'!V20*'Retail Rates'!V$6*(1-'Device Energy Use'!$E7)))/1000000</f>
        <v>5.1111977727140054</v>
      </c>
      <c r="W42" s="123">
        <f>(('Energy Usage'!W20*'Retail Rates'!W$5*'Device Energy Use'!$E7+'Energy Usage'!W20*'Retail Rates'!W$6*(1-'Device Energy Use'!$E7)))/1000000</f>
        <v>5.1850423253128231</v>
      </c>
    </row>
    <row r="43" spans="1:23">
      <c r="A43" s="9" t="str">
        <f>'Energy Usage'!A30</f>
        <v>Instant Gas</v>
      </c>
      <c r="B43" s="123">
        <f>(('Energy Usage'!B21*'Retail Rates'!B$5*'Device Energy Use'!$E8+'Energy Usage'!B21*'Retail Rates'!B$6*(1-'Device Energy Use'!$E8)))/1000000</f>
        <v>0</v>
      </c>
      <c r="C43" s="123">
        <f>(('Energy Usage'!C21*'Retail Rates'!C$5*'Device Energy Use'!$E8+'Energy Usage'!C21*'Retail Rates'!C$6*(1-'Device Energy Use'!$E8)))/1000000</f>
        <v>4.0567605422300319E-5</v>
      </c>
      <c r="D43" s="123">
        <f>(('Energy Usage'!D21*'Retail Rates'!D$5*'Device Energy Use'!$E8+'Energy Usage'!D21*'Retail Rates'!D$6*(1-'Device Energy Use'!$E8)))/1000000</f>
        <v>1.2100754890951702E-4</v>
      </c>
      <c r="E43" s="123">
        <f>(('Energy Usage'!E21*'Retail Rates'!E$5*'Device Energy Use'!$E8+'Energy Usage'!E21*'Retail Rates'!E$6*(1-'Device Energy Use'!$E8)))/1000000</f>
        <v>2.7460897951823017E-4</v>
      </c>
      <c r="F43" s="123">
        <f>(('Energy Usage'!F21*'Retail Rates'!F$5*'Device Energy Use'!$E8+'Energy Usage'!F21*'Retail Rates'!F$6*(1-'Device Energy Use'!$E8)))/1000000</f>
        <v>5.5597148710213266E-4</v>
      </c>
      <c r="G43" s="123">
        <f>(('Energy Usage'!G21*'Retail Rates'!G$5*'Device Energy Use'!$E8+'Energy Usage'!G21*'Retail Rates'!G$6*(1-'Device Energy Use'!$E8)))/1000000</f>
        <v>1.0504174855075236E-3</v>
      </c>
      <c r="H43" s="123">
        <f>(('Energy Usage'!H21*'Retail Rates'!H$5*'Device Energy Use'!$E8+'Energy Usage'!H21*'Retail Rates'!H$6*(1-'Device Energy Use'!$E8)))/1000000</f>
        <v>1.885284370096989E-3</v>
      </c>
      <c r="I43" s="123">
        <f>(('Energy Usage'!I21*'Retail Rates'!I$5*'Device Energy Use'!$E8+'Energy Usage'!I21*'Retail Rates'!I$6*(1-'Device Energy Use'!$E8)))/1000000</f>
        <v>3.2423970410023046E-3</v>
      </c>
      <c r="J43" s="123">
        <f>(('Energy Usage'!J21*'Retail Rates'!J$5*'Device Energy Use'!$E8+'Energy Usage'!J21*'Retail Rates'!J$6*(1-'Device Energy Use'!$E8)))/1000000</f>
        <v>5.3704544396023122E-3</v>
      </c>
      <c r="K43" s="123">
        <f>(('Energy Usage'!K21*'Retail Rates'!K$5*'Device Energy Use'!$E8+'Energy Usage'!K21*'Retail Rates'!K$6*(1-'Device Energy Use'!$E8)))/1000000</f>
        <v>8.59548361817071E-3</v>
      </c>
      <c r="L43" s="123">
        <f>(('Energy Usage'!L21*'Retail Rates'!L$5*'Device Energy Use'!$E8+'Energy Usage'!L21*'Retail Rates'!L$6*(1-'Device Energy Use'!$E8)))/1000000</f>
        <v>1.3327060398797028E-2</v>
      </c>
      <c r="M43" s="123">
        <f>(('Energy Usage'!M21*'Retail Rates'!M$5*'Device Energy Use'!$E8+'Energy Usage'!M21*'Retail Rates'!M$6*(1-'Device Energy Use'!$E8)))/1000000</f>
        <v>2.0057852204757431E-2</v>
      </c>
      <c r="N43" s="123">
        <f>(('Energy Usage'!N21*'Retail Rates'!N$5*'Device Energy Use'!$E8+'Energy Usage'!N21*'Retail Rates'!N$6*(1-'Device Energy Use'!$E8)))/1000000</f>
        <v>2.9354397879427618E-2</v>
      </c>
      <c r="O43" s="123">
        <f>(('Energy Usage'!O21*'Retail Rates'!O$5*'Device Energy Use'!$E8+'Energy Usage'!O21*'Retail Rates'!O$6*(1-'Device Energy Use'!$E8)))/1000000</f>
        <v>4.1838021862183224E-2</v>
      </c>
      <c r="P43" s="123">
        <f>(('Energy Usage'!P21*'Retail Rates'!P$5*'Device Energy Use'!$E8+'Energy Usage'!P21*'Retail Rates'!P$6*(1-'Device Energy Use'!$E8)))/1000000</f>
        <v>5.8156339398899047E-2</v>
      </c>
      <c r="Q43" s="123">
        <f>(('Energy Usage'!Q21*'Retail Rates'!Q$5*'Device Energy Use'!$E8+'Energy Usage'!Q21*'Retail Rates'!Q$6*(1-'Device Energy Use'!$E8)))/1000000</f>
        <v>7.8947667216212131E-2</v>
      </c>
      <c r="R43" s="123">
        <f>(('Energy Usage'!R21*'Retail Rates'!R$5*'Device Energy Use'!$E8+'Energy Usage'!R21*'Retail Rates'!R$6*(1-'Device Energy Use'!$E8)))/1000000</f>
        <v>0.1048023295135833</v>
      </c>
      <c r="S43" s="123">
        <f>(('Energy Usage'!S21*'Retail Rates'!S$5*'Device Energy Use'!$E8+'Energy Usage'!S21*'Retail Rates'!S$6*(1-'Device Energy Use'!$E8)))/1000000</f>
        <v>0.13622581005024187</v>
      </c>
      <c r="T43" s="123">
        <f>(('Energy Usage'!T21*'Retail Rates'!T$5*'Device Energy Use'!$E8+'Energy Usage'!T21*'Retail Rates'!T$6*(1-'Device Energy Use'!$E8)))/1000000</f>
        <v>0.17360858739492754</v>
      </c>
      <c r="U43" s="123">
        <f>(('Energy Usage'!U21*'Retail Rates'!U$5*'Device Energy Use'!$E8+'Energy Usage'!U21*'Retail Rates'!U$6*(1-'Device Energy Use'!$E8)))/1000000</f>
        <v>0.21720629184915322</v>
      </c>
      <c r="V43" s="123">
        <f>(('Energy Usage'!V21*'Retail Rates'!V$5*'Device Energy Use'!$E8+'Energy Usage'!V21*'Retail Rates'!V$6*(1-'Device Energy Use'!$E8)))/1000000</f>
        <v>0.26713189903921308</v>
      </c>
      <c r="W43" s="123">
        <f>(('Energy Usage'!W21*'Retail Rates'!W$5*'Device Energy Use'!$E8+'Energy Usage'!W21*'Retail Rates'!W$6*(1-'Device Energy Use'!$E8)))/1000000</f>
        <v>0.32335959968103489</v>
      </c>
    </row>
    <row r="44" spans="1:23">
      <c r="A44" s="9" t="str">
        <f>'Energy Usage'!A31</f>
        <v>Condensing Gas</v>
      </c>
      <c r="B44" s="123">
        <f>(('Energy Usage'!B22*'Retail Rates'!B$5*'Device Energy Use'!$E9+'Energy Usage'!B22*'Retail Rates'!B$6*(1-'Device Energy Use'!$E9)))/1000000</f>
        <v>0</v>
      </c>
      <c r="C44" s="123">
        <f>(('Energy Usage'!C22*'Retail Rates'!C$5*'Device Energy Use'!$E9+'Energy Usage'!C22*'Retail Rates'!C$6*(1-'Device Energy Use'!$E9)))/1000000</f>
        <v>1.0996598756294336E-4</v>
      </c>
      <c r="D44" s="123">
        <f>(('Energy Usage'!D22*'Retail Rates'!D$5*'Device Energy Use'!$E9+'Energy Usage'!D22*'Retail Rates'!D$6*(1-'Device Energy Use'!$E9)))/1000000</f>
        <v>3.2750728740505781E-4</v>
      </c>
      <c r="E44" s="123">
        <f>(('Energy Usage'!E22*'Retail Rates'!E$5*'Device Energy Use'!$E9+'Energy Usage'!E22*'Retail Rates'!E$6*(1-'Device Energy Use'!$E9)))/1000000</f>
        <v>7.4193436029346116E-4</v>
      </c>
      <c r="F44" s="123">
        <f>(('Energy Usage'!F22*'Retail Rates'!F$5*'Device Energy Use'!$E9+'Energy Usage'!F22*'Retail Rates'!F$6*(1-'Device Energy Use'!$E9)))/1000000</f>
        <v>1.4992883896326867E-3</v>
      </c>
      <c r="G44" s="123">
        <f>(('Energy Usage'!G22*'Retail Rates'!G$5*'Device Energy Use'!$E9+'Energy Usage'!G22*'Retail Rates'!G$6*(1-'Device Energy Use'!$E9)))/1000000</f>
        <v>2.8270736321964435E-3</v>
      </c>
      <c r="H44" s="123">
        <f>(('Energy Usage'!H22*'Retail Rates'!H$5*'Device Energy Use'!$E9+'Energy Usage'!H22*'Retail Rates'!H$6*(1-'Device Energy Use'!$E9)))/1000000</f>
        <v>5.0637203096715504E-3</v>
      </c>
      <c r="I44" s="123">
        <f>(('Energy Usage'!I22*'Retail Rates'!I$5*'Device Energy Use'!$E9+'Energy Usage'!I22*'Retail Rates'!I$6*(1-'Device Energy Use'!$E9)))/1000000</f>
        <v>8.6908312720155607E-3</v>
      </c>
      <c r="J44" s="123">
        <f>(('Energy Usage'!J22*'Retail Rates'!J$5*'Device Energy Use'!$E9+'Energy Usage'!J22*'Retail Rates'!J$6*(1-'Device Energy Use'!$E9)))/1000000</f>
        <v>1.4364783071172742E-2</v>
      </c>
      <c r="K44" s="123">
        <f>(('Energy Usage'!K22*'Retail Rates'!K$5*'Device Energy Use'!$E9+'Energy Usage'!K22*'Retail Rates'!K$6*(1-'Device Energy Use'!$E9)))/1000000</f>
        <v>2.2942763812640734E-2</v>
      </c>
      <c r="L44" s="123">
        <f>(('Energy Usage'!L22*'Retail Rates'!L$5*'Device Energy Use'!$E9+'Energy Usage'!L22*'Retail Rates'!L$6*(1-'Device Energy Use'!$E9)))/1000000</f>
        <v>3.5497206145361143E-2</v>
      </c>
      <c r="M44" s="123">
        <f>(('Energy Usage'!M22*'Retail Rates'!M$5*'Device Energy Use'!$E9+'Energy Usage'!M22*'Retail Rates'!M$6*(1-'Device Energy Use'!$E9)))/1000000</f>
        <v>5.3312298202729695E-2</v>
      </c>
      <c r="N44" s="123">
        <f>(('Energy Usage'!N22*'Retail Rates'!N$5*'Device Energy Use'!$E9+'Energy Usage'!N22*'Retail Rates'!N$6*(1-'Device Energy Use'!$E9)))/1000000</f>
        <v>7.7857317279574581E-2</v>
      </c>
      <c r="O44" s="123">
        <f>(('Energy Usage'!O22*'Retail Rates'!O$5*'Device Energy Use'!$E9+'Energy Usage'!O22*'Retail Rates'!O$6*(1-'Device Energy Use'!$E9)))/1000000</f>
        <v>0.11073421952360205</v>
      </c>
      <c r="P44" s="123">
        <f>(('Energy Usage'!P22*'Retail Rates'!P$5*'Device Energy Use'!$E9+'Energy Usage'!P22*'Retail Rates'!P$6*(1-'Device Energy Use'!$E9)))/1000000</f>
        <v>0.15360107499826864</v>
      </c>
      <c r="Q44" s="123">
        <f>(('Energy Usage'!Q22*'Retail Rates'!Q$5*'Device Energy Use'!$E9+'Energy Usage'!Q22*'Retail Rates'!Q$6*(1-'Device Energy Use'!$E9)))/1000000</f>
        <v>0.20807779663579215</v>
      </c>
      <c r="R44" s="123">
        <f>(('Energy Usage'!R22*'Retail Rates'!R$5*'Device Energy Use'!$E9+'Energy Usage'!R22*'Retail Rates'!R$6*(1-'Device Energy Use'!$E9)))/1000000</f>
        <v>0.27564489694335836</v>
      </c>
      <c r="S44" s="123">
        <f>(('Energy Usage'!S22*'Retail Rates'!S$5*'Device Energy Use'!$E9+'Energy Usage'!S22*'Retail Rates'!S$6*(1-'Device Energy Use'!$E9)))/1000000</f>
        <v>0.35754833763189675</v>
      </c>
      <c r="T44" s="123">
        <f>(('Energy Usage'!T22*'Retail Rates'!T$5*'Device Energy Use'!$E9+'Energy Usage'!T22*'Retail Rates'!T$6*(1-'Device Energy Use'!$E9)))/1000000</f>
        <v>0.45472301716405189</v>
      </c>
      <c r="U44" s="123">
        <f>(('Energy Usage'!U22*'Retail Rates'!U$5*'Device Energy Use'!$E9+'Energy Usage'!U22*'Retail Rates'!U$6*(1-'Device Energy Use'!$E9)))/1000000</f>
        <v>0.5677441052322495</v>
      </c>
      <c r="V44" s="123">
        <f>(('Energy Usage'!V22*'Retail Rates'!V$5*'Device Energy Use'!$E9+'Energy Usage'!V22*'Retail Rates'!V$6*(1-'Device Energy Use'!$E9)))/1000000</f>
        <v>0.69681027777852222</v>
      </c>
      <c r="W44" s="123">
        <f>(('Energy Usage'!W22*'Retail Rates'!W$5*'Device Energy Use'!$E9+'Energy Usage'!W22*'Retail Rates'!W$6*(1-'Device Energy Use'!$E9)))/1000000</f>
        <v>0.84175745607187824</v>
      </c>
    </row>
    <row r="47" spans="1:23">
      <c r="A47" s="12" t="s">
        <v>120</v>
      </c>
    </row>
    <row r="48" spans="1:23">
      <c r="A48" s="14" t="str">
        <f t="shared" ref="A48:W48" si="11">A57</f>
        <v>Water Heat Ending</v>
      </c>
      <c r="B48" s="9">
        <f t="shared" si="11"/>
        <v>2014</v>
      </c>
      <c r="C48" s="9">
        <f t="shared" si="11"/>
        <v>2015</v>
      </c>
      <c r="D48" s="9">
        <f t="shared" si="11"/>
        <v>2016</v>
      </c>
      <c r="E48" s="9">
        <f t="shared" si="11"/>
        <v>2017</v>
      </c>
      <c r="F48" s="9">
        <f t="shared" si="11"/>
        <v>2018</v>
      </c>
      <c r="G48" s="9">
        <f t="shared" si="11"/>
        <v>2019</v>
      </c>
      <c r="H48" s="9">
        <f t="shared" si="11"/>
        <v>2020</v>
      </c>
      <c r="I48" s="9">
        <f t="shared" si="11"/>
        <v>2021</v>
      </c>
      <c r="J48" s="9">
        <f t="shared" si="11"/>
        <v>2022</v>
      </c>
      <c r="K48" s="9">
        <f t="shared" si="11"/>
        <v>2023</v>
      </c>
      <c r="L48" s="9">
        <f t="shared" si="11"/>
        <v>2024</v>
      </c>
      <c r="M48" s="9">
        <f t="shared" si="11"/>
        <v>2025</v>
      </c>
      <c r="N48" s="9">
        <f t="shared" si="11"/>
        <v>2026</v>
      </c>
      <c r="O48" s="9">
        <f t="shared" si="11"/>
        <v>2027</v>
      </c>
      <c r="P48" s="9">
        <f t="shared" si="11"/>
        <v>2028</v>
      </c>
      <c r="Q48" s="9">
        <f t="shared" si="11"/>
        <v>2029</v>
      </c>
      <c r="R48" s="9">
        <f t="shared" si="11"/>
        <v>2030</v>
      </c>
      <c r="S48" s="9">
        <f t="shared" si="11"/>
        <v>2031</v>
      </c>
      <c r="T48" s="9">
        <f t="shared" si="11"/>
        <v>2032</v>
      </c>
      <c r="U48" s="9">
        <f t="shared" si="11"/>
        <v>2033</v>
      </c>
      <c r="V48" s="9">
        <f t="shared" si="11"/>
        <v>2034</v>
      </c>
      <c r="W48" s="9">
        <f t="shared" si="11"/>
        <v>2035</v>
      </c>
    </row>
    <row r="49" spans="1:23" ht="16.5" thickBot="1">
      <c r="A49" s="48" t="str">
        <f t="shared" ref="A49:A54" si="12">A58</f>
        <v>Total</v>
      </c>
      <c r="B49" s="129">
        <f t="shared" ref="B49:W49" si="13">SUM(B50:B54)</f>
        <v>41.713514629387021</v>
      </c>
      <c r="C49" s="129">
        <f t="shared" si="13"/>
        <v>47.800861715499067</v>
      </c>
      <c r="D49" s="129">
        <f t="shared" si="13"/>
        <v>47.237084140770776</v>
      </c>
      <c r="E49" s="129">
        <f t="shared" si="13"/>
        <v>46.735324507751244</v>
      </c>
      <c r="F49" s="129">
        <f t="shared" si="13"/>
        <v>46.292234240190901</v>
      </c>
      <c r="G49" s="129">
        <f t="shared" si="13"/>
        <v>45.904672917853482</v>
      </c>
      <c r="H49" s="129">
        <f t="shared" si="13"/>
        <v>45.569695886947102</v>
      </c>
      <c r="I49" s="129">
        <f t="shared" si="13"/>
        <v>45.284542609918176</v>
      </c>
      <c r="J49" s="129">
        <f t="shared" si="13"/>
        <v>45.04662571092372</v>
      </c>
      <c r="K49" s="129">
        <f t="shared" si="13"/>
        <v>44.853520675857169</v>
      </c>
      <c r="L49" s="129">
        <f t="shared" si="13"/>
        <v>44.702956168213959</v>
      </c>
      <c r="M49" s="129">
        <f t="shared" si="13"/>
        <v>44.592804924353821</v>
      </c>
      <c r="N49" s="129">
        <f t="shared" si="13"/>
        <v>44.521075193856518</v>
      </c>
      <c r="O49" s="129">
        <f t="shared" si="13"/>
        <v>44.485902692682856</v>
      </c>
      <c r="P49" s="129">
        <f t="shared" si="13"/>
        <v>44.485543038750507</v>
      </c>
      <c r="Q49" s="129">
        <f t="shared" si="13"/>
        <v>44.518364641322215</v>
      </c>
      <c r="R49" s="129">
        <f t="shared" si="13"/>
        <v>44.582842017287149</v>
      </c>
      <c r="S49" s="129">
        <f t="shared" si="13"/>
        <v>44.677549509001707</v>
      </c>
      <c r="T49" s="129">
        <f t="shared" si="13"/>
        <v>44.801155379849291</v>
      </c>
      <c r="U49" s="129">
        <f t="shared" si="13"/>
        <v>44.952416265084054</v>
      </c>
      <c r="V49" s="129">
        <f t="shared" si="13"/>
        <v>45.130171956847917</v>
      </c>
      <c r="W49" s="129">
        <f t="shared" si="13"/>
        <v>45.333340503496188</v>
      </c>
    </row>
    <row r="50" spans="1:23" ht="16.5" thickTop="1">
      <c r="A50" s="9" t="str">
        <f t="shared" si="12"/>
        <v>Electric Resistance</v>
      </c>
      <c r="B50" s="123">
        <f t="shared" ref="B50:W50" si="14">B59+B68+B77</f>
        <v>41.713514629387021</v>
      </c>
      <c r="C50" s="123">
        <f t="shared" si="14"/>
        <v>39.23091591223087</v>
      </c>
      <c r="D50" s="123">
        <f t="shared" si="14"/>
        <v>36.896148852516355</v>
      </c>
      <c r="E50" s="123">
        <f t="shared" si="14"/>
        <v>34.700404893238868</v>
      </c>
      <c r="F50" s="123">
        <f t="shared" si="14"/>
        <v>32.635400734755656</v>
      </c>
      <c r="G50" s="123">
        <f t="shared" si="14"/>
        <v>30.693346985110601</v>
      </c>
      <c r="H50" s="123">
        <f t="shared" si="14"/>
        <v>28.866918683464618</v>
      </c>
      <c r="I50" s="123">
        <f t="shared" si="14"/>
        <v>27.149227584572543</v>
      </c>
      <c r="J50" s="123">
        <f t="shared" si="14"/>
        <v>25.533796098961286</v>
      </c>
      <c r="K50" s="123">
        <f t="shared" si="14"/>
        <v>24.014532789775433</v>
      </c>
      <c r="L50" s="123">
        <f t="shared" si="14"/>
        <v>22.585709333188731</v>
      </c>
      <c r="M50" s="123">
        <f t="shared" si="14"/>
        <v>21.241938854856315</v>
      </c>
      <c r="N50" s="123">
        <f t="shared" si="14"/>
        <v>19.978155560124375</v>
      </c>
      <c r="O50" s="123">
        <f t="shared" si="14"/>
        <v>18.789595580641276</v>
      </c>
      <c r="P50" s="123">
        <f t="shared" si="14"/>
        <v>17.67177896464597</v>
      </c>
      <c r="Q50" s="123">
        <f t="shared" si="14"/>
        <v>16.620492742563471</v>
      </c>
      <c r="R50" s="123">
        <f t="shared" si="14"/>
        <v>15.631775003630164</v>
      </c>
      <c r="S50" s="123">
        <f t="shared" si="14"/>
        <v>14.701899923119033</v>
      </c>
      <c r="T50" s="123">
        <f t="shared" si="14"/>
        <v>13.827363683351807</v>
      </c>
      <c r="U50" s="123">
        <f t="shared" si="14"/>
        <v>13.004871235084995</v>
      </c>
      <c r="V50" s="123">
        <f t="shared" si="14"/>
        <v>12.231323849052909</v>
      </c>
      <c r="W50" s="123">
        <f t="shared" si="14"/>
        <v>11.503807410455469</v>
      </c>
    </row>
    <row r="51" spans="1:23">
      <c r="A51" s="9" t="str">
        <f t="shared" si="12"/>
        <v>HPWH</v>
      </c>
      <c r="B51" s="123">
        <f t="shared" ref="B51:W51" si="15">B60+B69+B78</f>
        <v>0</v>
      </c>
      <c r="C51" s="123">
        <f t="shared" si="15"/>
        <v>0</v>
      </c>
      <c r="D51" s="123">
        <f t="shared" si="15"/>
        <v>0</v>
      </c>
      <c r="E51" s="123">
        <f t="shared" si="15"/>
        <v>0</v>
      </c>
      <c r="F51" s="123">
        <f t="shared" si="15"/>
        <v>0</v>
      </c>
      <c r="G51" s="123">
        <f t="shared" si="15"/>
        <v>0</v>
      </c>
      <c r="H51" s="123">
        <f t="shared" si="15"/>
        <v>0</v>
      </c>
      <c r="I51" s="123">
        <f t="shared" si="15"/>
        <v>0</v>
      </c>
      <c r="J51" s="123">
        <f t="shared" si="15"/>
        <v>0</v>
      </c>
      <c r="K51" s="123">
        <f t="shared" si="15"/>
        <v>0</v>
      </c>
      <c r="L51" s="123">
        <f t="shared" si="15"/>
        <v>0</v>
      </c>
      <c r="M51" s="123">
        <f t="shared" si="15"/>
        <v>0</v>
      </c>
      <c r="N51" s="123">
        <f t="shared" si="15"/>
        <v>0</v>
      </c>
      <c r="O51" s="123">
        <f t="shared" si="15"/>
        <v>0</v>
      </c>
      <c r="P51" s="123">
        <f t="shared" si="15"/>
        <v>0</v>
      </c>
      <c r="Q51" s="123">
        <f t="shared" si="15"/>
        <v>0</v>
      </c>
      <c r="R51" s="123">
        <f t="shared" si="15"/>
        <v>0</v>
      </c>
      <c r="S51" s="123">
        <f t="shared" si="15"/>
        <v>0</v>
      </c>
      <c r="T51" s="123">
        <f t="shared" si="15"/>
        <v>0</v>
      </c>
      <c r="U51" s="123">
        <f t="shared" si="15"/>
        <v>0</v>
      </c>
      <c r="V51" s="123">
        <f t="shared" si="15"/>
        <v>0</v>
      </c>
      <c r="W51" s="123">
        <f t="shared" si="15"/>
        <v>0</v>
      </c>
    </row>
    <row r="52" spans="1:23">
      <c r="A52" s="9" t="str">
        <f t="shared" si="12"/>
        <v>Gas Tank</v>
      </c>
      <c r="B52" s="123">
        <f t="shared" ref="B52:W52" si="16">B61+B70+B79</f>
        <v>0</v>
      </c>
      <c r="C52" s="123">
        <f t="shared" si="16"/>
        <v>8.569945803268201</v>
      </c>
      <c r="D52" s="123">
        <f t="shared" si="16"/>
        <v>10.340935288254425</v>
      </c>
      <c r="E52" s="123">
        <f t="shared" si="16"/>
        <v>12.034919614512374</v>
      </c>
      <c r="F52" s="123">
        <f t="shared" si="16"/>
        <v>13.656833505435246</v>
      </c>
      <c r="G52" s="123">
        <f t="shared" si="16"/>
        <v>15.211325932742881</v>
      </c>
      <c r="H52" s="123">
        <f t="shared" si="16"/>
        <v>16.702777203482484</v>
      </c>
      <c r="I52" s="123">
        <f t="shared" si="16"/>
        <v>18.135315025345637</v>
      </c>
      <c r="J52" s="123">
        <f t="shared" si="16"/>
        <v>19.512829611962431</v>
      </c>
      <c r="K52" s="123">
        <f t="shared" si="16"/>
        <v>20.838987886081732</v>
      </c>
      <c r="L52" s="123">
        <f t="shared" si="16"/>
        <v>22.117246835025231</v>
      </c>
      <c r="M52" s="123">
        <f t="shared" si="16"/>
        <v>23.350866069497506</v>
      </c>
      <c r="N52" s="123">
        <f t="shared" si="16"/>
        <v>24.542919633732147</v>
      </c>
      <c r="O52" s="123">
        <f t="shared" si="16"/>
        <v>25.69630711204158</v>
      </c>
      <c r="P52" s="123">
        <f t="shared" si="16"/>
        <v>26.813764074104537</v>
      </c>
      <c r="Q52" s="123">
        <f t="shared" si="16"/>
        <v>27.897871898758744</v>
      </c>
      <c r="R52" s="123">
        <f t="shared" si="16"/>
        <v>28.951067013656981</v>
      </c>
      <c r="S52" s="123">
        <f t="shared" si="16"/>
        <v>29.975649585882678</v>
      </c>
      <c r="T52" s="123">
        <f t="shared" si="16"/>
        <v>30.973791696497482</v>
      </c>
      <c r="U52" s="123">
        <f t="shared" si="16"/>
        <v>31.947545029999059</v>
      </c>
      <c r="V52" s="123">
        <f t="shared" si="16"/>
        <v>32.898848107795004</v>
      </c>
      <c r="W52" s="123">
        <f t="shared" si="16"/>
        <v>33.829533093040723</v>
      </c>
    </row>
    <row r="53" spans="1:23">
      <c r="A53" s="9" t="str">
        <f t="shared" si="12"/>
        <v>Instant Gas</v>
      </c>
      <c r="B53" s="123">
        <f t="shared" ref="B53:W53" si="17">B62+B71+B80</f>
        <v>0</v>
      </c>
      <c r="C53" s="123">
        <f t="shared" si="17"/>
        <v>0</v>
      </c>
      <c r="D53" s="123">
        <f t="shared" si="17"/>
        <v>0</v>
      </c>
      <c r="E53" s="123">
        <f t="shared" si="17"/>
        <v>0</v>
      </c>
      <c r="F53" s="123">
        <f t="shared" si="17"/>
        <v>0</v>
      </c>
      <c r="G53" s="123">
        <f t="shared" si="17"/>
        <v>0</v>
      </c>
      <c r="H53" s="123">
        <f t="shared" si="17"/>
        <v>0</v>
      </c>
      <c r="I53" s="123">
        <f t="shared" si="17"/>
        <v>0</v>
      </c>
      <c r="J53" s="123">
        <f t="shared" si="17"/>
        <v>0</v>
      </c>
      <c r="K53" s="123">
        <f t="shared" si="17"/>
        <v>0</v>
      </c>
      <c r="L53" s="123">
        <f t="shared" si="17"/>
        <v>0</v>
      </c>
      <c r="M53" s="123">
        <f t="shared" si="17"/>
        <v>0</v>
      </c>
      <c r="N53" s="123">
        <f t="shared" si="17"/>
        <v>0</v>
      </c>
      <c r="O53" s="123">
        <f t="shared" si="17"/>
        <v>0</v>
      </c>
      <c r="P53" s="123">
        <f t="shared" si="17"/>
        <v>0</v>
      </c>
      <c r="Q53" s="123">
        <f t="shared" si="17"/>
        <v>0</v>
      </c>
      <c r="R53" s="123">
        <f t="shared" si="17"/>
        <v>0</v>
      </c>
      <c r="S53" s="123">
        <f t="shared" si="17"/>
        <v>0</v>
      </c>
      <c r="T53" s="123">
        <f t="shared" si="17"/>
        <v>0</v>
      </c>
      <c r="U53" s="123">
        <f t="shared" si="17"/>
        <v>0</v>
      </c>
      <c r="V53" s="123">
        <f t="shared" si="17"/>
        <v>0</v>
      </c>
      <c r="W53" s="123">
        <f t="shared" si="17"/>
        <v>0</v>
      </c>
    </row>
    <row r="54" spans="1:23">
      <c r="A54" s="9" t="str">
        <f t="shared" si="12"/>
        <v>Condensing Gas</v>
      </c>
      <c r="B54" s="123">
        <f t="shared" ref="B54:W54" si="18">B63+B72+B81</f>
        <v>0</v>
      </c>
      <c r="C54" s="123">
        <f t="shared" si="18"/>
        <v>0</v>
      </c>
      <c r="D54" s="123">
        <f t="shared" si="18"/>
        <v>0</v>
      </c>
      <c r="E54" s="123">
        <f t="shared" si="18"/>
        <v>0</v>
      </c>
      <c r="F54" s="123">
        <f t="shared" si="18"/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  <c r="T54" s="123">
        <f t="shared" si="18"/>
        <v>0</v>
      </c>
      <c r="U54" s="123">
        <f t="shared" si="18"/>
        <v>0</v>
      </c>
      <c r="V54" s="123">
        <f t="shared" si="18"/>
        <v>0</v>
      </c>
      <c r="W54" s="123">
        <f t="shared" si="18"/>
        <v>0</v>
      </c>
    </row>
    <row r="55" spans="1:23">
      <c r="A55" s="12"/>
    </row>
    <row r="56" spans="1:23">
      <c r="A56" s="12" t="s">
        <v>121</v>
      </c>
    </row>
    <row r="57" spans="1:23">
      <c r="A57" s="14" t="str">
        <f>'Water Heaters Purchased'!A13</f>
        <v>Water Heat Ending</v>
      </c>
      <c r="B57" s="9">
        <f>'Water Heaters Purchased'!B13</f>
        <v>2014</v>
      </c>
      <c r="C57" s="9">
        <f>'Water Heaters Purchased'!C13</f>
        <v>2015</v>
      </c>
      <c r="D57" s="9">
        <f>'Water Heaters Purchased'!D13</f>
        <v>2016</v>
      </c>
      <c r="E57" s="9">
        <f>'Water Heaters Purchased'!E13</f>
        <v>2017</v>
      </c>
      <c r="F57" s="9">
        <f>'Water Heaters Purchased'!F13</f>
        <v>2018</v>
      </c>
      <c r="G57" s="9">
        <f>'Water Heaters Purchased'!G13</f>
        <v>2019</v>
      </c>
      <c r="H57" s="9">
        <f>'Water Heaters Purchased'!H13</f>
        <v>2020</v>
      </c>
      <c r="I57" s="9">
        <f>'Water Heaters Purchased'!I13</f>
        <v>2021</v>
      </c>
      <c r="J57" s="9">
        <f>'Water Heaters Purchased'!J13</f>
        <v>2022</v>
      </c>
      <c r="K57" s="9">
        <f>'Water Heaters Purchased'!K13</f>
        <v>2023</v>
      </c>
      <c r="L57" s="9">
        <f>'Water Heaters Purchased'!L13</f>
        <v>2024</v>
      </c>
      <c r="M57" s="9">
        <f>'Water Heaters Purchased'!M13</f>
        <v>2025</v>
      </c>
      <c r="N57" s="9">
        <f>'Water Heaters Purchased'!N13</f>
        <v>2026</v>
      </c>
      <c r="O57" s="9">
        <f>'Water Heaters Purchased'!O13</f>
        <v>2027</v>
      </c>
      <c r="P57" s="9">
        <f>'Water Heaters Purchased'!P13</f>
        <v>2028</v>
      </c>
      <c r="Q57" s="9">
        <f>'Water Heaters Purchased'!Q13</f>
        <v>2029</v>
      </c>
      <c r="R57" s="9">
        <f>'Water Heaters Purchased'!R13</f>
        <v>2030</v>
      </c>
      <c r="S57" s="9">
        <f>'Water Heaters Purchased'!S13</f>
        <v>2031</v>
      </c>
      <c r="T57" s="9">
        <f>'Water Heaters Purchased'!T13</f>
        <v>2032</v>
      </c>
      <c r="U57" s="9">
        <f>'Water Heaters Purchased'!U13</f>
        <v>2033</v>
      </c>
      <c r="V57" s="9">
        <f>'Water Heaters Purchased'!V13</f>
        <v>2034</v>
      </c>
      <c r="W57" s="9">
        <f>'Water Heaters Purchased'!W13</f>
        <v>2035</v>
      </c>
    </row>
    <row r="58" spans="1:23" ht="16.5" thickBot="1">
      <c r="A58" s="48" t="s">
        <v>48</v>
      </c>
      <c r="B58" s="129">
        <f t="shared" ref="B58" si="19">SUM(B59:B63)</f>
        <v>0</v>
      </c>
      <c r="C58" s="129">
        <f t="shared" ref="C58:D58" si="20">SUM(C59:C63)</f>
        <v>6.7167125101440517</v>
      </c>
      <c r="D58" s="129">
        <f t="shared" si="20"/>
        <v>6.7167125101440535</v>
      </c>
      <c r="E58" s="129">
        <f t="shared" ref="E58:W58" si="21">SUM(E59:E63)</f>
        <v>6.7167125101440517</v>
      </c>
      <c r="F58" s="129">
        <f t="shared" si="21"/>
        <v>6.7167125101440517</v>
      </c>
      <c r="G58" s="129">
        <f t="shared" si="21"/>
        <v>6.7167125101440535</v>
      </c>
      <c r="H58" s="129">
        <f t="shared" si="21"/>
        <v>6.7167125101440535</v>
      </c>
      <c r="I58" s="129">
        <f t="shared" si="21"/>
        <v>6.7167125101440535</v>
      </c>
      <c r="J58" s="129">
        <f t="shared" si="21"/>
        <v>6.7167125101440535</v>
      </c>
      <c r="K58" s="129">
        <f t="shared" si="21"/>
        <v>6.7167125101440535</v>
      </c>
      <c r="L58" s="129">
        <f t="shared" si="21"/>
        <v>6.7167125101440535</v>
      </c>
      <c r="M58" s="129">
        <f t="shared" si="21"/>
        <v>6.7167125101440535</v>
      </c>
      <c r="N58" s="129">
        <f t="shared" si="21"/>
        <v>6.7167125101440535</v>
      </c>
      <c r="O58" s="129">
        <f t="shared" si="21"/>
        <v>6.7167125101440535</v>
      </c>
      <c r="P58" s="129">
        <f t="shared" si="21"/>
        <v>6.7167125101440535</v>
      </c>
      <c r="Q58" s="129">
        <f t="shared" si="21"/>
        <v>6.7167125101440535</v>
      </c>
      <c r="R58" s="129">
        <f t="shared" si="21"/>
        <v>6.7167125101440535</v>
      </c>
      <c r="S58" s="129">
        <f t="shared" si="21"/>
        <v>6.7167125101440535</v>
      </c>
      <c r="T58" s="129">
        <f t="shared" si="21"/>
        <v>6.7167125101440535</v>
      </c>
      <c r="U58" s="129">
        <f t="shared" si="21"/>
        <v>6.7167125101440517</v>
      </c>
      <c r="V58" s="129">
        <f t="shared" si="21"/>
        <v>6.7167125101440517</v>
      </c>
      <c r="W58" s="129">
        <f t="shared" si="21"/>
        <v>6.7167125101440517</v>
      </c>
    </row>
    <row r="59" spans="1:23" ht="16.5" thickTop="1">
      <c r="A59" s="38" t="str">
        <f>'Water Heaters Purchased'!A15</f>
        <v>Electric Resistance</v>
      </c>
      <c r="B59" s="123">
        <f>'Water Heaters Purchased'!B15*'Capital Cost'!$E5/1000000</f>
        <v>0</v>
      </c>
      <c r="C59" s="123">
        <f>'Water Heaters Purchased'!C15*'Capital Cost'!$E5/1000000</f>
        <v>0</v>
      </c>
      <c r="D59" s="123">
        <f>'Water Heaters Purchased'!D15*'Capital Cost'!$E5/1000000</f>
        <v>0</v>
      </c>
      <c r="E59" s="123">
        <f>'Water Heaters Purchased'!E15*'Capital Cost'!$E5/1000000</f>
        <v>0</v>
      </c>
      <c r="F59" s="123">
        <f>'Water Heaters Purchased'!F15*'Capital Cost'!$E5/1000000</f>
        <v>0</v>
      </c>
      <c r="G59" s="123">
        <f>'Water Heaters Purchased'!G15*'Capital Cost'!$E5/1000000</f>
        <v>0</v>
      </c>
      <c r="H59" s="123">
        <f>'Water Heaters Purchased'!H15*'Capital Cost'!$E5/1000000</f>
        <v>0</v>
      </c>
      <c r="I59" s="123">
        <f>'Water Heaters Purchased'!I15*'Capital Cost'!$E5/1000000</f>
        <v>0</v>
      </c>
      <c r="J59" s="123">
        <f>'Water Heaters Purchased'!J15*'Capital Cost'!$E5/1000000</f>
        <v>0</v>
      </c>
      <c r="K59" s="123">
        <f>'Water Heaters Purchased'!K15*'Capital Cost'!$E5/1000000</f>
        <v>0</v>
      </c>
      <c r="L59" s="123">
        <f>'Water Heaters Purchased'!L15*'Capital Cost'!$E5/1000000</f>
        <v>0</v>
      </c>
      <c r="M59" s="123">
        <f>'Water Heaters Purchased'!M15*'Capital Cost'!$E5/1000000</f>
        <v>0</v>
      </c>
      <c r="N59" s="123">
        <f>'Water Heaters Purchased'!N15*'Capital Cost'!$E5/1000000</f>
        <v>0</v>
      </c>
      <c r="O59" s="123">
        <f>'Water Heaters Purchased'!O15*'Capital Cost'!$E5/1000000</f>
        <v>0</v>
      </c>
      <c r="P59" s="123">
        <f>'Water Heaters Purchased'!P15*'Capital Cost'!$E5/1000000</f>
        <v>0</v>
      </c>
      <c r="Q59" s="123">
        <f>'Water Heaters Purchased'!Q15*'Capital Cost'!$E5/1000000</f>
        <v>0</v>
      </c>
      <c r="R59" s="123">
        <f>'Water Heaters Purchased'!R15*'Capital Cost'!$E5/1000000</f>
        <v>0</v>
      </c>
      <c r="S59" s="123">
        <f>'Water Heaters Purchased'!S15*'Capital Cost'!$E5/1000000</f>
        <v>0</v>
      </c>
      <c r="T59" s="123">
        <f>'Water Heaters Purchased'!T15*'Capital Cost'!$E5/1000000</f>
        <v>0</v>
      </c>
      <c r="U59" s="123">
        <f>'Water Heaters Purchased'!U15*'Capital Cost'!$E5/1000000</f>
        <v>0</v>
      </c>
      <c r="V59" s="123">
        <f>'Water Heaters Purchased'!V15*'Capital Cost'!$E5/1000000</f>
        <v>0</v>
      </c>
      <c r="W59" s="123">
        <f>'Water Heaters Purchased'!W15*'Capital Cost'!$E5/1000000</f>
        <v>0</v>
      </c>
    </row>
    <row r="60" spans="1:23">
      <c r="A60" s="38" t="str">
        <f>'Water Heaters Purchased'!A16</f>
        <v>HPWH</v>
      </c>
      <c r="B60" s="123">
        <f>'Water Heaters Purchased'!B16*'Capital Cost'!$E6/1000000</f>
        <v>0</v>
      </c>
      <c r="C60" s="123">
        <f>'Water Heaters Purchased'!C16*'Capital Cost'!$E6/1000000</f>
        <v>0</v>
      </c>
      <c r="D60" s="123">
        <f>'Water Heaters Purchased'!D16*'Capital Cost'!$E6/1000000</f>
        <v>0</v>
      </c>
      <c r="E60" s="123">
        <f>'Water Heaters Purchased'!E16*'Capital Cost'!$E6/1000000</f>
        <v>0</v>
      </c>
      <c r="F60" s="123">
        <f>'Water Heaters Purchased'!F16*'Capital Cost'!$E6/1000000</f>
        <v>0</v>
      </c>
      <c r="G60" s="123">
        <f>'Water Heaters Purchased'!G16*'Capital Cost'!$E6/1000000</f>
        <v>0</v>
      </c>
      <c r="H60" s="123">
        <f>'Water Heaters Purchased'!H16*'Capital Cost'!$E6/1000000</f>
        <v>0</v>
      </c>
      <c r="I60" s="123">
        <f>'Water Heaters Purchased'!I16*'Capital Cost'!$E6/1000000</f>
        <v>0</v>
      </c>
      <c r="J60" s="123">
        <f>'Water Heaters Purchased'!J16*'Capital Cost'!$E6/1000000</f>
        <v>0</v>
      </c>
      <c r="K60" s="123">
        <f>'Water Heaters Purchased'!K16*'Capital Cost'!$E6/1000000</f>
        <v>0</v>
      </c>
      <c r="L60" s="123">
        <f>'Water Heaters Purchased'!L16*'Capital Cost'!$E6/1000000</f>
        <v>0</v>
      </c>
      <c r="M60" s="123">
        <f>'Water Heaters Purchased'!M16*'Capital Cost'!$E6/1000000</f>
        <v>0</v>
      </c>
      <c r="N60" s="123">
        <f>'Water Heaters Purchased'!N16*'Capital Cost'!$E6/1000000</f>
        <v>0</v>
      </c>
      <c r="O60" s="123">
        <f>'Water Heaters Purchased'!O16*'Capital Cost'!$E6/1000000</f>
        <v>0</v>
      </c>
      <c r="P60" s="123">
        <f>'Water Heaters Purchased'!P16*'Capital Cost'!$E6/1000000</f>
        <v>0</v>
      </c>
      <c r="Q60" s="123">
        <f>'Water Heaters Purchased'!Q16*'Capital Cost'!$E6/1000000</f>
        <v>0</v>
      </c>
      <c r="R60" s="123">
        <f>'Water Heaters Purchased'!R16*'Capital Cost'!$E6/1000000</f>
        <v>0</v>
      </c>
      <c r="S60" s="123">
        <f>'Water Heaters Purchased'!S16*'Capital Cost'!$E6/1000000</f>
        <v>0</v>
      </c>
      <c r="T60" s="123">
        <f>'Water Heaters Purchased'!T16*'Capital Cost'!$E6/1000000</f>
        <v>0</v>
      </c>
      <c r="U60" s="123">
        <f>'Water Heaters Purchased'!U16*'Capital Cost'!$E6/1000000</f>
        <v>0</v>
      </c>
      <c r="V60" s="123">
        <f>'Water Heaters Purchased'!V16*'Capital Cost'!$E6/1000000</f>
        <v>0</v>
      </c>
      <c r="W60" s="123">
        <f>'Water Heaters Purchased'!W16*'Capital Cost'!$E6/1000000</f>
        <v>0</v>
      </c>
    </row>
    <row r="61" spans="1:23">
      <c r="A61" s="38" t="str">
        <f>'Water Heaters Purchased'!A17</f>
        <v>Gas Tank</v>
      </c>
      <c r="B61" s="123">
        <f>'Water Heaters Purchased'!B17*'Capital Cost'!$E7/1000000</f>
        <v>0</v>
      </c>
      <c r="C61" s="123">
        <f>'Water Heaters Purchased'!C17*'Capital Cost'!$E7/1000000</f>
        <v>6.7167125101440517</v>
      </c>
      <c r="D61" s="123">
        <f>'Water Heaters Purchased'!D17*'Capital Cost'!$E7/1000000</f>
        <v>6.7167125101440535</v>
      </c>
      <c r="E61" s="123">
        <f>'Water Heaters Purchased'!E17*'Capital Cost'!$E7/1000000</f>
        <v>6.7167125101440517</v>
      </c>
      <c r="F61" s="123">
        <f>'Water Heaters Purchased'!F17*'Capital Cost'!$E7/1000000</f>
        <v>6.7167125101440517</v>
      </c>
      <c r="G61" s="123">
        <f>'Water Heaters Purchased'!G17*'Capital Cost'!$E7/1000000</f>
        <v>6.7167125101440535</v>
      </c>
      <c r="H61" s="123">
        <f>'Water Heaters Purchased'!H17*'Capital Cost'!$E7/1000000</f>
        <v>6.7167125101440535</v>
      </c>
      <c r="I61" s="123">
        <f>'Water Heaters Purchased'!I17*'Capital Cost'!$E7/1000000</f>
        <v>6.7167125101440535</v>
      </c>
      <c r="J61" s="123">
        <f>'Water Heaters Purchased'!J17*'Capital Cost'!$E7/1000000</f>
        <v>6.7167125101440535</v>
      </c>
      <c r="K61" s="123">
        <f>'Water Heaters Purchased'!K17*'Capital Cost'!$E7/1000000</f>
        <v>6.7167125101440535</v>
      </c>
      <c r="L61" s="123">
        <f>'Water Heaters Purchased'!L17*'Capital Cost'!$E7/1000000</f>
        <v>6.7167125101440535</v>
      </c>
      <c r="M61" s="123">
        <f>'Water Heaters Purchased'!M17*'Capital Cost'!$E7/1000000</f>
        <v>6.7167125101440535</v>
      </c>
      <c r="N61" s="123">
        <f>'Water Heaters Purchased'!N17*'Capital Cost'!$E7/1000000</f>
        <v>6.7167125101440535</v>
      </c>
      <c r="O61" s="123">
        <f>'Water Heaters Purchased'!O17*'Capital Cost'!$E7/1000000</f>
        <v>6.7167125101440535</v>
      </c>
      <c r="P61" s="123">
        <f>'Water Heaters Purchased'!P17*'Capital Cost'!$E7/1000000</f>
        <v>6.7167125101440535</v>
      </c>
      <c r="Q61" s="123">
        <f>'Water Heaters Purchased'!Q17*'Capital Cost'!$E7/1000000</f>
        <v>6.7167125101440535</v>
      </c>
      <c r="R61" s="123">
        <f>'Water Heaters Purchased'!R17*'Capital Cost'!$E7/1000000</f>
        <v>6.7167125101440535</v>
      </c>
      <c r="S61" s="123">
        <f>'Water Heaters Purchased'!S17*'Capital Cost'!$E7/1000000</f>
        <v>6.7167125101440535</v>
      </c>
      <c r="T61" s="123">
        <f>'Water Heaters Purchased'!T17*'Capital Cost'!$E7/1000000</f>
        <v>6.7167125101440535</v>
      </c>
      <c r="U61" s="123">
        <f>'Water Heaters Purchased'!U17*'Capital Cost'!$E7/1000000</f>
        <v>6.7167125101440517</v>
      </c>
      <c r="V61" s="123">
        <f>'Water Heaters Purchased'!V17*'Capital Cost'!$E7/1000000</f>
        <v>6.7167125101440517</v>
      </c>
      <c r="W61" s="123">
        <f>'Water Heaters Purchased'!W17*'Capital Cost'!$E7/1000000</f>
        <v>6.7167125101440517</v>
      </c>
    </row>
    <row r="62" spans="1:23">
      <c r="A62" s="38" t="str">
        <f>'Water Heaters Purchased'!A18</f>
        <v>Instant Gas</v>
      </c>
      <c r="B62" s="123">
        <f>'Water Heaters Purchased'!B18*'Capital Cost'!$E8/1000000</f>
        <v>0</v>
      </c>
      <c r="C62" s="123">
        <f>'Water Heaters Purchased'!C18*'Capital Cost'!$E8/1000000</f>
        <v>0</v>
      </c>
      <c r="D62" s="123">
        <f>'Water Heaters Purchased'!D18*'Capital Cost'!$E8/1000000</f>
        <v>0</v>
      </c>
      <c r="E62" s="123">
        <f>'Water Heaters Purchased'!E18*'Capital Cost'!$E8/1000000</f>
        <v>0</v>
      </c>
      <c r="F62" s="123">
        <f>'Water Heaters Purchased'!F18*'Capital Cost'!$E8/1000000</f>
        <v>0</v>
      </c>
      <c r="G62" s="123">
        <f>'Water Heaters Purchased'!G18*'Capital Cost'!$E8/1000000</f>
        <v>0</v>
      </c>
      <c r="H62" s="123">
        <f>'Water Heaters Purchased'!H18*'Capital Cost'!$E8/1000000</f>
        <v>0</v>
      </c>
      <c r="I62" s="123">
        <f>'Water Heaters Purchased'!I18*'Capital Cost'!$E8/1000000</f>
        <v>0</v>
      </c>
      <c r="J62" s="123">
        <f>'Water Heaters Purchased'!J18*'Capital Cost'!$E8/1000000</f>
        <v>0</v>
      </c>
      <c r="K62" s="123">
        <f>'Water Heaters Purchased'!K18*'Capital Cost'!$E8/1000000</f>
        <v>0</v>
      </c>
      <c r="L62" s="123">
        <f>'Water Heaters Purchased'!L18*'Capital Cost'!$E8/1000000</f>
        <v>0</v>
      </c>
      <c r="M62" s="123">
        <f>'Water Heaters Purchased'!M18*'Capital Cost'!$E8/1000000</f>
        <v>0</v>
      </c>
      <c r="N62" s="123">
        <f>'Water Heaters Purchased'!N18*'Capital Cost'!$E8/1000000</f>
        <v>0</v>
      </c>
      <c r="O62" s="123">
        <f>'Water Heaters Purchased'!O18*'Capital Cost'!$E8/1000000</f>
        <v>0</v>
      </c>
      <c r="P62" s="123">
        <f>'Water Heaters Purchased'!P18*'Capital Cost'!$E8/1000000</f>
        <v>0</v>
      </c>
      <c r="Q62" s="123">
        <f>'Water Heaters Purchased'!Q18*'Capital Cost'!$E8/1000000</f>
        <v>0</v>
      </c>
      <c r="R62" s="123">
        <f>'Water Heaters Purchased'!R18*'Capital Cost'!$E8/1000000</f>
        <v>0</v>
      </c>
      <c r="S62" s="123">
        <f>'Water Heaters Purchased'!S18*'Capital Cost'!$E8/1000000</f>
        <v>0</v>
      </c>
      <c r="T62" s="123">
        <f>'Water Heaters Purchased'!T18*'Capital Cost'!$E8/1000000</f>
        <v>0</v>
      </c>
      <c r="U62" s="123">
        <f>'Water Heaters Purchased'!U18*'Capital Cost'!$E8/1000000</f>
        <v>0</v>
      </c>
      <c r="V62" s="123">
        <f>'Water Heaters Purchased'!V18*'Capital Cost'!$E8/1000000</f>
        <v>0</v>
      </c>
      <c r="W62" s="123">
        <f>'Water Heaters Purchased'!W18*'Capital Cost'!$E8/1000000</f>
        <v>0</v>
      </c>
    </row>
    <row r="63" spans="1:23">
      <c r="A63" s="38" t="str">
        <f>'Water Heaters Purchased'!A19</f>
        <v>Condensing Gas</v>
      </c>
      <c r="B63" s="123">
        <f>'Water Heaters Purchased'!B19*'Capital Cost'!$E9/1000000</f>
        <v>0</v>
      </c>
      <c r="C63" s="123">
        <f>'Water Heaters Purchased'!C19*'Capital Cost'!$E9/1000000</f>
        <v>0</v>
      </c>
      <c r="D63" s="123">
        <f>'Water Heaters Purchased'!D19*'Capital Cost'!$E9/1000000</f>
        <v>0</v>
      </c>
      <c r="E63" s="123">
        <f>'Water Heaters Purchased'!E19*'Capital Cost'!$E9/1000000</f>
        <v>0</v>
      </c>
      <c r="F63" s="123">
        <f>'Water Heaters Purchased'!F19*'Capital Cost'!$E9/1000000</f>
        <v>0</v>
      </c>
      <c r="G63" s="123">
        <f>'Water Heaters Purchased'!G19*'Capital Cost'!$E9/1000000</f>
        <v>0</v>
      </c>
      <c r="H63" s="123">
        <f>'Water Heaters Purchased'!H19*'Capital Cost'!$E9/1000000</f>
        <v>0</v>
      </c>
      <c r="I63" s="123">
        <f>'Water Heaters Purchased'!I19*'Capital Cost'!$E9/1000000</f>
        <v>0</v>
      </c>
      <c r="J63" s="123">
        <f>'Water Heaters Purchased'!J19*'Capital Cost'!$E9/1000000</f>
        <v>0</v>
      </c>
      <c r="K63" s="123">
        <f>'Water Heaters Purchased'!K19*'Capital Cost'!$E9/1000000</f>
        <v>0</v>
      </c>
      <c r="L63" s="123">
        <f>'Water Heaters Purchased'!L19*'Capital Cost'!$E9/1000000</f>
        <v>0</v>
      </c>
      <c r="M63" s="123">
        <f>'Water Heaters Purchased'!M19*'Capital Cost'!$E9/1000000</f>
        <v>0</v>
      </c>
      <c r="N63" s="123">
        <f>'Water Heaters Purchased'!N19*'Capital Cost'!$E9/1000000</f>
        <v>0</v>
      </c>
      <c r="O63" s="123">
        <f>'Water Heaters Purchased'!O19*'Capital Cost'!$E9/1000000</f>
        <v>0</v>
      </c>
      <c r="P63" s="123">
        <f>'Water Heaters Purchased'!P19*'Capital Cost'!$E9/1000000</f>
        <v>0</v>
      </c>
      <c r="Q63" s="123">
        <f>'Water Heaters Purchased'!Q19*'Capital Cost'!$E9/1000000</f>
        <v>0</v>
      </c>
      <c r="R63" s="123">
        <f>'Water Heaters Purchased'!R19*'Capital Cost'!$E9/1000000</f>
        <v>0</v>
      </c>
      <c r="S63" s="123">
        <f>'Water Heaters Purchased'!S19*'Capital Cost'!$E9/1000000</f>
        <v>0</v>
      </c>
      <c r="T63" s="123">
        <f>'Water Heaters Purchased'!T19*'Capital Cost'!$E9/1000000</f>
        <v>0</v>
      </c>
      <c r="U63" s="123">
        <f>'Water Heaters Purchased'!U19*'Capital Cost'!$E9/1000000</f>
        <v>0</v>
      </c>
      <c r="V63" s="123">
        <f>'Water Heaters Purchased'!V19*'Capital Cost'!$E9/1000000</f>
        <v>0</v>
      </c>
      <c r="W63" s="123">
        <f>'Water Heaters Purchased'!W19*'Capital Cost'!$E9/1000000</f>
        <v>0</v>
      </c>
    </row>
    <row r="64" spans="1:23">
      <c r="A64" s="12"/>
    </row>
    <row r="65" spans="1:23">
      <c r="A65" s="12" t="s">
        <v>122</v>
      </c>
    </row>
    <row r="66" spans="1:23">
      <c r="A66" s="23" t="str">
        <f>'Water Heater Stock'!A13</f>
        <v>Water Heat Ending</v>
      </c>
      <c r="B66" s="9">
        <f>'Water Heater Stock'!B13</f>
        <v>2014</v>
      </c>
      <c r="C66" s="9">
        <f>'Water Heater Stock'!C13</f>
        <v>2015</v>
      </c>
      <c r="D66" s="9">
        <f>'Water Heater Stock'!D13</f>
        <v>2016</v>
      </c>
      <c r="E66" s="9">
        <f>'Water Heater Stock'!E13</f>
        <v>2017</v>
      </c>
      <c r="F66" s="9">
        <f>'Water Heater Stock'!F13</f>
        <v>2018</v>
      </c>
      <c r="G66" s="9">
        <f>'Water Heater Stock'!G13</f>
        <v>2019</v>
      </c>
      <c r="H66" s="9">
        <f>'Water Heater Stock'!H13</f>
        <v>2020</v>
      </c>
      <c r="I66" s="9">
        <f>'Water Heater Stock'!I13</f>
        <v>2021</v>
      </c>
      <c r="J66" s="9">
        <f>'Water Heater Stock'!J13</f>
        <v>2022</v>
      </c>
      <c r="K66" s="9">
        <f>'Water Heater Stock'!K13</f>
        <v>2023</v>
      </c>
      <c r="L66" s="9">
        <f>'Water Heater Stock'!L13</f>
        <v>2024</v>
      </c>
      <c r="M66" s="9">
        <f>'Water Heater Stock'!M13</f>
        <v>2025</v>
      </c>
      <c r="N66" s="9">
        <f>'Water Heater Stock'!N13</f>
        <v>2026</v>
      </c>
      <c r="O66" s="9">
        <f>'Water Heater Stock'!O13</f>
        <v>2027</v>
      </c>
      <c r="P66" s="9">
        <f>'Water Heater Stock'!P13</f>
        <v>2028</v>
      </c>
      <c r="Q66" s="9">
        <f>'Water Heater Stock'!Q13</f>
        <v>2029</v>
      </c>
      <c r="R66" s="9">
        <f>'Water Heater Stock'!R13</f>
        <v>2030</v>
      </c>
      <c r="S66" s="9">
        <f>'Water Heater Stock'!S13</f>
        <v>2031</v>
      </c>
      <c r="T66" s="9">
        <f>'Water Heater Stock'!T13</f>
        <v>2032</v>
      </c>
      <c r="U66" s="9">
        <f>'Water Heater Stock'!U13</f>
        <v>2033</v>
      </c>
      <c r="V66" s="9">
        <f>'Water Heater Stock'!V13</f>
        <v>2034</v>
      </c>
      <c r="W66" s="9">
        <f>'Water Heater Stock'!W13</f>
        <v>2035</v>
      </c>
    </row>
    <row r="67" spans="1:23" ht="16.5" thickBot="1">
      <c r="A67" s="48" t="str">
        <f t="shared" ref="A67" si="22">A68</f>
        <v>Electric Resistance</v>
      </c>
      <c r="B67" s="129">
        <f t="shared" ref="B67" si="23">SUM(B68:B72)</f>
        <v>0.54704960452919282</v>
      </c>
      <c r="C67" s="129">
        <f t="shared" ref="C67:W67" si="24">SUM(C68:C72)</f>
        <v>0.62831908838727279</v>
      </c>
      <c r="D67" s="129">
        <f t="shared" si="24"/>
        <v>0.7037836091126326</v>
      </c>
      <c r="E67" s="129">
        <f t="shared" si="24"/>
        <v>0.77385780692903838</v>
      </c>
      <c r="F67" s="129">
        <f t="shared" si="24"/>
        <v>0.83892670490141508</v>
      </c>
      <c r="G67" s="129">
        <f t="shared" si="24"/>
        <v>0.8993478244471933</v>
      </c>
      <c r="H67" s="129">
        <f t="shared" si="24"/>
        <v>0.95545314973970186</v>
      </c>
      <c r="I67" s="129">
        <f t="shared" si="24"/>
        <v>1.0075509517970311</v>
      </c>
      <c r="J67" s="129">
        <f t="shared" si="24"/>
        <v>1.0559274822788369</v>
      </c>
      <c r="K67" s="129">
        <f t="shared" si="24"/>
        <v>1.1008485462976567</v>
      </c>
      <c r="L67" s="129">
        <f t="shared" si="24"/>
        <v>1.1425609628865605</v>
      </c>
      <c r="M67" s="129">
        <f t="shared" si="24"/>
        <v>1.1812939211476856</v>
      </c>
      <c r="N67" s="129">
        <f t="shared" si="24"/>
        <v>1.2172602395330161</v>
      </c>
      <c r="O67" s="129">
        <f t="shared" si="24"/>
        <v>1.2506575351765372</v>
      </c>
      <c r="P67" s="129">
        <f t="shared" si="24"/>
        <v>1.2816693097026639</v>
      </c>
      <c r="Q67" s="129">
        <f t="shared" si="24"/>
        <v>1.3104659574769246</v>
      </c>
      <c r="R67" s="129">
        <f t="shared" si="24"/>
        <v>1.3372057018387382</v>
      </c>
      <c r="S67" s="129">
        <f t="shared" si="24"/>
        <v>1.3620354644604218</v>
      </c>
      <c r="T67" s="129">
        <f t="shared" si="24"/>
        <v>1.3850916726091282</v>
      </c>
      <c r="U67" s="129">
        <f t="shared" si="24"/>
        <v>1.4065010087472127</v>
      </c>
      <c r="V67" s="129">
        <f t="shared" si="24"/>
        <v>1.4263811065897196</v>
      </c>
      <c r="W67" s="129">
        <f t="shared" si="24"/>
        <v>1.4448411974434763</v>
      </c>
    </row>
    <row r="68" spans="1:23" ht="16.5" thickTop="1">
      <c r="A68" s="38" t="str">
        <f>'Water Heater Stock'!A15</f>
        <v>Electric Resistance</v>
      </c>
      <c r="B68" s="123">
        <f>'Water Heater Stock'!B15*'O&amp;M Cost'!$D5/1000000</f>
        <v>0.54704960452919282</v>
      </c>
      <c r="C68" s="123">
        <f>'Water Heater Stock'!C15*'O&amp;M Cost'!$D5/1000000</f>
        <v>0.50797463277710764</v>
      </c>
      <c r="D68" s="123">
        <f>'Water Heater Stock'!D15*'O&amp;M Cost'!$D5/1000000</f>
        <v>0.47169073043588561</v>
      </c>
      <c r="E68" s="123">
        <f>'Water Heater Stock'!E15*'O&amp;M Cost'!$D5/1000000</f>
        <v>0.43799853540475092</v>
      </c>
      <c r="F68" s="123">
        <f>'Water Heater Stock'!F15*'O&amp;M Cost'!$D5/1000000</f>
        <v>0.40671292573298301</v>
      </c>
      <c r="G68" s="123">
        <f>'Water Heater Stock'!G15*'O&amp;M Cost'!$D5/1000000</f>
        <v>0.37766200246634135</v>
      </c>
      <c r="H68" s="123">
        <f>'Water Heater Stock'!H15*'O&amp;M Cost'!$D5/1000000</f>
        <v>0.350686145147317</v>
      </c>
      <c r="I68" s="123">
        <f>'Water Heater Stock'!I15*'O&amp;M Cost'!$D5/1000000</f>
        <v>0.32563713477965145</v>
      </c>
      <c r="J68" s="123">
        <f>'Water Heater Stock'!J15*'O&amp;M Cost'!$D5/1000000</f>
        <v>0.30237733943824779</v>
      </c>
      <c r="K68" s="123">
        <f>'Water Heater Stock'!K15*'O&amp;M Cost'!$D5/1000000</f>
        <v>0.28077895804980152</v>
      </c>
      <c r="L68" s="123">
        <f>'Water Heater Stock'!L15*'O&amp;M Cost'!$D5/1000000</f>
        <v>0.26072331818910138</v>
      </c>
      <c r="M68" s="123">
        <f>'Water Heater Stock'!M15*'O&amp;M Cost'!$D5/1000000</f>
        <v>0.24210022403273701</v>
      </c>
      <c r="N68" s="123">
        <f>'Water Heater Stock'!N15*'O&amp;M Cost'!$D5/1000000</f>
        <v>0.2248073508875415</v>
      </c>
      <c r="O68" s="123">
        <f>'Water Heater Stock'!O15*'O&amp;M Cost'!$D5/1000000</f>
        <v>0.20874968296700283</v>
      </c>
      <c r="P68" s="123">
        <f>'Water Heater Stock'!P15*'O&amp;M Cost'!$D5/1000000</f>
        <v>0.19383899132650265</v>
      </c>
      <c r="Q68" s="123">
        <f>'Water Heater Stock'!Q15*'O&amp;M Cost'!$D5/1000000</f>
        <v>0.1799933490888953</v>
      </c>
      <c r="R68" s="123">
        <f>'Water Heater Stock'!R15*'O&amp;M Cost'!$D5/1000000</f>
        <v>0.16713668129683135</v>
      </c>
      <c r="S68" s="123">
        <f>'Water Heater Stock'!S15*'O&amp;M Cost'!$D5/1000000</f>
        <v>0.15519834691848627</v>
      </c>
      <c r="T68" s="123">
        <f>'Water Heater Stock'!T15*'O&amp;M Cost'!$D5/1000000</f>
        <v>0.14411275071002297</v>
      </c>
      <c r="U68" s="123">
        <f>'Water Heater Stock'!U15*'O&amp;M Cost'!$D5/1000000</f>
        <v>0.1338189828021642</v>
      </c>
      <c r="V68" s="123">
        <f>'Water Heater Stock'!V15*'O&amp;M Cost'!$D5/1000000</f>
        <v>0.12426048403058101</v>
      </c>
      <c r="W68" s="123">
        <f>'Water Heater Stock'!W15*'O&amp;M Cost'!$D5/1000000</f>
        <v>0.11538473517125379</v>
      </c>
    </row>
    <row r="69" spans="1:23">
      <c r="A69" s="38" t="str">
        <f>'Water Heater Stock'!A16</f>
        <v>HPWH</v>
      </c>
      <c r="B69" s="123">
        <f>'Water Heater Stock'!B16*'O&amp;M Cost'!$D6/1000000</f>
        <v>0</v>
      </c>
      <c r="C69" s="123">
        <f>'Water Heater Stock'!C16*'O&amp;M Cost'!$D6/1000000</f>
        <v>0</v>
      </c>
      <c r="D69" s="123">
        <f>'Water Heater Stock'!D16*'O&amp;M Cost'!$D6/1000000</f>
        <v>0</v>
      </c>
      <c r="E69" s="123">
        <f>'Water Heater Stock'!E16*'O&amp;M Cost'!$D6/1000000</f>
        <v>0</v>
      </c>
      <c r="F69" s="123">
        <f>'Water Heater Stock'!F16*'O&amp;M Cost'!$D6/1000000</f>
        <v>0</v>
      </c>
      <c r="G69" s="123">
        <f>'Water Heater Stock'!G16*'O&amp;M Cost'!$D6/1000000</f>
        <v>0</v>
      </c>
      <c r="H69" s="123">
        <f>'Water Heater Stock'!H16*'O&amp;M Cost'!$D6/1000000</f>
        <v>0</v>
      </c>
      <c r="I69" s="123">
        <f>'Water Heater Stock'!I16*'O&amp;M Cost'!$D6/1000000</f>
        <v>0</v>
      </c>
      <c r="J69" s="123">
        <f>'Water Heater Stock'!J16*'O&amp;M Cost'!$D6/1000000</f>
        <v>0</v>
      </c>
      <c r="K69" s="123">
        <f>'Water Heater Stock'!K16*'O&amp;M Cost'!$D6/1000000</f>
        <v>0</v>
      </c>
      <c r="L69" s="123">
        <f>'Water Heater Stock'!L16*'O&amp;M Cost'!$D6/1000000</f>
        <v>0</v>
      </c>
      <c r="M69" s="123">
        <f>'Water Heater Stock'!M16*'O&amp;M Cost'!$D6/1000000</f>
        <v>0</v>
      </c>
      <c r="N69" s="123">
        <f>'Water Heater Stock'!N16*'O&amp;M Cost'!$D6/1000000</f>
        <v>0</v>
      </c>
      <c r="O69" s="123">
        <f>'Water Heater Stock'!O16*'O&amp;M Cost'!$D6/1000000</f>
        <v>0</v>
      </c>
      <c r="P69" s="123">
        <f>'Water Heater Stock'!P16*'O&amp;M Cost'!$D6/1000000</f>
        <v>0</v>
      </c>
      <c r="Q69" s="123">
        <f>'Water Heater Stock'!Q16*'O&amp;M Cost'!$D6/1000000</f>
        <v>0</v>
      </c>
      <c r="R69" s="123">
        <f>'Water Heater Stock'!R16*'O&amp;M Cost'!$D6/1000000</f>
        <v>0</v>
      </c>
      <c r="S69" s="123">
        <f>'Water Heater Stock'!S16*'O&amp;M Cost'!$D6/1000000</f>
        <v>0</v>
      </c>
      <c r="T69" s="123">
        <f>'Water Heater Stock'!T16*'O&amp;M Cost'!$D6/1000000</f>
        <v>0</v>
      </c>
      <c r="U69" s="123">
        <f>'Water Heater Stock'!U16*'O&amp;M Cost'!$D6/1000000</f>
        <v>0</v>
      </c>
      <c r="V69" s="123">
        <f>'Water Heater Stock'!V16*'O&amp;M Cost'!$D6/1000000</f>
        <v>0</v>
      </c>
      <c r="W69" s="123">
        <f>'Water Heater Stock'!W16*'O&amp;M Cost'!$D6/1000000</f>
        <v>0</v>
      </c>
    </row>
    <row r="70" spans="1:23">
      <c r="A70" s="38" t="str">
        <f>'Water Heater Stock'!A17</f>
        <v>Gas Tank</v>
      </c>
      <c r="B70" s="123">
        <f>'Water Heater Stock'!B17*'O&amp;M Cost'!$D7/1000000</f>
        <v>0</v>
      </c>
      <c r="C70" s="123">
        <f>'Water Heater Stock'!C17*'O&amp;M Cost'!$D7/1000000</f>
        <v>0.12034445561016513</v>
      </c>
      <c r="D70" s="123">
        <f>'Water Heater Stock'!D17*'O&amp;M Cost'!$D7/1000000</f>
        <v>0.23209287867674705</v>
      </c>
      <c r="E70" s="123">
        <f>'Water Heater Stock'!E17*'O&amp;M Cost'!$D7/1000000</f>
        <v>0.33585927152428746</v>
      </c>
      <c r="F70" s="123">
        <f>'Water Heater Stock'!F17*'O&amp;M Cost'!$D7/1000000</f>
        <v>0.43221377916843201</v>
      </c>
      <c r="G70" s="123">
        <f>'Water Heater Stock'!G17*'O&amp;M Cost'!$D7/1000000</f>
        <v>0.521685821980852</v>
      </c>
      <c r="H70" s="123">
        <f>'Water Heater Stock'!H17*'O&amp;M Cost'!$D7/1000000</f>
        <v>0.60476700459238486</v>
      </c>
      <c r="I70" s="123">
        <f>'Water Heater Stock'!I17*'O&amp;M Cost'!$D7/1000000</f>
        <v>0.68191381701737963</v>
      </c>
      <c r="J70" s="123">
        <f>'Water Heater Stock'!J17*'O&amp;M Cost'!$D7/1000000</f>
        <v>0.75355014284058919</v>
      </c>
      <c r="K70" s="123">
        <f>'Water Heater Stock'!K17*'O&amp;M Cost'!$D7/1000000</f>
        <v>0.82006958824785514</v>
      </c>
      <c r="L70" s="123">
        <f>'Water Heater Stock'!L17*'O&amp;M Cost'!$D7/1000000</f>
        <v>0.88183764469745918</v>
      </c>
      <c r="M70" s="123">
        <f>'Water Heater Stock'!M17*'O&amp;M Cost'!$D7/1000000</f>
        <v>0.9391936971149486</v>
      </c>
      <c r="N70" s="123">
        <f>'Water Heater Stock'!N17*'O&amp;M Cost'!$D7/1000000</f>
        <v>0.99245288864547454</v>
      </c>
      <c r="O70" s="123">
        <f>'Water Heater Stock'!O17*'O&amp;M Cost'!$D7/1000000</f>
        <v>1.0419078522095344</v>
      </c>
      <c r="P70" s="123">
        <f>'Water Heater Stock'!P17*'O&amp;M Cost'!$D7/1000000</f>
        <v>1.0878303183761613</v>
      </c>
      <c r="Q70" s="123">
        <f>'Water Heater Stock'!Q17*'O&amp;M Cost'!$D7/1000000</f>
        <v>1.1304726083880292</v>
      </c>
      <c r="R70" s="123">
        <f>'Water Heater Stock'!R17*'O&amp;M Cost'!$D7/1000000</f>
        <v>1.1700690205419069</v>
      </c>
      <c r="S70" s="123">
        <f>'Water Heater Stock'!S17*'O&amp;M Cost'!$D7/1000000</f>
        <v>1.2068371175419355</v>
      </c>
      <c r="T70" s="123">
        <f>'Water Heater Stock'!T17*'O&amp;M Cost'!$D7/1000000</f>
        <v>1.2409789218991052</v>
      </c>
      <c r="U70" s="123">
        <f>'Water Heater Stock'!U17*'O&amp;M Cost'!$D7/1000000</f>
        <v>1.2726820259450486</v>
      </c>
      <c r="V70" s="123">
        <f>'Water Heater Stock'!V17*'O&amp;M Cost'!$D7/1000000</f>
        <v>1.3021206225591386</v>
      </c>
      <c r="W70" s="123">
        <f>'Water Heater Stock'!W17*'O&amp;M Cost'!$D7/1000000</f>
        <v>1.3294564622722225</v>
      </c>
    </row>
    <row r="71" spans="1:23">
      <c r="A71" s="38" t="str">
        <f>'Water Heater Stock'!A18</f>
        <v>Instant Gas</v>
      </c>
      <c r="B71" s="123">
        <f>'Water Heater Stock'!B18*'O&amp;M Cost'!$D8/1000000</f>
        <v>0</v>
      </c>
      <c r="C71" s="123">
        <f>'Water Heater Stock'!C18*'O&amp;M Cost'!$D8/1000000</f>
        <v>0</v>
      </c>
      <c r="D71" s="123">
        <f>'Water Heater Stock'!D18*'O&amp;M Cost'!$D8/1000000</f>
        <v>0</v>
      </c>
      <c r="E71" s="123">
        <f>'Water Heater Stock'!E18*'O&amp;M Cost'!$D8/1000000</f>
        <v>0</v>
      </c>
      <c r="F71" s="123">
        <f>'Water Heater Stock'!F18*'O&amp;M Cost'!$D8/1000000</f>
        <v>0</v>
      </c>
      <c r="G71" s="123">
        <f>'Water Heater Stock'!G18*'O&amp;M Cost'!$D8/1000000</f>
        <v>0</v>
      </c>
      <c r="H71" s="123">
        <f>'Water Heater Stock'!H18*'O&amp;M Cost'!$D8/1000000</f>
        <v>0</v>
      </c>
      <c r="I71" s="123">
        <f>'Water Heater Stock'!I18*'O&amp;M Cost'!$D8/1000000</f>
        <v>0</v>
      </c>
      <c r="J71" s="123">
        <f>'Water Heater Stock'!J18*'O&amp;M Cost'!$D8/1000000</f>
        <v>0</v>
      </c>
      <c r="K71" s="123">
        <f>'Water Heater Stock'!K18*'O&amp;M Cost'!$D8/1000000</f>
        <v>0</v>
      </c>
      <c r="L71" s="123">
        <f>'Water Heater Stock'!L18*'O&amp;M Cost'!$D8/1000000</f>
        <v>0</v>
      </c>
      <c r="M71" s="123">
        <f>'Water Heater Stock'!M18*'O&amp;M Cost'!$D8/1000000</f>
        <v>0</v>
      </c>
      <c r="N71" s="123">
        <f>'Water Heater Stock'!N18*'O&amp;M Cost'!$D8/1000000</f>
        <v>0</v>
      </c>
      <c r="O71" s="123">
        <f>'Water Heater Stock'!O18*'O&amp;M Cost'!$D8/1000000</f>
        <v>0</v>
      </c>
      <c r="P71" s="123">
        <f>'Water Heater Stock'!P18*'O&amp;M Cost'!$D8/1000000</f>
        <v>0</v>
      </c>
      <c r="Q71" s="123">
        <f>'Water Heater Stock'!Q18*'O&amp;M Cost'!$D8/1000000</f>
        <v>0</v>
      </c>
      <c r="R71" s="123">
        <f>'Water Heater Stock'!R18*'O&amp;M Cost'!$D8/1000000</f>
        <v>0</v>
      </c>
      <c r="S71" s="123">
        <f>'Water Heater Stock'!S18*'O&amp;M Cost'!$D8/1000000</f>
        <v>0</v>
      </c>
      <c r="T71" s="123">
        <f>'Water Heater Stock'!T18*'O&amp;M Cost'!$D8/1000000</f>
        <v>0</v>
      </c>
      <c r="U71" s="123">
        <f>'Water Heater Stock'!U18*'O&amp;M Cost'!$D8/1000000</f>
        <v>0</v>
      </c>
      <c r="V71" s="123">
        <f>'Water Heater Stock'!V18*'O&amp;M Cost'!$D8/1000000</f>
        <v>0</v>
      </c>
      <c r="W71" s="123">
        <f>'Water Heater Stock'!W18*'O&amp;M Cost'!$D8/1000000</f>
        <v>0</v>
      </c>
    </row>
    <row r="72" spans="1:23">
      <c r="A72" s="38" t="str">
        <f>'Water Heater Stock'!A19</f>
        <v>Condensing Gas</v>
      </c>
      <c r="B72" s="123">
        <f>'Water Heater Stock'!B19*'O&amp;M Cost'!$D9/1000000</f>
        <v>0</v>
      </c>
      <c r="C72" s="123">
        <f>'Water Heater Stock'!C19*'O&amp;M Cost'!$D9/1000000</f>
        <v>0</v>
      </c>
      <c r="D72" s="123">
        <f>'Water Heater Stock'!D19*'O&amp;M Cost'!$D9/1000000</f>
        <v>0</v>
      </c>
      <c r="E72" s="123">
        <f>'Water Heater Stock'!E19*'O&amp;M Cost'!$D9/1000000</f>
        <v>0</v>
      </c>
      <c r="F72" s="123">
        <f>'Water Heater Stock'!F19*'O&amp;M Cost'!$D9/1000000</f>
        <v>0</v>
      </c>
      <c r="G72" s="123">
        <f>'Water Heater Stock'!G19*'O&amp;M Cost'!$D9/1000000</f>
        <v>0</v>
      </c>
      <c r="H72" s="123">
        <f>'Water Heater Stock'!H19*'O&amp;M Cost'!$D9/1000000</f>
        <v>0</v>
      </c>
      <c r="I72" s="123">
        <f>'Water Heater Stock'!I19*'O&amp;M Cost'!$D9/1000000</f>
        <v>0</v>
      </c>
      <c r="J72" s="123">
        <f>'Water Heater Stock'!J19*'O&amp;M Cost'!$D9/1000000</f>
        <v>0</v>
      </c>
      <c r="K72" s="123">
        <f>'Water Heater Stock'!K19*'O&amp;M Cost'!$D9/1000000</f>
        <v>0</v>
      </c>
      <c r="L72" s="123">
        <f>'Water Heater Stock'!L19*'O&amp;M Cost'!$D9/1000000</f>
        <v>0</v>
      </c>
      <c r="M72" s="123">
        <f>'Water Heater Stock'!M19*'O&amp;M Cost'!$D9/1000000</f>
        <v>0</v>
      </c>
      <c r="N72" s="123">
        <f>'Water Heater Stock'!N19*'O&amp;M Cost'!$D9/1000000</f>
        <v>0</v>
      </c>
      <c r="O72" s="123">
        <f>'Water Heater Stock'!O19*'O&amp;M Cost'!$D9/1000000</f>
        <v>0</v>
      </c>
      <c r="P72" s="123">
        <f>'Water Heater Stock'!P19*'O&amp;M Cost'!$D9/1000000</f>
        <v>0</v>
      </c>
      <c r="Q72" s="123">
        <f>'Water Heater Stock'!Q19*'O&amp;M Cost'!$D9/1000000</f>
        <v>0</v>
      </c>
      <c r="R72" s="123">
        <f>'Water Heater Stock'!R19*'O&amp;M Cost'!$D9/1000000</f>
        <v>0</v>
      </c>
      <c r="S72" s="123">
        <f>'Water Heater Stock'!S19*'O&amp;M Cost'!$D9/1000000</f>
        <v>0</v>
      </c>
      <c r="T72" s="123">
        <f>'Water Heater Stock'!T19*'O&amp;M Cost'!$D9/1000000</f>
        <v>0</v>
      </c>
      <c r="U72" s="123">
        <f>'Water Heater Stock'!U19*'O&amp;M Cost'!$D9/1000000</f>
        <v>0</v>
      </c>
      <c r="V72" s="123">
        <f>'Water Heater Stock'!V19*'O&amp;M Cost'!$D9/1000000</f>
        <v>0</v>
      </c>
      <c r="W72" s="123">
        <f>'Water Heater Stock'!W19*'O&amp;M Cost'!$D9/1000000</f>
        <v>0</v>
      </c>
    </row>
    <row r="74" spans="1:23">
      <c r="A74" s="12" t="s">
        <v>123</v>
      </c>
    </row>
    <row r="75" spans="1:23">
      <c r="A75" s="14" t="str">
        <f>'Energy Usage'!A25</f>
        <v>Water Heat Ending</v>
      </c>
      <c r="B75" s="56">
        <f>'Energy Usage'!B25</f>
        <v>2014</v>
      </c>
      <c r="C75" s="56">
        <f>'Energy Usage'!C25</f>
        <v>2015</v>
      </c>
      <c r="D75" s="56">
        <f>'Energy Usage'!D25</f>
        <v>2016</v>
      </c>
      <c r="E75" s="56">
        <f>'Energy Usage'!E25</f>
        <v>2017</v>
      </c>
      <c r="F75" s="56">
        <f>'Energy Usage'!F25</f>
        <v>2018</v>
      </c>
      <c r="G75" s="56">
        <f>'Energy Usage'!G25</f>
        <v>2019</v>
      </c>
      <c r="H75" s="56">
        <f>'Energy Usage'!H25</f>
        <v>2020</v>
      </c>
      <c r="I75" s="56">
        <f>'Energy Usage'!I25</f>
        <v>2021</v>
      </c>
      <c r="J75" s="56">
        <f>'Energy Usage'!J25</f>
        <v>2022</v>
      </c>
      <c r="K75" s="56">
        <f>'Energy Usage'!K25</f>
        <v>2023</v>
      </c>
      <c r="L75" s="56">
        <f>'Energy Usage'!L25</f>
        <v>2024</v>
      </c>
      <c r="M75" s="56">
        <f>'Energy Usage'!M25</f>
        <v>2025</v>
      </c>
      <c r="N75" s="56">
        <f>'Energy Usage'!N25</f>
        <v>2026</v>
      </c>
      <c r="O75" s="56">
        <f>'Energy Usage'!O25</f>
        <v>2027</v>
      </c>
      <c r="P75" s="56">
        <f>'Energy Usage'!P25</f>
        <v>2028</v>
      </c>
      <c r="Q75" s="56">
        <f>'Energy Usage'!Q25</f>
        <v>2029</v>
      </c>
      <c r="R75" s="56">
        <f>'Energy Usage'!R25</f>
        <v>2030</v>
      </c>
      <c r="S75" s="56">
        <f>'Energy Usage'!S25</f>
        <v>2031</v>
      </c>
      <c r="T75" s="56">
        <f>'Energy Usage'!T25</f>
        <v>2032</v>
      </c>
      <c r="U75" s="56">
        <f>'Energy Usage'!U25</f>
        <v>2033</v>
      </c>
      <c r="V75" s="56">
        <f>'Energy Usage'!V25</f>
        <v>2034</v>
      </c>
      <c r="W75" s="56">
        <f>'Energy Usage'!W25</f>
        <v>2035</v>
      </c>
    </row>
    <row r="76" spans="1:23" ht="16.5" thickBot="1">
      <c r="A76" s="49" t="s">
        <v>48</v>
      </c>
      <c r="B76" s="129">
        <f t="shared" ref="B76:W76" si="25">SUM(B77:B81)</f>
        <v>41.166465024857828</v>
      </c>
      <c r="C76" s="129">
        <f t="shared" si="25"/>
        <v>40.455830116967746</v>
      </c>
      <c r="D76" s="129">
        <f t="shared" si="25"/>
        <v>39.816588021514093</v>
      </c>
      <c r="E76" s="129">
        <f t="shared" si="25"/>
        <v>39.244754190678151</v>
      </c>
      <c r="F76" s="129">
        <f t="shared" si="25"/>
        <v>38.736595025145434</v>
      </c>
      <c r="G76" s="129">
        <f t="shared" si="25"/>
        <v>38.288612583262235</v>
      </c>
      <c r="H76" s="129">
        <f t="shared" si="25"/>
        <v>37.897530227063342</v>
      </c>
      <c r="I76" s="129">
        <f t="shared" si="25"/>
        <v>37.560279147977099</v>
      </c>
      <c r="J76" s="129">
        <f t="shared" si="25"/>
        <v>37.273985718500825</v>
      </c>
      <c r="K76" s="129">
        <f t="shared" si="25"/>
        <v>37.035959619415458</v>
      </c>
      <c r="L76" s="129">
        <f t="shared" si="25"/>
        <v>36.843682695183347</v>
      </c>
      <c r="M76" s="129">
        <f t="shared" si="25"/>
        <v>36.694798493062081</v>
      </c>
      <c r="N76" s="129">
        <f t="shared" si="25"/>
        <v>36.58710244417945</v>
      </c>
      <c r="O76" s="129">
        <f t="shared" si="25"/>
        <v>36.518532647362264</v>
      </c>
      <c r="P76" s="129">
        <f t="shared" si="25"/>
        <v>36.487161218903793</v>
      </c>
      <c r="Q76" s="129">
        <f t="shared" si="25"/>
        <v>36.491186173701237</v>
      </c>
      <c r="R76" s="129">
        <f t="shared" si="25"/>
        <v>36.528923805304359</v>
      </c>
      <c r="S76" s="129">
        <f t="shared" si="25"/>
        <v>36.598801534397239</v>
      </c>
      <c r="T76" s="129">
        <f t="shared" si="25"/>
        <v>36.699351197096107</v>
      </c>
      <c r="U76" s="129">
        <f t="shared" si="25"/>
        <v>36.829202746192792</v>
      </c>
      <c r="V76" s="129">
        <f t="shared" si="25"/>
        <v>36.987078340114145</v>
      </c>
      <c r="W76" s="129">
        <f t="shared" si="25"/>
        <v>37.171786795908659</v>
      </c>
    </row>
    <row r="77" spans="1:23" ht="16.5" thickTop="1">
      <c r="A77" s="38" t="str">
        <f>'Energy Usage'!A27</f>
        <v>Electric Resistance</v>
      </c>
      <c r="B77" s="123">
        <f>(('Energy Usage'!B27*'Retail Rates'!B$5*'Device Energy Use'!$E5+'Energy Usage'!B27*'Retail Rates'!B$6*(1-'Device Energy Use'!$E5)))/1000000</f>
        <v>41.166465024857828</v>
      </c>
      <c r="C77" s="123">
        <f>(('Energy Usage'!C27*'Retail Rates'!C$5*'Device Energy Use'!$E5+'Energy Usage'!C27*'Retail Rates'!C$6*(1-'Device Energy Use'!$E5)))/1000000</f>
        <v>38.722941279453764</v>
      </c>
      <c r="D77" s="123">
        <f>(('Energy Usage'!D27*'Retail Rates'!D$5*'Device Energy Use'!$E5+'Energy Usage'!D27*'Retail Rates'!D$6*(1-'Device Energy Use'!$E5)))/1000000</f>
        <v>36.424458122080466</v>
      </c>
      <c r="E77" s="123">
        <f>(('Energy Usage'!E27*'Retail Rates'!E$5*'Device Energy Use'!$E5+'Energy Usage'!E27*'Retail Rates'!E$6*(1-'Device Energy Use'!$E5)))/1000000</f>
        <v>34.262406357834116</v>
      </c>
      <c r="F77" s="123">
        <f>(('Energy Usage'!F27*'Retail Rates'!F$5*'Device Energy Use'!$E5+'Energy Usage'!F27*'Retail Rates'!F$6*(1-'Device Energy Use'!$E5)))/1000000</f>
        <v>32.228687809022674</v>
      </c>
      <c r="G77" s="123">
        <f>(('Energy Usage'!G27*'Retail Rates'!G$5*'Device Energy Use'!$E5+'Energy Usage'!G27*'Retail Rates'!G$6*(1-'Device Energy Use'!$E5)))/1000000</f>
        <v>30.31568498264426</v>
      </c>
      <c r="H77" s="123">
        <f>(('Energy Usage'!H27*'Retail Rates'!H$5*'Device Energy Use'!$E5+'Energy Usage'!H27*'Retail Rates'!H$6*(1-'Device Energy Use'!$E5)))/1000000</f>
        <v>28.516232538317301</v>
      </c>
      <c r="I77" s="123">
        <f>(('Energy Usage'!I27*'Retail Rates'!I$5*'Device Energy Use'!$E5+'Energy Usage'!I27*'Retail Rates'!I$6*(1-'Device Energy Use'!$E5)))/1000000</f>
        <v>26.823590449792892</v>
      </c>
      <c r="J77" s="123">
        <f>(('Energy Usage'!J27*'Retail Rates'!J$5*'Device Energy Use'!$E5+'Energy Usage'!J27*'Retail Rates'!J$6*(1-'Device Energy Use'!$E5)))/1000000</f>
        <v>25.231418759523038</v>
      </c>
      <c r="K77" s="123">
        <f>(('Energy Usage'!K27*'Retail Rates'!K$5*'Device Energy Use'!$E5+'Energy Usage'!K27*'Retail Rates'!K$6*(1-'Device Energy Use'!$E5)))/1000000</f>
        <v>23.733753831725632</v>
      </c>
      <c r="L77" s="123">
        <f>(('Energy Usage'!L27*'Retail Rates'!L$5*'Device Energy Use'!$E5+'Energy Usage'!L27*'Retail Rates'!L$6*(1-'Device Energy Use'!$E5)))/1000000</f>
        <v>22.324986014999631</v>
      </c>
      <c r="M77" s="123">
        <f>(('Energy Usage'!M27*'Retail Rates'!M$5*'Device Energy Use'!$E5+'Energy Usage'!M27*'Retail Rates'!M$6*(1-'Device Energy Use'!$E5)))/1000000</f>
        <v>20.999838630823579</v>
      </c>
      <c r="N77" s="123">
        <f>(('Energy Usage'!N27*'Retail Rates'!N$5*'Device Energy Use'!$E5+'Energy Usage'!N27*'Retail Rates'!N$6*(1-'Device Energy Use'!$E5)))/1000000</f>
        <v>19.753348209236833</v>
      </c>
      <c r="O77" s="123">
        <f>(('Energy Usage'!O27*'Retail Rates'!O$5*'Device Energy Use'!$E5+'Energy Usage'!O27*'Retail Rates'!O$6*(1-'Device Energy Use'!$E5)))/1000000</f>
        <v>18.580845897674273</v>
      </c>
      <c r="P77" s="123">
        <f>(('Energy Usage'!P27*'Retail Rates'!P$5*'Device Energy Use'!$E5+'Energy Usage'!P27*'Retail Rates'!P$6*(1-'Device Energy Use'!$E5)))/1000000</f>
        <v>17.477939973319469</v>
      </c>
      <c r="Q77" s="123">
        <f>(('Energy Usage'!Q27*'Retail Rates'!Q$5*'Device Energy Use'!$E5+'Energy Usage'!Q27*'Retail Rates'!Q$6*(1-'Device Energy Use'!$E5)))/1000000</f>
        <v>16.440499393474575</v>
      </c>
      <c r="R77" s="123">
        <f>(('Energy Usage'!R27*'Retail Rates'!R$5*'Device Energy Use'!$E5+'Energy Usage'!R27*'Retail Rates'!R$6*(1-'Device Energy Use'!$E5)))/1000000</f>
        <v>15.464638322333332</v>
      </c>
      <c r="S77" s="123">
        <f>(('Energy Usage'!S27*'Retail Rates'!S$5*'Device Energy Use'!$E5+'Energy Usage'!S27*'Retail Rates'!S$6*(1-'Device Energy Use'!$E5)))/1000000</f>
        <v>14.546701576200547</v>
      </c>
      <c r="T77" s="123">
        <f>(('Energy Usage'!T27*'Retail Rates'!T$5*'Device Energy Use'!$E5+'Energy Usage'!T27*'Retail Rates'!T$6*(1-'Device Energy Use'!$E5)))/1000000</f>
        <v>13.683250932641783</v>
      </c>
      <c r="U77" s="123">
        <f>(('Energy Usage'!U27*'Retail Rates'!U$5*'Device Energy Use'!$E5+'Energy Usage'!U27*'Retail Rates'!U$6*(1-'Device Energy Use'!$E5)))/1000000</f>
        <v>12.87105225228283</v>
      </c>
      <c r="V77" s="123">
        <f>(('Energy Usage'!V27*'Retail Rates'!V$5*'Device Energy Use'!$E5+'Energy Usage'!V27*'Retail Rates'!V$6*(1-'Device Energy Use'!$E5)))/1000000</f>
        <v>12.107063365022329</v>
      </c>
      <c r="W77" s="123">
        <f>(('Energy Usage'!W27*'Retail Rates'!W$5*'Device Energy Use'!$E5+'Energy Usage'!W27*'Retail Rates'!W$6*(1-'Device Energy Use'!$E5)))/1000000</f>
        <v>11.388422675284215</v>
      </c>
    </row>
    <row r="78" spans="1:23">
      <c r="A78" s="38" t="str">
        <f>'Energy Usage'!A28</f>
        <v>HPWH</v>
      </c>
      <c r="B78" s="123">
        <f>(('Energy Usage'!B28*'Retail Rates'!B$5*'Device Energy Use'!$E6+'Energy Usage'!B28*'Retail Rates'!B$6*(1-'Device Energy Use'!$E6)))/1000000</f>
        <v>0</v>
      </c>
      <c r="C78" s="123">
        <f>(('Energy Usage'!C28*'Retail Rates'!C$5*'Device Energy Use'!$E6+'Energy Usage'!C28*'Retail Rates'!C$6*(1-'Device Energy Use'!$E6)))/1000000</f>
        <v>0</v>
      </c>
      <c r="D78" s="123">
        <f>(('Energy Usage'!D28*'Retail Rates'!D$5*'Device Energy Use'!$E6+'Energy Usage'!D28*'Retail Rates'!D$6*(1-'Device Energy Use'!$E6)))/1000000</f>
        <v>0</v>
      </c>
      <c r="E78" s="123">
        <f>(('Energy Usage'!E28*'Retail Rates'!E$5*'Device Energy Use'!$E6+'Energy Usage'!E28*'Retail Rates'!E$6*(1-'Device Energy Use'!$E6)))/1000000</f>
        <v>0</v>
      </c>
      <c r="F78" s="123">
        <f>(('Energy Usage'!F28*'Retail Rates'!F$5*'Device Energy Use'!$E6+'Energy Usage'!F28*'Retail Rates'!F$6*(1-'Device Energy Use'!$E6)))/1000000</f>
        <v>0</v>
      </c>
      <c r="G78" s="123">
        <f>(('Energy Usage'!G28*'Retail Rates'!G$5*'Device Energy Use'!$E6+'Energy Usage'!G28*'Retail Rates'!G$6*(1-'Device Energy Use'!$E6)))/1000000</f>
        <v>0</v>
      </c>
      <c r="H78" s="123">
        <f>(('Energy Usage'!H28*'Retail Rates'!H$5*'Device Energy Use'!$E6+'Energy Usage'!H28*'Retail Rates'!H$6*(1-'Device Energy Use'!$E6)))/1000000</f>
        <v>0</v>
      </c>
      <c r="I78" s="123">
        <f>(('Energy Usage'!I28*'Retail Rates'!I$5*'Device Energy Use'!$E6+'Energy Usage'!I28*'Retail Rates'!I$6*(1-'Device Energy Use'!$E6)))/1000000</f>
        <v>0</v>
      </c>
      <c r="J78" s="123">
        <f>(('Energy Usage'!J28*'Retail Rates'!J$5*'Device Energy Use'!$E6+'Energy Usage'!J28*'Retail Rates'!J$6*(1-'Device Energy Use'!$E6)))/1000000</f>
        <v>0</v>
      </c>
      <c r="K78" s="123">
        <f>(('Energy Usage'!K28*'Retail Rates'!K$5*'Device Energy Use'!$E6+'Energy Usage'!K28*'Retail Rates'!K$6*(1-'Device Energy Use'!$E6)))/1000000</f>
        <v>0</v>
      </c>
      <c r="L78" s="123">
        <f>(('Energy Usage'!L28*'Retail Rates'!L$5*'Device Energy Use'!$E6+'Energy Usage'!L28*'Retail Rates'!L$6*(1-'Device Energy Use'!$E6)))/1000000</f>
        <v>0</v>
      </c>
      <c r="M78" s="123">
        <f>(('Energy Usage'!M28*'Retail Rates'!M$5*'Device Energy Use'!$E6+'Energy Usage'!M28*'Retail Rates'!M$6*(1-'Device Energy Use'!$E6)))/1000000</f>
        <v>0</v>
      </c>
      <c r="N78" s="123">
        <f>(('Energy Usage'!N28*'Retail Rates'!N$5*'Device Energy Use'!$E6+'Energy Usage'!N28*'Retail Rates'!N$6*(1-'Device Energy Use'!$E6)))/1000000</f>
        <v>0</v>
      </c>
      <c r="O78" s="123">
        <f>(('Energy Usage'!O28*'Retail Rates'!O$5*'Device Energy Use'!$E6+'Energy Usage'!O28*'Retail Rates'!O$6*(1-'Device Energy Use'!$E6)))/1000000</f>
        <v>0</v>
      </c>
      <c r="P78" s="123">
        <f>(('Energy Usage'!P28*'Retail Rates'!P$5*'Device Energy Use'!$E6+'Energy Usage'!P28*'Retail Rates'!P$6*(1-'Device Energy Use'!$E6)))/1000000</f>
        <v>0</v>
      </c>
      <c r="Q78" s="123">
        <f>(('Energy Usage'!Q28*'Retail Rates'!Q$5*'Device Energy Use'!$E6+'Energy Usage'!Q28*'Retail Rates'!Q$6*(1-'Device Energy Use'!$E6)))/1000000</f>
        <v>0</v>
      </c>
      <c r="R78" s="123">
        <f>(('Energy Usage'!R28*'Retail Rates'!R$5*'Device Energy Use'!$E6+'Energy Usage'!R28*'Retail Rates'!R$6*(1-'Device Energy Use'!$E6)))/1000000</f>
        <v>0</v>
      </c>
      <c r="S78" s="123">
        <f>(('Energy Usage'!S28*'Retail Rates'!S$5*'Device Energy Use'!$E6+'Energy Usage'!S28*'Retail Rates'!S$6*(1-'Device Energy Use'!$E6)))/1000000</f>
        <v>0</v>
      </c>
      <c r="T78" s="123">
        <f>(('Energy Usage'!T28*'Retail Rates'!T$5*'Device Energy Use'!$E6+'Energy Usage'!T28*'Retail Rates'!T$6*(1-'Device Energy Use'!$E6)))/1000000</f>
        <v>0</v>
      </c>
      <c r="U78" s="123">
        <f>(('Energy Usage'!U28*'Retail Rates'!U$5*'Device Energy Use'!$E6+'Energy Usage'!U28*'Retail Rates'!U$6*(1-'Device Energy Use'!$E6)))/1000000</f>
        <v>0</v>
      </c>
      <c r="V78" s="123">
        <f>(('Energy Usage'!V28*'Retail Rates'!V$5*'Device Energy Use'!$E6+'Energy Usage'!V28*'Retail Rates'!V$6*(1-'Device Energy Use'!$E6)))/1000000</f>
        <v>0</v>
      </c>
      <c r="W78" s="123">
        <f>(('Energy Usage'!W28*'Retail Rates'!W$5*'Device Energy Use'!$E6+'Energy Usage'!W28*'Retail Rates'!W$6*(1-'Device Energy Use'!$E6)))/1000000</f>
        <v>0</v>
      </c>
    </row>
    <row r="79" spans="1:23">
      <c r="A79" s="38" t="str">
        <f>'Energy Usage'!A29</f>
        <v>Gas Tank</v>
      </c>
      <c r="B79" s="123">
        <f>(('Energy Usage'!B29*'Retail Rates'!B$5*'Device Energy Use'!$E7+'Energy Usage'!B29*'Retail Rates'!B$6*(1-'Device Energy Use'!$E7)))/1000000</f>
        <v>0</v>
      </c>
      <c r="C79" s="123">
        <f>(('Energy Usage'!C29*'Retail Rates'!C$5*'Device Energy Use'!$E7+'Energy Usage'!C29*'Retail Rates'!C$6*(1-'Device Energy Use'!$E7)))/1000000</f>
        <v>1.7328888375139839</v>
      </c>
      <c r="D79" s="123">
        <f>(('Energy Usage'!D29*'Retail Rates'!D$5*'Device Energy Use'!$E7+'Energy Usage'!D29*'Retail Rates'!D$6*(1-'Device Energy Use'!$E7)))/1000000</f>
        <v>3.3921298994336242</v>
      </c>
      <c r="E79" s="123">
        <f>(('Energy Usage'!E29*'Retail Rates'!E$5*'Device Energy Use'!$E7+'Energy Usage'!E29*'Retail Rates'!E$6*(1-'Device Energy Use'!$E7)))/1000000</f>
        <v>4.9823478328440345</v>
      </c>
      <c r="F79" s="123">
        <f>(('Energy Usage'!F29*'Retail Rates'!F$5*'Device Energy Use'!$E7+'Energy Usage'!F29*'Retail Rates'!F$6*(1-'Device Energy Use'!$E7)))/1000000</f>
        <v>6.5079072161227627</v>
      </c>
      <c r="G79" s="123">
        <f>(('Energy Usage'!G29*'Retail Rates'!G$5*'Device Energy Use'!$E7+'Energy Usage'!G29*'Retail Rates'!G$6*(1-'Device Energy Use'!$E7)))/1000000</f>
        <v>7.9729276006179743</v>
      </c>
      <c r="H79" s="123">
        <f>(('Energy Usage'!H29*'Retail Rates'!H$5*'Device Energy Use'!$E7+'Energy Usage'!H29*'Retail Rates'!H$6*(1-'Device Energy Use'!$E7)))/1000000</f>
        <v>9.3812976887460433</v>
      </c>
      <c r="I79" s="123">
        <f>(('Energy Usage'!I29*'Retail Rates'!I$5*'Device Energy Use'!$E7+'Energy Usage'!I29*'Retail Rates'!I$6*(1-'Device Energy Use'!$E7)))/1000000</f>
        <v>10.736688698184205</v>
      </c>
      <c r="J79" s="123">
        <f>(('Energy Usage'!J29*'Retail Rates'!J$5*'Device Energy Use'!$E7+'Energy Usage'!J29*'Retail Rates'!J$6*(1-'Device Energy Use'!$E7)))/1000000</f>
        <v>12.042566958977787</v>
      </c>
      <c r="K79" s="123">
        <f>(('Energy Usage'!K29*'Retail Rates'!K$5*'Device Energy Use'!$E7+'Energy Usage'!K29*'Retail Rates'!K$6*(1-'Device Energy Use'!$E7)))/1000000</f>
        <v>13.302205787689825</v>
      </c>
      <c r="L79" s="123">
        <f>(('Energy Usage'!L29*'Retail Rates'!L$5*'Device Energy Use'!$E7+'Energy Usage'!L29*'Retail Rates'!L$6*(1-'Device Energy Use'!$E7)))/1000000</f>
        <v>14.518696680183718</v>
      </c>
      <c r="M79" s="123">
        <f>(('Energy Usage'!M29*'Retail Rates'!M$5*'Device Energy Use'!$E7+'Energy Usage'!M29*'Retail Rates'!M$6*(1-'Device Energy Use'!$E7)))/1000000</f>
        <v>15.694959862238504</v>
      </c>
      <c r="N79" s="123">
        <f>(('Energy Usage'!N29*'Retail Rates'!N$5*'Device Energy Use'!$E7+'Energy Usage'!N29*'Retail Rates'!N$6*(1-'Device Energy Use'!$E7)))/1000000</f>
        <v>16.833754234942617</v>
      </c>
      <c r="O79" s="123">
        <f>(('Energy Usage'!O29*'Retail Rates'!O$5*'Device Energy Use'!$E7+'Energy Usage'!O29*'Retail Rates'!O$6*(1-'Device Energy Use'!$E7)))/1000000</f>
        <v>17.937686749687991</v>
      </c>
      <c r="P79" s="123">
        <f>(('Energy Usage'!P29*'Retail Rates'!P$5*'Device Energy Use'!$E7+'Energy Usage'!P29*'Retail Rates'!P$6*(1-'Device Energy Use'!$E7)))/1000000</f>
        <v>19.009221245584321</v>
      </c>
      <c r="Q79" s="123">
        <f>(('Energy Usage'!Q29*'Retail Rates'!Q$5*'Device Energy Use'!$E7+'Energy Usage'!Q29*'Retail Rates'!Q$6*(1-'Device Energy Use'!$E7)))/1000000</f>
        <v>20.050686780226663</v>
      </c>
      <c r="R79" s="123">
        <f>(('Energy Usage'!R29*'Retail Rates'!R$5*'Device Energy Use'!$E7+'Energy Usage'!R29*'Retail Rates'!R$6*(1-'Device Energy Use'!$E7)))/1000000</f>
        <v>21.064285482971023</v>
      </c>
      <c r="S79" s="123">
        <f>(('Energy Usage'!S29*'Retail Rates'!S$5*'Device Energy Use'!$E7+'Energy Usage'!S29*'Retail Rates'!S$6*(1-'Device Energy Use'!$E7)))/1000000</f>
        <v>22.052099958196688</v>
      </c>
      <c r="T79" s="123">
        <f>(('Energy Usage'!T29*'Retail Rates'!T$5*'Device Energy Use'!$E7+'Energy Usage'!T29*'Retail Rates'!T$6*(1-'Device Energy Use'!$E7)))/1000000</f>
        <v>23.016100264454323</v>
      </c>
      <c r="U79" s="123">
        <f>(('Energy Usage'!U29*'Retail Rates'!U$5*'Device Energy Use'!$E7+'Energy Usage'!U29*'Retail Rates'!U$6*(1-'Device Energy Use'!$E7)))/1000000</f>
        <v>23.958150493909958</v>
      </c>
      <c r="V79" s="123">
        <f>(('Energy Usage'!V29*'Retail Rates'!V$5*'Device Energy Use'!$E7+'Energy Usage'!V29*'Retail Rates'!V$6*(1-'Device Energy Use'!$E7)))/1000000</f>
        <v>24.880014975091818</v>
      </c>
      <c r="W79" s="123">
        <f>(('Energy Usage'!W29*'Retail Rates'!W$5*'Device Energy Use'!$E7+'Energy Usage'!W29*'Retail Rates'!W$6*(1-'Device Energy Use'!$E7)))/1000000</f>
        <v>25.783364120624448</v>
      </c>
    </row>
    <row r="80" spans="1:23">
      <c r="A80" s="38" t="str">
        <f>'Energy Usage'!A30</f>
        <v>Instant Gas</v>
      </c>
      <c r="B80" s="123">
        <f>(('Energy Usage'!B30*'Retail Rates'!B$5*'Device Energy Use'!$E8+'Energy Usage'!B30*'Retail Rates'!B$6*(1-'Device Energy Use'!$E8)))/1000000</f>
        <v>0</v>
      </c>
      <c r="C80" s="123">
        <f>(('Energy Usage'!C30*'Retail Rates'!C$5*'Device Energy Use'!$E8+'Energy Usage'!C30*'Retail Rates'!C$6*(1-'Device Energy Use'!$E8)))/1000000</f>
        <v>0</v>
      </c>
      <c r="D80" s="123">
        <f>(('Energy Usage'!D30*'Retail Rates'!D$5*'Device Energy Use'!$E8+'Energy Usage'!D30*'Retail Rates'!D$6*(1-'Device Energy Use'!$E8)))/1000000</f>
        <v>0</v>
      </c>
      <c r="E80" s="123">
        <f>(('Energy Usage'!E30*'Retail Rates'!E$5*'Device Energy Use'!$E8+'Energy Usage'!E30*'Retail Rates'!E$6*(1-'Device Energy Use'!$E8)))/1000000</f>
        <v>0</v>
      </c>
      <c r="F80" s="123">
        <f>(('Energy Usage'!F30*'Retail Rates'!F$5*'Device Energy Use'!$E8+'Energy Usage'!F30*'Retail Rates'!F$6*(1-'Device Energy Use'!$E8)))/1000000</f>
        <v>0</v>
      </c>
      <c r="G80" s="123">
        <f>(('Energy Usage'!G30*'Retail Rates'!G$5*'Device Energy Use'!$E8+'Energy Usage'!G30*'Retail Rates'!G$6*(1-'Device Energy Use'!$E8)))/1000000</f>
        <v>0</v>
      </c>
      <c r="H80" s="123">
        <f>(('Energy Usage'!H30*'Retail Rates'!H$5*'Device Energy Use'!$E8+'Energy Usage'!H30*'Retail Rates'!H$6*(1-'Device Energy Use'!$E8)))/1000000</f>
        <v>0</v>
      </c>
      <c r="I80" s="123">
        <f>(('Energy Usage'!I30*'Retail Rates'!I$5*'Device Energy Use'!$E8+'Energy Usage'!I30*'Retail Rates'!I$6*(1-'Device Energy Use'!$E8)))/1000000</f>
        <v>0</v>
      </c>
      <c r="J80" s="123">
        <f>(('Energy Usage'!J30*'Retail Rates'!J$5*'Device Energy Use'!$E8+'Energy Usage'!J30*'Retail Rates'!J$6*(1-'Device Energy Use'!$E8)))/1000000</f>
        <v>0</v>
      </c>
      <c r="K80" s="123">
        <f>(('Energy Usage'!K30*'Retail Rates'!K$5*'Device Energy Use'!$E8+'Energy Usage'!K30*'Retail Rates'!K$6*(1-'Device Energy Use'!$E8)))/1000000</f>
        <v>0</v>
      </c>
      <c r="L80" s="123">
        <f>(('Energy Usage'!L30*'Retail Rates'!L$5*'Device Energy Use'!$E8+'Energy Usage'!L30*'Retail Rates'!L$6*(1-'Device Energy Use'!$E8)))/1000000</f>
        <v>0</v>
      </c>
      <c r="M80" s="123">
        <f>(('Energy Usage'!M30*'Retail Rates'!M$5*'Device Energy Use'!$E8+'Energy Usage'!M30*'Retail Rates'!M$6*(1-'Device Energy Use'!$E8)))/1000000</f>
        <v>0</v>
      </c>
      <c r="N80" s="123">
        <f>(('Energy Usage'!N30*'Retail Rates'!N$5*'Device Energy Use'!$E8+'Energy Usage'!N30*'Retail Rates'!N$6*(1-'Device Energy Use'!$E8)))/1000000</f>
        <v>0</v>
      </c>
      <c r="O80" s="123">
        <f>(('Energy Usage'!O30*'Retail Rates'!O$5*'Device Energy Use'!$E8+'Energy Usage'!O30*'Retail Rates'!O$6*(1-'Device Energy Use'!$E8)))/1000000</f>
        <v>0</v>
      </c>
      <c r="P80" s="123">
        <f>(('Energy Usage'!P30*'Retail Rates'!P$5*'Device Energy Use'!$E8+'Energy Usage'!P30*'Retail Rates'!P$6*(1-'Device Energy Use'!$E8)))/1000000</f>
        <v>0</v>
      </c>
      <c r="Q80" s="123">
        <f>(('Energy Usage'!Q30*'Retail Rates'!Q$5*'Device Energy Use'!$E8+'Energy Usage'!Q30*'Retail Rates'!Q$6*(1-'Device Energy Use'!$E8)))/1000000</f>
        <v>0</v>
      </c>
      <c r="R80" s="123">
        <f>(('Energy Usage'!R30*'Retail Rates'!R$5*'Device Energy Use'!$E8+'Energy Usage'!R30*'Retail Rates'!R$6*(1-'Device Energy Use'!$E8)))/1000000</f>
        <v>0</v>
      </c>
      <c r="S80" s="123">
        <f>(('Energy Usage'!S30*'Retail Rates'!S$5*'Device Energy Use'!$E8+'Energy Usage'!S30*'Retail Rates'!S$6*(1-'Device Energy Use'!$E8)))/1000000</f>
        <v>0</v>
      </c>
      <c r="T80" s="123">
        <f>(('Energy Usage'!T30*'Retail Rates'!T$5*'Device Energy Use'!$E8+'Energy Usage'!T30*'Retail Rates'!T$6*(1-'Device Energy Use'!$E8)))/1000000</f>
        <v>0</v>
      </c>
      <c r="U80" s="123">
        <f>(('Energy Usage'!U30*'Retail Rates'!U$5*'Device Energy Use'!$E8+'Energy Usage'!U30*'Retail Rates'!U$6*(1-'Device Energy Use'!$E8)))/1000000</f>
        <v>0</v>
      </c>
      <c r="V80" s="123">
        <f>(('Energy Usage'!V30*'Retail Rates'!V$5*'Device Energy Use'!$E8+'Energy Usage'!V30*'Retail Rates'!V$6*(1-'Device Energy Use'!$E8)))/1000000</f>
        <v>0</v>
      </c>
      <c r="W80" s="123">
        <f>(('Energy Usage'!W30*'Retail Rates'!W$5*'Device Energy Use'!$E8+'Energy Usage'!W30*'Retail Rates'!W$6*(1-'Device Energy Use'!$E8)))/1000000</f>
        <v>0</v>
      </c>
    </row>
    <row r="81" spans="1:23">
      <c r="A81" s="38" t="str">
        <f>'Energy Usage'!A31</f>
        <v>Condensing Gas</v>
      </c>
      <c r="B81" s="123">
        <f>(('Energy Usage'!B31*'Retail Rates'!B$5*'Device Energy Use'!$E9+'Energy Usage'!B31*'Retail Rates'!B$6*(1-'Device Energy Use'!$E9)))/1000000</f>
        <v>0</v>
      </c>
      <c r="C81" s="123">
        <f>(('Energy Usage'!C31*'Retail Rates'!C$5*'Device Energy Use'!$E9+'Energy Usage'!C31*'Retail Rates'!C$6*(1-'Device Energy Use'!$E9)))/1000000</f>
        <v>0</v>
      </c>
      <c r="D81" s="123">
        <f>(('Energy Usage'!D31*'Retail Rates'!D$5*'Device Energy Use'!$E9+'Energy Usage'!D31*'Retail Rates'!D$6*(1-'Device Energy Use'!$E9)))/1000000</f>
        <v>0</v>
      </c>
      <c r="E81" s="123">
        <f>(('Energy Usage'!E31*'Retail Rates'!E$5*'Device Energy Use'!$E9+'Energy Usage'!E31*'Retail Rates'!E$6*(1-'Device Energy Use'!$E9)))/1000000</f>
        <v>0</v>
      </c>
      <c r="F81" s="123">
        <f>(('Energy Usage'!F31*'Retail Rates'!F$5*'Device Energy Use'!$E9+'Energy Usage'!F31*'Retail Rates'!F$6*(1-'Device Energy Use'!$E9)))/1000000</f>
        <v>0</v>
      </c>
      <c r="G81" s="123">
        <f>(('Energy Usage'!G31*'Retail Rates'!G$5*'Device Energy Use'!$E9+'Energy Usage'!G31*'Retail Rates'!G$6*(1-'Device Energy Use'!$E9)))/1000000</f>
        <v>0</v>
      </c>
      <c r="H81" s="123">
        <f>(('Energy Usage'!H31*'Retail Rates'!H$5*'Device Energy Use'!$E9+'Energy Usage'!H31*'Retail Rates'!H$6*(1-'Device Energy Use'!$E9)))/1000000</f>
        <v>0</v>
      </c>
      <c r="I81" s="123">
        <f>(('Energy Usage'!I31*'Retail Rates'!I$5*'Device Energy Use'!$E9+'Energy Usage'!I31*'Retail Rates'!I$6*(1-'Device Energy Use'!$E9)))/1000000</f>
        <v>0</v>
      </c>
      <c r="J81" s="123">
        <f>(('Energy Usage'!J31*'Retail Rates'!J$5*'Device Energy Use'!$E9+'Energy Usage'!J31*'Retail Rates'!J$6*(1-'Device Energy Use'!$E9)))/1000000</f>
        <v>0</v>
      </c>
      <c r="K81" s="123">
        <f>(('Energy Usage'!K31*'Retail Rates'!K$5*'Device Energy Use'!$E9+'Energy Usage'!K31*'Retail Rates'!K$6*(1-'Device Energy Use'!$E9)))/1000000</f>
        <v>0</v>
      </c>
      <c r="L81" s="123">
        <f>(('Energy Usage'!L31*'Retail Rates'!L$5*'Device Energy Use'!$E9+'Energy Usage'!L31*'Retail Rates'!L$6*(1-'Device Energy Use'!$E9)))/1000000</f>
        <v>0</v>
      </c>
      <c r="M81" s="123">
        <f>(('Energy Usage'!M31*'Retail Rates'!M$5*'Device Energy Use'!$E9+'Energy Usage'!M31*'Retail Rates'!M$6*(1-'Device Energy Use'!$E9)))/1000000</f>
        <v>0</v>
      </c>
      <c r="N81" s="123">
        <f>(('Energy Usage'!N31*'Retail Rates'!N$5*'Device Energy Use'!$E9+'Energy Usage'!N31*'Retail Rates'!N$6*(1-'Device Energy Use'!$E9)))/1000000</f>
        <v>0</v>
      </c>
      <c r="O81" s="123">
        <f>(('Energy Usage'!O31*'Retail Rates'!O$5*'Device Energy Use'!$E9+'Energy Usage'!O31*'Retail Rates'!O$6*(1-'Device Energy Use'!$E9)))/1000000</f>
        <v>0</v>
      </c>
      <c r="P81" s="123">
        <f>(('Energy Usage'!P31*'Retail Rates'!P$5*'Device Energy Use'!$E9+'Energy Usage'!P31*'Retail Rates'!P$6*(1-'Device Energy Use'!$E9)))/1000000</f>
        <v>0</v>
      </c>
      <c r="Q81" s="123">
        <f>(('Energy Usage'!Q31*'Retail Rates'!Q$5*'Device Energy Use'!$E9+'Energy Usage'!Q31*'Retail Rates'!Q$6*(1-'Device Energy Use'!$E9)))/1000000</f>
        <v>0</v>
      </c>
      <c r="R81" s="123">
        <f>(('Energy Usage'!R31*'Retail Rates'!R$5*'Device Energy Use'!$E9+'Energy Usage'!R31*'Retail Rates'!R$6*(1-'Device Energy Use'!$E9)))/1000000</f>
        <v>0</v>
      </c>
      <c r="S81" s="123">
        <f>(('Energy Usage'!S31*'Retail Rates'!S$5*'Device Energy Use'!$E9+'Energy Usage'!S31*'Retail Rates'!S$6*(1-'Device Energy Use'!$E9)))/1000000</f>
        <v>0</v>
      </c>
      <c r="T81" s="123">
        <f>(('Energy Usage'!T31*'Retail Rates'!T$5*'Device Energy Use'!$E9+'Energy Usage'!T31*'Retail Rates'!T$6*(1-'Device Energy Use'!$E9)))/1000000</f>
        <v>0</v>
      </c>
      <c r="U81" s="123">
        <f>(('Energy Usage'!U31*'Retail Rates'!U$5*'Device Energy Use'!$E9+'Energy Usage'!U31*'Retail Rates'!U$6*(1-'Device Energy Use'!$E9)))/1000000</f>
        <v>0</v>
      </c>
      <c r="V81" s="123">
        <f>(('Energy Usage'!V31*'Retail Rates'!V$5*'Device Energy Use'!$E9+'Energy Usage'!V31*'Retail Rates'!V$6*(1-'Device Energy Use'!$E9)))/1000000</f>
        <v>0</v>
      </c>
      <c r="W81" s="123">
        <f>(('Energy Usage'!W31*'Retail Rates'!W$5*'Device Energy Use'!$E9+'Energy Usage'!W31*'Retail Rates'!W$6*(1-'Device Energy Use'!$E9)))/1000000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Y16"/>
  <sheetViews>
    <sheetView workbookViewId="0">
      <selection activeCell="C2" sqref="C2"/>
    </sheetView>
  </sheetViews>
  <sheetFormatPr defaultRowHeight="15.75"/>
  <cols>
    <col min="1" max="1" width="54.5703125" style="9" customWidth="1"/>
    <col min="2" max="2" width="9.42578125" style="9" bestFit="1" customWidth="1"/>
    <col min="3" max="3" width="13.42578125" style="9" customWidth="1"/>
    <col min="4" max="13" width="11" style="9" bestFit="1" customWidth="1"/>
    <col min="14" max="23" width="12.7109375" style="9" bestFit="1" customWidth="1"/>
    <col min="24" max="25" width="9.140625" style="45"/>
    <col min="26" max="16384" width="9.140625" style="9"/>
  </cols>
  <sheetData>
    <row r="1" spans="1:25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2" spans="1:25" s="149" customFormat="1">
      <c r="X2" s="150"/>
      <c r="Y2" s="150"/>
    </row>
    <row r="3" spans="1:25">
      <c r="A3" s="12" t="s">
        <v>155</v>
      </c>
      <c r="X3" s="9"/>
      <c r="Y3" s="9"/>
    </row>
    <row r="4" spans="1:25">
      <c r="B4" s="9">
        <f>'Energy Usage'!B10</f>
        <v>2014</v>
      </c>
      <c r="C4" s="9">
        <f>'Energy Usage'!C10</f>
        <v>2015</v>
      </c>
      <c r="D4" s="9">
        <f>'Energy Usage'!D10</f>
        <v>2016</v>
      </c>
      <c r="E4" s="9">
        <f>'Energy Usage'!E10</f>
        <v>2017</v>
      </c>
      <c r="F4" s="9">
        <f>'Energy Usage'!F10</f>
        <v>2018</v>
      </c>
      <c r="G4" s="9">
        <f>'Energy Usage'!G10</f>
        <v>2019</v>
      </c>
      <c r="H4" s="9">
        <f>'Energy Usage'!H10</f>
        <v>2020</v>
      </c>
      <c r="I4" s="9">
        <f>'Energy Usage'!I10</f>
        <v>2021</v>
      </c>
      <c r="J4" s="9">
        <f>'Energy Usage'!J10</f>
        <v>2022</v>
      </c>
      <c r="K4" s="9">
        <f>'Energy Usage'!K10</f>
        <v>2023</v>
      </c>
      <c r="L4" s="9">
        <f>'Energy Usage'!L10</f>
        <v>2024</v>
      </c>
      <c r="M4" s="9">
        <f>'Energy Usage'!M10</f>
        <v>2025</v>
      </c>
      <c r="N4" s="9">
        <f>'Energy Usage'!N10</f>
        <v>2026</v>
      </c>
      <c r="O4" s="9">
        <f>'Energy Usage'!O10</f>
        <v>2027</v>
      </c>
      <c r="P4" s="9">
        <f>'Energy Usage'!P10</f>
        <v>2028</v>
      </c>
      <c r="Q4" s="9">
        <f>'Energy Usage'!Q10</f>
        <v>2029</v>
      </c>
      <c r="R4" s="9">
        <f>'Energy Usage'!R10</f>
        <v>2030</v>
      </c>
      <c r="S4" s="9">
        <f>'Energy Usage'!S10</f>
        <v>2031</v>
      </c>
      <c r="T4" s="9">
        <f>'Energy Usage'!T10</f>
        <v>2032</v>
      </c>
      <c r="U4" s="9">
        <f>'Energy Usage'!U10</f>
        <v>2033</v>
      </c>
      <c r="V4" s="9">
        <f>'Energy Usage'!V10</f>
        <v>2034</v>
      </c>
      <c r="W4" s="9">
        <f>'Energy Usage'!W10</f>
        <v>2035</v>
      </c>
      <c r="X4" s="9"/>
      <c r="Y4" s="9"/>
    </row>
    <row r="5" spans="1:25">
      <c r="A5" s="9" t="s">
        <v>148</v>
      </c>
      <c r="B5" s="131">
        <f>'Energy Usage'!B13</f>
        <v>0</v>
      </c>
      <c r="C5" s="131">
        <f>'Energy Usage'!C13</f>
        <v>0.11629096586315203</v>
      </c>
      <c r="D5" s="131">
        <f>'Energy Usage'!D13</f>
        <v>0.22423668089356605</v>
      </c>
      <c r="E5" s="131">
        <f>'Energy Usage'!E13</f>
        <v>0.32443150778820484</v>
      </c>
      <c r="F5" s="131">
        <f>'Energy Usage'!F13</f>
        <v>0.41742534355713862</v>
      </c>
      <c r="G5" s="131">
        <f>'Energy Usage'!G13</f>
        <v>0.50372594232650514</v>
      </c>
      <c r="H5" s="131">
        <f>'Energy Usage'!H13</f>
        <v>0.58380091825348168</v>
      </c>
      <c r="I5" s="131">
        <f>'Energy Usage'!I13</f>
        <v>0.65807951888165239</v>
      </c>
      <c r="J5" s="131">
        <f>'Energy Usage'!J13</f>
        <v>0.72695429971846071</v>
      </c>
      <c r="K5" s="131">
        <f>'Energy Usage'!K13</f>
        <v>0.79078286678371812</v>
      </c>
      <c r="L5" s="131">
        <f>'Energy Usage'!L13</f>
        <v>0.84988987389985682</v>
      </c>
      <c r="M5" s="131">
        <f>'Energy Usage'!M13</f>
        <v>0.90456945201360417</v>
      </c>
      <c r="N5" s="131">
        <f>'Energy Usage'!N13</f>
        <v>0.95508819697947267</v>
      </c>
      <c r="O5" s="131">
        <f>'Energy Usage'!O13</f>
        <v>1.0016887459751687</v>
      </c>
      <c r="P5" s="131">
        <f>'Energy Usage'!P13</f>
        <v>1.0445938414267069</v>
      </c>
      <c r="Q5" s="131">
        <f>'Energy Usage'!Q13</f>
        <v>1.0840106425360729</v>
      </c>
      <c r="R5" s="131">
        <f>'Energy Usage'!R13</f>
        <v>1.1201349377181544</v>
      </c>
      <c r="S5" s="131">
        <f>'Energy Usage'!S13</f>
        <v>1.1531548740358211</v>
      </c>
      <c r="T5" s="131">
        <f>'Energy Usage'!T13</f>
        <v>1.1832538706628608</v>
      </c>
      <c r="U5" s="131">
        <f>'Energy Usage'!U13</f>
        <v>1.210612511512339</v>
      </c>
      <c r="V5" s="131">
        <f>'Energy Usage'!V13</f>
        <v>1.2354093800100145</v>
      </c>
      <c r="W5" s="131">
        <f>'Energy Usage'!W13</f>
        <v>1.2578209585443432</v>
      </c>
      <c r="X5" s="9"/>
      <c r="Y5" s="9"/>
    </row>
    <row r="6" spans="1:25">
      <c r="A6" s="42" t="s">
        <v>149</v>
      </c>
      <c r="B6" s="132">
        <f t="shared" ref="B6" si="0">B13*ConvertMMBTU/1000</f>
        <v>0</v>
      </c>
      <c r="C6" s="132">
        <f>C13</f>
        <v>0.14551758050348951</v>
      </c>
      <c r="D6" s="132">
        <f t="shared" ref="D6:W6" si="1">D13</f>
        <v>0.28056912646200571</v>
      </c>
      <c r="E6" s="132">
        <f t="shared" si="1"/>
        <v>0.40588118586512517</v>
      </c>
      <c r="F6" s="132">
        <f t="shared" si="1"/>
        <v>0.52211431743483661</v>
      </c>
      <c r="G6" s="132">
        <f t="shared" si="1"/>
        <v>0.6298619456077591</v>
      </c>
      <c r="H6" s="132">
        <f t="shared" si="1"/>
        <v>0.72964831780555239</v>
      </c>
      <c r="I6" s="132">
        <f t="shared" si="1"/>
        <v>0.82192613019337146</v>
      </c>
      <c r="J6" s="132">
        <f t="shared" si="1"/>
        <v>0.90707466590947139</v>
      </c>
      <c r="K6" s="132">
        <f t="shared" si="1"/>
        <v>0.98539952635870887</v>
      </c>
      <c r="L6" s="132">
        <f t="shared" si="1"/>
        <v>1.0571351523960772</v>
      </c>
      <c r="M6" s="132">
        <f t="shared" si="1"/>
        <v>1.1224512374145501</v>
      </c>
      <c r="N6" s="132">
        <f t="shared" si="1"/>
        <v>1.181463753281506</v>
      </c>
      <c r="O6" s="132">
        <f t="shared" si="1"/>
        <v>1.2342506252009566</v>
      </c>
      <c r="P6" s="132">
        <f t="shared" si="1"/>
        <v>1.2808711857573885</v>
      </c>
      <c r="Q6" s="132">
        <f t="shared" si="1"/>
        <v>1.3213876095655843</v>
      </c>
      <c r="R6" s="132">
        <f t="shared" si="1"/>
        <v>1.3558858502610498</v>
      </c>
      <c r="S6" s="132">
        <f t="shared" si="1"/>
        <v>1.3844934192249136</v>
      </c>
      <c r="T6" s="132">
        <f t="shared" si="1"/>
        <v>1.4073917695284781</v>
      </c>
      <c r="U6" s="132">
        <f t="shared" si="1"/>
        <v>1.4248219831036892</v>
      </c>
      <c r="V6" s="132">
        <f t="shared" si="1"/>
        <v>1.4370836330522183</v>
      </c>
      <c r="W6" s="132">
        <f t="shared" si="1"/>
        <v>1.4445277744296363</v>
      </c>
      <c r="X6" s="9"/>
      <c r="Y6" s="9"/>
    </row>
    <row r="7" spans="1:25">
      <c r="A7" s="9" t="s">
        <v>151</v>
      </c>
      <c r="B7" s="131">
        <f t="shared" ref="B7:W7" si="2">B5-B6</f>
        <v>0</v>
      </c>
      <c r="C7" s="131">
        <f t="shared" si="2"/>
        <v>-2.9226614640337475E-2</v>
      </c>
      <c r="D7" s="131">
        <f t="shared" si="2"/>
        <v>-5.6332445568439665E-2</v>
      </c>
      <c r="E7" s="131">
        <f t="shared" si="2"/>
        <v>-8.1449678076920329E-2</v>
      </c>
      <c r="F7" s="131">
        <f t="shared" si="2"/>
        <v>-0.10468897387769799</v>
      </c>
      <c r="G7" s="131">
        <f t="shared" si="2"/>
        <v>-0.12613600328125396</v>
      </c>
      <c r="H7" s="131">
        <f t="shared" si="2"/>
        <v>-0.14584739955207071</v>
      </c>
      <c r="I7" s="131">
        <f t="shared" si="2"/>
        <v>-0.16384661131171907</v>
      </c>
      <c r="J7" s="131">
        <f t="shared" si="2"/>
        <v>-0.18012036619101068</v>
      </c>
      <c r="K7" s="131">
        <f t="shared" si="2"/>
        <v>-0.19461665957499075</v>
      </c>
      <c r="L7" s="131">
        <f t="shared" si="2"/>
        <v>-0.20724527849622043</v>
      </c>
      <c r="M7" s="131">
        <f t="shared" si="2"/>
        <v>-0.21788178540094594</v>
      </c>
      <c r="N7" s="131">
        <f t="shared" si="2"/>
        <v>-0.22637555630203332</v>
      </c>
      <c r="O7" s="131">
        <f t="shared" si="2"/>
        <v>-0.23256187922578797</v>
      </c>
      <c r="P7" s="131">
        <f t="shared" si="2"/>
        <v>-0.23627734433068159</v>
      </c>
      <c r="Q7" s="131">
        <f t="shared" si="2"/>
        <v>-0.23737696702951139</v>
      </c>
      <c r="R7" s="131">
        <f t="shared" si="2"/>
        <v>-0.23575091254289537</v>
      </c>
      <c r="S7" s="131">
        <f t="shared" si="2"/>
        <v>-0.23133854518909258</v>
      </c>
      <c r="T7" s="131">
        <f t="shared" si="2"/>
        <v>-0.2241378988656173</v>
      </c>
      <c r="U7" s="131">
        <f t="shared" si="2"/>
        <v>-0.21420947159135029</v>
      </c>
      <c r="V7" s="131">
        <f t="shared" si="2"/>
        <v>-0.20167425304220377</v>
      </c>
      <c r="W7" s="131">
        <f t="shared" si="2"/>
        <v>-0.18670681588529314</v>
      </c>
      <c r="X7" s="9"/>
      <c r="Y7" s="9"/>
    </row>
    <row r="8" spans="1:2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9"/>
      <c r="Y8" s="9"/>
    </row>
    <row r="9" spans="1:25" s="149" customFormat="1" ht="23.25" customHeight="1">
      <c r="A9" s="43" t="s">
        <v>153</v>
      </c>
      <c r="X9" s="150"/>
      <c r="Y9" s="150"/>
    </row>
    <row r="10" spans="1:25" s="149" customFormat="1">
      <c r="B10" s="149">
        <f>'Energy Usage'!B5</f>
        <v>2014</v>
      </c>
      <c r="C10" s="149">
        <f>'Energy Usage'!C5</f>
        <v>2015</v>
      </c>
      <c r="D10" s="149">
        <f>'Energy Usage'!D5</f>
        <v>2016</v>
      </c>
      <c r="E10" s="149">
        <f>'Energy Usage'!E5</f>
        <v>2017</v>
      </c>
      <c r="F10" s="149">
        <f>'Energy Usage'!F5</f>
        <v>2018</v>
      </c>
      <c r="G10" s="149">
        <f>'Energy Usage'!G5</f>
        <v>2019</v>
      </c>
      <c r="H10" s="149">
        <f>'Energy Usage'!H5</f>
        <v>2020</v>
      </c>
      <c r="I10" s="149">
        <f>'Energy Usage'!I5</f>
        <v>2021</v>
      </c>
      <c r="J10" s="149">
        <f>'Energy Usage'!J5</f>
        <v>2022</v>
      </c>
      <c r="K10" s="149">
        <f>'Energy Usage'!K5</f>
        <v>2023</v>
      </c>
      <c r="L10" s="149">
        <f>'Energy Usage'!L5</f>
        <v>2024</v>
      </c>
      <c r="M10" s="149">
        <f>'Energy Usage'!M5</f>
        <v>2025</v>
      </c>
      <c r="N10" s="149">
        <f>'Energy Usage'!N5</f>
        <v>2026</v>
      </c>
      <c r="O10" s="149">
        <f>'Energy Usage'!O5</f>
        <v>2027</v>
      </c>
      <c r="P10" s="149">
        <f>'Energy Usage'!P5</f>
        <v>2028</v>
      </c>
      <c r="Q10" s="149">
        <f>'Energy Usage'!Q5</f>
        <v>2029</v>
      </c>
      <c r="R10" s="149">
        <f>'Energy Usage'!R5</f>
        <v>2030</v>
      </c>
      <c r="S10" s="149">
        <f>'Energy Usage'!S5</f>
        <v>2031</v>
      </c>
      <c r="T10" s="149">
        <f>'Energy Usage'!T5</f>
        <v>2032</v>
      </c>
      <c r="U10" s="149">
        <f>'Energy Usage'!U5</f>
        <v>2033</v>
      </c>
      <c r="V10" s="149">
        <f>'Energy Usage'!V5</f>
        <v>2034</v>
      </c>
      <c r="W10" s="149">
        <f>'Energy Usage'!W5</f>
        <v>2035</v>
      </c>
      <c r="X10" s="150"/>
      <c r="Y10" s="150"/>
    </row>
    <row r="11" spans="1:25" s="149" customFormat="1">
      <c r="A11" s="149" t="s">
        <v>167</v>
      </c>
      <c r="B11" s="152">
        <f>-'Energy Usage'!B8/3412*1000000</f>
        <v>0</v>
      </c>
      <c r="C11" s="152">
        <f>-'Energy Usage'!C8/3412*1000000</f>
        <v>22.491125271018472</v>
      </c>
      <c r="D11" s="152">
        <f>-'Energy Usage'!D8/3412*1000000</f>
        <v>43.364625419166259</v>
      </c>
      <c r="E11" s="152">
        <f>-'Energy Usage'!E8/3412*1000000</f>
        <v>62.732795342368647</v>
      </c>
      <c r="F11" s="152">
        <f>-'Energy Usage'!F8/3412*1000000</f>
        <v>80.697730669990207</v>
      </c>
      <c r="G11" s="152">
        <f>-'Energy Usage'!G8/3412*1000000</f>
        <v>97.351150789452717</v>
      </c>
      <c r="H11" s="152">
        <f>-'Energy Usage'!H8/3412*1000000</f>
        <v>112.77408312296019</v>
      </c>
      <c r="I11" s="152">
        <f>-'Energy Usage'!I8/3412*1000000</f>
        <v>127.03649616589976</v>
      </c>
      <c r="J11" s="152">
        <f>-'Energy Usage'!J8/3412*1000000</f>
        <v>140.19701173253034</v>
      </c>
      <c r="K11" s="152">
        <f>-'Energy Usage'!K8/3412*1000000</f>
        <v>152.30286342483907</v>
      </c>
      <c r="L11" s="152">
        <f>-'Energy Usage'!L8/3412*1000000</f>
        <v>163.39028630542154</v>
      </c>
      <c r="M11" s="152">
        <f>-'Energy Usage'!M8/3412*1000000</f>
        <v>173.48550810116691</v>
      </c>
      <c r="N11" s="152">
        <f>-'Energy Usage'!N8/3412*1000000</f>
        <v>182.6064533665388</v>
      </c>
      <c r="O11" s="152">
        <f>-'Energy Usage'!O8/3412*1000000</f>
        <v>190.76516618252808</v>
      </c>
      <c r="P11" s="152">
        <f>-'Energy Usage'!P8/3412*1000000</f>
        <v>197.97081696404766</v>
      </c>
      <c r="Q11" s="152">
        <f>-'Energy Usage'!Q8/3412*1000000</f>
        <v>204.23301538880744</v>
      </c>
      <c r="R11" s="152">
        <f>-'Energy Usage'!R8/3412*1000000</f>
        <v>209.56504640819935</v>
      </c>
      <c r="S11" s="152">
        <f>-'Energy Usage'!S8/3412*1000000</f>
        <v>213.9866181182247</v>
      </c>
      <c r="T11" s="152">
        <f>-'Energy Usage'!T8/3412*1000000</f>
        <v>217.52577581583898</v>
      </c>
      <c r="U11" s="152">
        <f>-'Energy Usage'!U8/3412*1000000</f>
        <v>220.21978100520698</v>
      </c>
      <c r="V11" s="152">
        <f>-'Energy Usage'!V8/3412*1000000</f>
        <v>222.11493555675708</v>
      </c>
      <c r="W11" s="152">
        <f>-'Energy Usage'!W8/3412*1000000</f>
        <v>223.2654983662498</v>
      </c>
      <c r="X11" s="150"/>
      <c r="Y11" s="150"/>
    </row>
    <row r="12" spans="1:25" s="149" customFormat="1">
      <c r="A12" s="153" t="s">
        <v>152</v>
      </c>
      <c r="B12" s="153">
        <f t="shared" ref="B12:W12" si="3">HeatRate</f>
        <v>6470</v>
      </c>
      <c r="C12" s="153">
        <f t="shared" si="3"/>
        <v>6470</v>
      </c>
      <c r="D12" s="153">
        <f t="shared" si="3"/>
        <v>6470</v>
      </c>
      <c r="E12" s="153">
        <f t="shared" si="3"/>
        <v>6470</v>
      </c>
      <c r="F12" s="153">
        <f t="shared" si="3"/>
        <v>6470</v>
      </c>
      <c r="G12" s="153">
        <f t="shared" si="3"/>
        <v>6470</v>
      </c>
      <c r="H12" s="153">
        <f t="shared" si="3"/>
        <v>6470</v>
      </c>
      <c r="I12" s="153">
        <f t="shared" si="3"/>
        <v>6470</v>
      </c>
      <c r="J12" s="153">
        <f t="shared" si="3"/>
        <v>6470</v>
      </c>
      <c r="K12" s="153">
        <f t="shared" si="3"/>
        <v>6470</v>
      </c>
      <c r="L12" s="153">
        <f t="shared" si="3"/>
        <v>6470</v>
      </c>
      <c r="M12" s="153">
        <f t="shared" si="3"/>
        <v>6470</v>
      </c>
      <c r="N12" s="153">
        <f t="shared" si="3"/>
        <v>6470</v>
      </c>
      <c r="O12" s="153">
        <f t="shared" si="3"/>
        <v>6470</v>
      </c>
      <c r="P12" s="153">
        <f t="shared" si="3"/>
        <v>6470</v>
      </c>
      <c r="Q12" s="153">
        <f t="shared" si="3"/>
        <v>6470</v>
      </c>
      <c r="R12" s="153">
        <f t="shared" si="3"/>
        <v>6470</v>
      </c>
      <c r="S12" s="153">
        <f t="shared" si="3"/>
        <v>6470</v>
      </c>
      <c r="T12" s="153">
        <f t="shared" si="3"/>
        <v>6470</v>
      </c>
      <c r="U12" s="153">
        <f t="shared" si="3"/>
        <v>6470</v>
      </c>
      <c r="V12" s="153">
        <f t="shared" si="3"/>
        <v>6470</v>
      </c>
      <c r="W12" s="153">
        <f t="shared" si="3"/>
        <v>6470</v>
      </c>
      <c r="X12" s="150"/>
      <c r="Y12" s="150"/>
    </row>
    <row r="13" spans="1:25" s="149" customFormat="1">
      <c r="A13" s="149" t="s">
        <v>168</v>
      </c>
      <c r="B13" s="151">
        <f t="shared" ref="B13" si="4">B11*1000000000/HeatRate/1000</f>
        <v>0</v>
      </c>
      <c r="C13" s="151">
        <f t="shared" ref="C13:W13" si="5">C11*HeatRate/1000000</f>
        <v>0.14551758050348951</v>
      </c>
      <c r="D13" s="151">
        <f t="shared" si="5"/>
        <v>0.28056912646200571</v>
      </c>
      <c r="E13" s="151">
        <f t="shared" si="5"/>
        <v>0.40588118586512517</v>
      </c>
      <c r="F13" s="151">
        <f t="shared" si="5"/>
        <v>0.52211431743483661</v>
      </c>
      <c r="G13" s="151">
        <f t="shared" si="5"/>
        <v>0.6298619456077591</v>
      </c>
      <c r="H13" s="151">
        <f t="shared" si="5"/>
        <v>0.72964831780555239</v>
      </c>
      <c r="I13" s="151">
        <f t="shared" si="5"/>
        <v>0.82192613019337146</v>
      </c>
      <c r="J13" s="151">
        <f t="shared" si="5"/>
        <v>0.90707466590947139</v>
      </c>
      <c r="K13" s="151">
        <f t="shared" si="5"/>
        <v>0.98539952635870887</v>
      </c>
      <c r="L13" s="151">
        <f t="shared" si="5"/>
        <v>1.0571351523960772</v>
      </c>
      <c r="M13" s="151">
        <f t="shared" si="5"/>
        <v>1.1224512374145501</v>
      </c>
      <c r="N13" s="151">
        <f t="shared" si="5"/>
        <v>1.181463753281506</v>
      </c>
      <c r="O13" s="151">
        <f t="shared" si="5"/>
        <v>1.2342506252009566</v>
      </c>
      <c r="P13" s="151">
        <f t="shared" si="5"/>
        <v>1.2808711857573885</v>
      </c>
      <c r="Q13" s="151">
        <f t="shared" si="5"/>
        <v>1.3213876095655843</v>
      </c>
      <c r="R13" s="151">
        <f t="shared" si="5"/>
        <v>1.3558858502610498</v>
      </c>
      <c r="S13" s="151">
        <f t="shared" si="5"/>
        <v>1.3844934192249136</v>
      </c>
      <c r="T13" s="151">
        <f t="shared" si="5"/>
        <v>1.4073917695284781</v>
      </c>
      <c r="U13" s="151">
        <f t="shared" si="5"/>
        <v>1.4248219831036892</v>
      </c>
      <c r="V13" s="151">
        <f t="shared" si="5"/>
        <v>1.4370836330522183</v>
      </c>
      <c r="W13" s="151">
        <f t="shared" si="5"/>
        <v>1.4445277744296363</v>
      </c>
      <c r="X13" s="150"/>
      <c r="Y13" s="150"/>
    </row>
    <row r="14" spans="1:25" s="149" customFormat="1">
      <c r="X14" s="150"/>
      <c r="Y14" s="150"/>
    </row>
    <row r="16" spans="1:25">
      <c r="B16" s="17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AG69"/>
  <sheetViews>
    <sheetView workbookViewId="0"/>
  </sheetViews>
  <sheetFormatPr defaultColWidth="9.140625" defaultRowHeight="15.75"/>
  <cols>
    <col min="1" max="1" width="35.7109375" style="9" customWidth="1"/>
    <col min="2" max="9" width="11.7109375" style="9" customWidth="1"/>
    <col min="10" max="11" width="11" style="9" bestFit="1" customWidth="1"/>
    <col min="12" max="12" width="12" style="9" bestFit="1" customWidth="1"/>
    <col min="13" max="28" width="11" style="9" bestFit="1" customWidth="1"/>
    <col min="29" max="29" width="14.28515625" style="9" bestFit="1" customWidth="1"/>
    <col min="30" max="31" width="11" style="9" bestFit="1" customWidth="1"/>
    <col min="32" max="16384" width="9.140625" style="9"/>
  </cols>
  <sheetData>
    <row r="1" spans="1:3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33" ht="24" customHeight="1">
      <c r="A3" s="26" t="s">
        <v>51</v>
      </c>
      <c r="AG3" s="12"/>
    </row>
    <row r="4" spans="1:33">
      <c r="A4" s="42"/>
      <c r="B4" s="42">
        <f t="shared" ref="B4:W4" si="0">B16</f>
        <v>2014</v>
      </c>
      <c r="C4" s="42">
        <f t="shared" si="0"/>
        <v>2015</v>
      </c>
      <c r="D4" s="42">
        <f t="shared" si="0"/>
        <v>2016</v>
      </c>
      <c r="E4" s="42">
        <f t="shared" si="0"/>
        <v>2017</v>
      </c>
      <c r="F4" s="42">
        <f t="shared" si="0"/>
        <v>2018</v>
      </c>
      <c r="G4" s="42">
        <f t="shared" si="0"/>
        <v>2019</v>
      </c>
      <c r="H4" s="42">
        <f t="shared" si="0"/>
        <v>2020</v>
      </c>
      <c r="I4" s="42">
        <f t="shared" si="0"/>
        <v>2021</v>
      </c>
      <c r="J4" s="42">
        <f t="shared" si="0"/>
        <v>2022</v>
      </c>
      <c r="K4" s="42">
        <f t="shared" si="0"/>
        <v>2023</v>
      </c>
      <c r="L4" s="42">
        <f t="shared" si="0"/>
        <v>2024</v>
      </c>
      <c r="M4" s="42">
        <f t="shared" si="0"/>
        <v>2025</v>
      </c>
      <c r="N4" s="42">
        <f t="shared" si="0"/>
        <v>2026</v>
      </c>
      <c r="O4" s="42">
        <f t="shared" si="0"/>
        <v>2027</v>
      </c>
      <c r="P4" s="42">
        <f t="shared" si="0"/>
        <v>2028</v>
      </c>
      <c r="Q4" s="42">
        <f t="shared" si="0"/>
        <v>2029</v>
      </c>
      <c r="R4" s="42">
        <f t="shared" si="0"/>
        <v>2030</v>
      </c>
      <c r="S4" s="42">
        <f t="shared" si="0"/>
        <v>2031</v>
      </c>
      <c r="T4" s="42">
        <f t="shared" si="0"/>
        <v>2032</v>
      </c>
      <c r="U4" s="42">
        <f t="shared" si="0"/>
        <v>2033</v>
      </c>
      <c r="V4" s="42">
        <f t="shared" si="0"/>
        <v>2034</v>
      </c>
      <c r="W4" s="42">
        <f t="shared" si="0"/>
        <v>2035</v>
      </c>
      <c r="X4" s="45"/>
    </row>
    <row r="5" spans="1:33">
      <c r="A5" s="75" t="s">
        <v>78</v>
      </c>
      <c r="B5" s="91">
        <f t="shared" ref="B5:W5" si="1">B4</f>
        <v>2014</v>
      </c>
      <c r="C5" s="91">
        <f t="shared" si="1"/>
        <v>2015</v>
      </c>
      <c r="D5" s="91">
        <f t="shared" si="1"/>
        <v>2016</v>
      </c>
      <c r="E5" s="91">
        <f t="shared" si="1"/>
        <v>2017</v>
      </c>
      <c r="F5" s="91">
        <f t="shared" si="1"/>
        <v>2018</v>
      </c>
      <c r="G5" s="91">
        <f t="shared" si="1"/>
        <v>2019</v>
      </c>
      <c r="H5" s="91">
        <f t="shared" si="1"/>
        <v>2020</v>
      </c>
      <c r="I5" s="91">
        <f t="shared" si="1"/>
        <v>2021</v>
      </c>
      <c r="J5" s="91">
        <f t="shared" si="1"/>
        <v>2022</v>
      </c>
      <c r="K5" s="91">
        <f t="shared" si="1"/>
        <v>2023</v>
      </c>
      <c r="L5" s="91">
        <f t="shared" si="1"/>
        <v>2024</v>
      </c>
      <c r="M5" s="91">
        <f t="shared" si="1"/>
        <v>2025</v>
      </c>
      <c r="N5" s="91">
        <f t="shared" si="1"/>
        <v>2026</v>
      </c>
      <c r="O5" s="91">
        <f t="shared" si="1"/>
        <v>2027</v>
      </c>
      <c r="P5" s="91">
        <f t="shared" si="1"/>
        <v>2028</v>
      </c>
      <c r="Q5" s="91">
        <f t="shared" si="1"/>
        <v>2029</v>
      </c>
      <c r="R5" s="91">
        <f t="shared" si="1"/>
        <v>2030</v>
      </c>
      <c r="S5" s="91">
        <f t="shared" si="1"/>
        <v>2031</v>
      </c>
      <c r="T5" s="91">
        <f t="shared" si="1"/>
        <v>2032</v>
      </c>
      <c r="U5" s="91">
        <f t="shared" si="1"/>
        <v>2033</v>
      </c>
      <c r="V5" s="91">
        <f t="shared" si="1"/>
        <v>2034</v>
      </c>
      <c r="W5" s="91">
        <f t="shared" si="1"/>
        <v>2035</v>
      </c>
      <c r="X5" s="45"/>
      <c r="Y5" s="45"/>
    </row>
    <row r="6" spans="1:33">
      <c r="A6" s="51" t="s">
        <v>85</v>
      </c>
      <c r="B6" s="90">
        <f>(B$18*'Device Energy Use'!$E$5+B$19*'Device Energy Use'!$E$6+'Energy Usage'!B$20*'Device Energy Use'!$E$7+'Energy Usage'!B$21*'Device Energy Use'!$E$8+'Energy Usage'!B$22*'Device Energy Use'!$E$9)/1000000</f>
        <v>1.395847332968795</v>
      </c>
      <c r="C6" s="90">
        <f>(C$18*'Device Energy Use'!$E$5+C$19*'Device Energy Use'!$E$6+'Energy Usage'!C$20*'Device Energy Use'!$E$7+'Energy Usage'!C$21*'Device Energy Use'!$E$8+'Energy Usage'!C$22*'Device Energy Use'!$E$9)/1000000</f>
        <v>1.3728836714671675</v>
      </c>
      <c r="D6" s="90">
        <f>(D$18*'Device Energy Use'!$E$5+D$19*'Device Energy Use'!$E$6+'Energy Usage'!D$20*'Device Energy Use'!$E$7+'Energy Usage'!D$21*'Device Energy Use'!$E$8+'Energy Usage'!D$22*'Device Energy Use'!$E$9)/1000000</f>
        <v>1.3515223431124725</v>
      </c>
      <c r="E6" s="90">
        <f>(E$18*'Device Energy Use'!$E$5+E$19*'Device Energy Use'!$E$6+'Energy Usage'!E$20*'Device Energy Use'!$E$7+'Energy Usage'!E$21*'Device Energy Use'!$E$8+'Energy Usage'!E$22*'Device Energy Use'!$E$9)/1000000</f>
        <v>1.3316378073774191</v>
      </c>
      <c r="F6" s="90">
        <f>(F$18*'Device Energy Use'!$E$5+F$19*'Device Energy Use'!$E$6+'Energy Usage'!F$20*'Device Energy Use'!$E$7+'Energy Usage'!F$21*'Device Energy Use'!$E$8+'Energy Usage'!F$22*'Device Energy Use'!$E$9)/1000000</f>
        <v>1.3131060588817456</v>
      </c>
      <c r="G6" s="90">
        <f>(G$18*'Device Energy Use'!$E$5+G$19*'Device Energy Use'!$E$6+'Energy Usage'!G$20*'Device Energy Use'!$E$7+'Energy Usage'!G$21*'Device Energy Use'!$E$8+'Energy Usage'!G$22*'Device Energy Use'!$E$9)/1000000</f>
        <v>1.2958014281982275</v>
      </c>
      <c r="H6" s="90">
        <f>(H$18*'Device Energy Use'!$E$5+H$19*'Device Energy Use'!$E$6+'Energy Usage'!H$20*'Device Energy Use'!$E$7+'Energy Usage'!H$21*'Device Energy Use'!$E$8+'Energy Usage'!H$22*'Device Energy Use'!$E$9)/1000000</f>
        <v>1.2795930946269682</v>
      </c>
      <c r="I6" s="90">
        <f>(I$18*'Device Energy Use'!$E$5+I$19*'Device Energy Use'!$E$6+'Energy Usage'!I$20*'Device Energy Use'!$E$7+'Energy Usage'!I$21*'Device Energy Use'!$E$8+'Energy Usage'!I$22*'Device Energy Use'!$E$9)/1000000</f>
        <v>1.2643415962858047</v>
      </c>
      <c r="J6" s="90">
        <f>(J$18*'Device Energy Use'!$E$5+J$19*'Device Energy Use'!$E$6+'Energy Usage'!J$20*'Device Energy Use'!$E$7+'Energy Usage'!J$21*'Device Energy Use'!$E$8+'Energy Usage'!J$22*'Device Energy Use'!$E$9)/1000000</f>
        <v>1.2498957703014515</v>
      </c>
      <c r="K6" s="90">
        <f>(K$18*'Device Energy Use'!$E$5+K$19*'Device Energy Use'!$E$6+'Energy Usage'!K$20*'Device Energy Use'!$E$7+'Energy Usage'!K$21*'Device Energy Use'!$E$8+'Energy Usage'!K$22*'Device Energy Use'!$E$9)/1000000</f>
        <v>1.2360906815420332</v>
      </c>
      <c r="L6" s="90">
        <f>(L$18*'Device Energy Use'!$E$5+L$19*'Device Energy Use'!$E$6+'Energy Usage'!L$20*'Device Energy Use'!$E$7+'Energy Usage'!L$21*'Device Energy Use'!$E$8+'Energy Usage'!L$22*'Device Energy Use'!$E$9)/1000000</f>
        <v>1.222747160443689</v>
      </c>
      <c r="M6" s="90">
        <f>(M$18*'Device Energy Use'!$E$5+M$19*'Device Energy Use'!$E$6+'Energy Usage'!M$20*'Device Energy Use'!$E$7+'Energy Usage'!M$21*'Device Energy Use'!$E$8+'Energy Usage'!M$22*'Device Energy Use'!$E$9)/1000000</f>
        <v>1.2096735212415157</v>
      </c>
      <c r="N6" s="90">
        <f>(N$18*'Device Energy Use'!$E$5+N$19*'Device Energy Use'!$E$6+'Energy Usage'!N$20*'Device Energy Use'!$E$7+'Energy Usage'!N$21*'Device Energy Use'!$E$8+'Energy Usage'!N$22*'Device Energy Use'!$E$9)/1000000</f>
        <v>1.1966698316583693</v>
      </c>
      <c r="O6" s="90">
        <f>(O$18*'Device Energy Use'!$E$5+O$19*'Device Energy Use'!$E$6+'Energy Usage'!O$20*'Device Energy Use'!$E$7+'Energy Usage'!O$21*'Device Energy Use'!$E$8+'Energy Usage'!O$22*'Device Energy Use'!$E$9)/1000000</f>
        <v>1.1835347445885434</v>
      </c>
      <c r="P6" s="90">
        <f>(P$18*'Device Energy Use'!$E$5+P$19*'Device Energy Use'!$E$6+'Energy Usage'!P$20*'Device Energy Use'!$E$7+'Energy Usage'!P$21*'Device Energy Use'!$E$8+'Energy Usage'!P$22*'Device Energy Use'!$E$9)/1000000</f>
        <v>1.1700744252283912</v>
      </c>
      <c r="Q6" s="90">
        <f>(Q$18*'Device Energy Use'!$E$5+Q$19*'Device Energy Use'!$E$6+'Energy Usage'!Q$20*'Device Energy Use'!$E$7+'Energy Usage'!Q$21*'Device Energy Use'!$E$8+'Energy Usage'!Q$22*'Device Energy Use'!$E$9)/1000000</f>
        <v>1.1561126178431673</v>
      </c>
      <c r="R6" s="90">
        <f>(R$18*'Device Energy Use'!$E$5+R$19*'Device Energy Use'!$E$6+'Energy Usage'!R$20*'Device Energy Use'!$E$7+'Energy Usage'!R$21*'Device Energy Use'!$E$8+'Energy Usage'!R$22*'Device Energy Use'!$E$9)/1000000</f>
        <v>1.141500538443007</v>
      </c>
      <c r="S6" s="90">
        <f>(S$18*'Device Energy Use'!$E$5+S$19*'Device Energy Use'!$E$6+'Energy Usage'!S$20*'Device Energy Use'!$E$7+'Energy Usage'!S$21*'Device Energy Use'!$E$8+'Energy Usage'!S$22*'Device Energy Use'!$E$9)/1000000</f>
        <v>1.12612518396774</v>
      </c>
      <c r="T6" s="90">
        <f>(T$18*'Device Energy Use'!$E$5+T$19*'Device Energy Use'!$E$6+'Energy Usage'!T$20*'Device Energy Use'!$E$7+'Energy Usage'!T$21*'Device Energy Use'!$E$8+'Energy Usage'!T$22*'Device Energy Use'!$E$9)/1000000</f>
        <v>1.1099148726785457</v>
      </c>
      <c r="U6" s="90">
        <f>(U$18*'Device Energy Use'!$E$5+U$19*'Device Energy Use'!$E$6+'Energy Usage'!U$20*'Device Energy Use'!$E$7+'Energy Usage'!U$21*'Device Energy Use'!$E$8+'Energy Usage'!U$22*'Device Energy Use'!$E$9)/1000000</f>
        <v>1.0928413236993191</v>
      </c>
      <c r="V6" s="90">
        <f>(V$18*'Device Energy Use'!$E$5+V$19*'Device Energy Use'!$E$6+'Energy Usage'!V$20*'Device Energy Use'!$E$7+'Energy Usage'!V$21*'Device Energy Use'!$E$8+'Energy Usage'!V$22*'Device Energy Use'!$E$9)/1000000</f>
        <v>1.0749182031070972</v>
      </c>
      <c r="W6" s="90">
        <f>(W$18*'Device Energy Use'!$E$5+W$19*'Device Energy Use'!$E$6+'Energy Usage'!W$20*'Device Energy Use'!$E$7+'Energy Usage'!W$21*'Device Energy Use'!$E$8+'Energy Usage'!W$22*'Device Energy Use'!$E$9)/1000000</f>
        <v>1.056196634628269</v>
      </c>
      <c r="X6" s="45"/>
    </row>
    <row r="7" spans="1:33">
      <c r="A7" s="53" t="s">
        <v>100</v>
      </c>
      <c r="B7" s="92">
        <f>(B$27*'Device Energy Use'!$E$5+B$28*'Device Energy Use'!$E$6+'Energy Usage'!B$29*'Device Energy Use'!$E$7+'Energy Usage'!B$30*'Device Energy Use'!$E$8+'Energy Usage'!B$31*'Device Energy Use'!$E$9)/1000000</f>
        <v>1.395847332968795</v>
      </c>
      <c r="C7" s="92">
        <f>(C$27*'Device Energy Use'!$E$5+C$28*'Device Energy Use'!$E$6+'Energy Usage'!C$29*'Device Energy Use'!$E$7+'Energy Usage'!C$30*'Device Energy Use'!$E$8+'Energy Usage'!C$31*'Device Energy Use'!$E$9)/1000000</f>
        <v>1.2961439520424525</v>
      </c>
      <c r="D7" s="92">
        <f>(D$27*'Device Energy Use'!$E$5+D$28*'Device Energy Use'!$E$6+'Energy Usage'!D$29*'Device Energy Use'!$E$7+'Energy Usage'!D$30*'Device Energy Use'!$E$8+'Energy Usage'!D$31*'Device Energy Use'!$E$9)/1000000</f>
        <v>1.2035622411822773</v>
      </c>
      <c r="E7" s="92">
        <f>(E$27*'Device Energy Use'!$E$5+E$28*'Device Energy Use'!$E$6+'Energy Usage'!E$29*'Device Energy Use'!$E$7+'Energy Usage'!E$30*'Device Energy Use'!$E$8+'Energy Usage'!E$31*'Device Energy Use'!$E$9)/1000000</f>
        <v>1.1175935096692573</v>
      </c>
      <c r="F7" s="92">
        <f>(F$27*'Device Energy Use'!$E$5+F$28*'Device Energy Use'!$E$6+'Energy Usage'!F$29*'Device Energy Use'!$E$7+'Energy Usage'!F$30*'Device Energy Use'!$E$8+'Energy Usage'!F$31*'Device Energy Use'!$E$9)/1000000</f>
        <v>1.037765401835739</v>
      </c>
      <c r="G7" s="92">
        <f>(G$27*'Device Energy Use'!$E$5+G$28*'Device Energy Use'!$E$6+'Energy Usage'!G$29*'Device Energy Use'!$E$7+'Energy Usage'!G$30*'Device Energy Use'!$E$8+'Energy Usage'!G$31*'Device Energy Use'!$E$9)/1000000</f>
        <v>0.96363930170461487</v>
      </c>
      <c r="H7" s="92">
        <f>(H$27*'Device Energy Use'!$E$5+H$28*'Device Energy Use'!$E$6+'Energy Usage'!H$29*'Device Energy Use'!$E$7+'Energy Usage'!H$30*'Device Energy Use'!$E$8+'Energy Usage'!H$31*'Device Energy Use'!$E$9)/1000000</f>
        <v>0.89480792301142809</v>
      </c>
      <c r="I7" s="92">
        <f>(I$27*'Device Energy Use'!$E$5+I$28*'Device Energy Use'!$E$6+'Energy Usage'!I$29*'Device Energy Use'!$E$7+'Energy Usage'!I$30*'Device Energy Use'!$E$8+'Energy Usage'!I$31*'Device Energy Use'!$E$9)/1000000</f>
        <v>0.8308930713677547</v>
      </c>
      <c r="J7" s="92">
        <f>(J$27*'Device Energy Use'!$E$5+J$28*'Device Energy Use'!$E$6+'Energy Usage'!J$29*'Device Energy Use'!$E$7+'Energy Usage'!J$30*'Device Energy Use'!$E$8+'Energy Usage'!J$31*'Device Energy Use'!$E$9)/1000000</f>
        <v>0.77154356627005793</v>
      </c>
      <c r="K7" s="92">
        <f>(K$27*'Device Energy Use'!$E$5+K$28*'Device Energy Use'!$E$6+'Energy Usage'!K$29*'Device Energy Use'!$E$7+'Energy Usage'!K$30*'Device Energy Use'!$E$8+'Energy Usage'!K$31*'Device Energy Use'!$E$9)/1000000</f>
        <v>0.71643331153648226</v>
      </c>
      <c r="L7" s="92">
        <f>(L$27*'Device Energy Use'!$E$5+L$28*'Device Energy Use'!$E$6+'Energy Usage'!L$29*'Device Energy Use'!$E$7+'Energy Usage'!L$30*'Device Energy Use'!$E$8+'Energy Usage'!L$31*'Device Energy Use'!$E$9)/1000000</f>
        <v>0.66525950356959074</v>
      </c>
      <c r="M7" s="92">
        <f>(M$27*'Device Energy Use'!$E$5+M$28*'Device Energy Use'!$E$6+'Energy Usage'!M$29*'Device Energy Use'!$E$7+'Energy Usage'!M$30*'Device Energy Use'!$E$8+'Energy Usage'!M$31*'Device Energy Use'!$E$9)/1000000</f>
        <v>0.61774096760033426</v>
      </c>
      <c r="N7" s="92">
        <f>(N$27*'Device Energy Use'!$E$5+N$28*'Device Energy Use'!$E$6+'Energy Usage'!N$29*'Device Energy Use'!$E$7+'Energy Usage'!N$30*'Device Energy Use'!$E$8+'Energy Usage'!N$31*'Device Energy Use'!$E$9)/1000000</f>
        <v>0.57361661277173892</v>
      </c>
      <c r="O7" s="92">
        <f>(O$27*'Device Energy Use'!$E$5+O$28*'Device Energy Use'!$E$6+'Energy Usage'!O$29*'Device Energy Use'!$E$7+'Energy Usage'!O$30*'Device Energy Use'!$E$8+'Energy Usage'!O$31*'Device Energy Use'!$E$9)/1000000</f>
        <v>0.53264399757375758</v>
      </c>
      <c r="P7" s="92">
        <f>(P$27*'Device Energy Use'!$E$5+P$28*'Device Energy Use'!$E$6+'Energy Usage'!P$29*'Device Energy Use'!$E$7+'Energy Usage'!P$30*'Device Energy Use'!$E$8+'Energy Usage'!P$31*'Device Energy Use'!$E$9)/1000000</f>
        <v>0.49459799774706059</v>
      </c>
      <c r="Q7" s="92">
        <f>(Q$27*'Device Energy Use'!$E$5+Q$28*'Device Energy Use'!$E$6+'Energy Usage'!Q$29*'Device Energy Use'!$E$7+'Energy Usage'!Q$30*'Device Energy Use'!$E$8+'Energy Usage'!Q$31*'Device Energy Use'!$E$9)/1000000</f>
        <v>0.45926956933655633</v>
      </c>
      <c r="R7" s="92">
        <f>(R$27*'Device Energy Use'!$E$5+R$28*'Device Energy Use'!$E$6+'Energy Usage'!R$29*'Device Energy Use'!$E$7+'Energy Usage'!R$30*'Device Energy Use'!$E$8+'Energy Usage'!R$31*'Device Energy Use'!$E$9)/1000000</f>
        <v>0.42646460009823084</v>
      </c>
      <c r="S7" s="92">
        <f>(S$27*'Device Energy Use'!$E$5+S$28*'Device Energy Use'!$E$6+'Energy Usage'!S$29*'Device Energy Use'!$E$7+'Energy Usage'!S$30*'Device Energy Use'!$E$8+'Energy Usage'!S$31*'Device Energy Use'!$E$9)/1000000</f>
        <v>0.39600284294835725</v>
      </c>
      <c r="T7" s="92">
        <f>(T$27*'Device Energy Use'!$E$5+T$28*'Device Energy Use'!$E$6+'Energy Usage'!T$29*'Device Energy Use'!$E$7+'Energy Usage'!T$30*'Device Energy Use'!$E$8+'Energy Usage'!T$31*'Device Energy Use'!$E$9)/1000000</f>
        <v>0.3677169255949031</v>
      </c>
      <c r="U7" s="92">
        <f>(U$27*'Device Energy Use'!$E$5+U$28*'Device Energy Use'!$E$6+'Energy Usage'!U$29*'Device Energy Use'!$E$7+'Energy Usage'!U$30*'Device Energy Use'!$E$8+'Energy Usage'!U$31*'Device Energy Use'!$E$9)/1000000</f>
        <v>0.34145143090955288</v>
      </c>
      <c r="V7" s="92">
        <f>(V$27*'Device Energy Use'!$E$5+V$28*'Device Energy Use'!$E$6+'Energy Usage'!V$29*'Device Energy Use'!$E$7+'Energy Usage'!V$30*'Device Energy Use'!$E$8+'Energy Usage'!V$31*'Device Energy Use'!$E$9)/1000000</f>
        <v>0.31706204298744201</v>
      </c>
      <c r="W7" s="92">
        <f>(W$27*'Device Energy Use'!$E$5+W$28*'Device Energy Use'!$E$6+'Energy Usage'!W$29*'Device Energy Use'!$E$7+'Energy Usage'!W$30*'Device Energy Use'!$E$8+'Energy Usage'!W$31*'Device Energy Use'!$E$9)/1000000</f>
        <v>0.29441475420262464</v>
      </c>
      <c r="X7" s="45"/>
    </row>
    <row r="8" spans="1:33">
      <c r="A8" s="35" t="s">
        <v>80</v>
      </c>
      <c r="B8" s="90">
        <f t="shared" ref="B8:W8" si="2">B7-B6</f>
        <v>0</v>
      </c>
      <c r="C8" s="90">
        <f t="shared" si="2"/>
        <v>-7.6739719424715025E-2</v>
      </c>
      <c r="D8" s="90">
        <f t="shared" si="2"/>
        <v>-0.14796010193019526</v>
      </c>
      <c r="E8" s="90">
        <f t="shared" si="2"/>
        <v>-0.2140442977081618</v>
      </c>
      <c r="F8" s="90">
        <f t="shared" si="2"/>
        <v>-0.27534065704600663</v>
      </c>
      <c r="G8" s="90">
        <f t="shared" si="2"/>
        <v>-0.33216212649361265</v>
      </c>
      <c r="H8" s="90">
        <f t="shared" si="2"/>
        <v>-0.38478517161554016</v>
      </c>
      <c r="I8" s="90">
        <f t="shared" si="2"/>
        <v>-0.43344852491804997</v>
      </c>
      <c r="J8" s="90">
        <f t="shared" si="2"/>
        <v>-0.47835220403139356</v>
      </c>
      <c r="K8" s="90">
        <f t="shared" si="2"/>
        <v>-0.5196573700055509</v>
      </c>
      <c r="L8" s="90">
        <f t="shared" si="2"/>
        <v>-0.55748765687409829</v>
      </c>
      <c r="M8" s="90">
        <f t="shared" si="2"/>
        <v>-0.59193255364118147</v>
      </c>
      <c r="N8" s="90">
        <f t="shared" si="2"/>
        <v>-0.62305321888663034</v>
      </c>
      <c r="O8" s="90">
        <f t="shared" si="2"/>
        <v>-0.65089074701478578</v>
      </c>
      <c r="P8" s="90">
        <f t="shared" si="2"/>
        <v>-0.67547642748133063</v>
      </c>
      <c r="Q8" s="90">
        <f t="shared" si="2"/>
        <v>-0.69684304850661105</v>
      </c>
      <c r="R8" s="90">
        <f t="shared" si="2"/>
        <v>-0.71503593834477619</v>
      </c>
      <c r="S8" s="90">
        <f t="shared" si="2"/>
        <v>-0.73012234101938267</v>
      </c>
      <c r="T8" s="90">
        <f t="shared" si="2"/>
        <v>-0.74219794708364262</v>
      </c>
      <c r="U8" s="90">
        <f t="shared" si="2"/>
        <v>-0.7513898927897662</v>
      </c>
      <c r="V8" s="90">
        <f t="shared" si="2"/>
        <v>-0.75785616011965518</v>
      </c>
      <c r="W8" s="90">
        <f t="shared" si="2"/>
        <v>-0.76178188042564432</v>
      </c>
      <c r="X8" s="45"/>
    </row>
    <row r="9" spans="1:33">
      <c r="A9" s="5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5"/>
    </row>
    <row r="10" spans="1:33">
      <c r="A10" s="75" t="s">
        <v>79</v>
      </c>
      <c r="B10" s="45">
        <f t="shared" ref="B10:W10" si="3">B4</f>
        <v>2014</v>
      </c>
      <c r="C10" s="45">
        <f t="shared" si="3"/>
        <v>2015</v>
      </c>
      <c r="D10" s="45">
        <f t="shared" si="3"/>
        <v>2016</v>
      </c>
      <c r="E10" s="45">
        <f t="shared" si="3"/>
        <v>2017</v>
      </c>
      <c r="F10" s="45">
        <f t="shared" si="3"/>
        <v>2018</v>
      </c>
      <c r="G10" s="45">
        <f t="shared" si="3"/>
        <v>2019</v>
      </c>
      <c r="H10" s="45">
        <f t="shared" si="3"/>
        <v>2020</v>
      </c>
      <c r="I10" s="45">
        <f t="shared" si="3"/>
        <v>2021</v>
      </c>
      <c r="J10" s="45">
        <f t="shared" si="3"/>
        <v>2022</v>
      </c>
      <c r="K10" s="45">
        <f t="shared" si="3"/>
        <v>2023</v>
      </c>
      <c r="L10" s="45">
        <f t="shared" si="3"/>
        <v>2024</v>
      </c>
      <c r="M10" s="45">
        <f t="shared" si="3"/>
        <v>2025</v>
      </c>
      <c r="N10" s="45">
        <f t="shared" si="3"/>
        <v>2026</v>
      </c>
      <c r="O10" s="45">
        <f t="shared" si="3"/>
        <v>2027</v>
      </c>
      <c r="P10" s="45">
        <f t="shared" si="3"/>
        <v>2028</v>
      </c>
      <c r="Q10" s="45">
        <f t="shared" si="3"/>
        <v>2029</v>
      </c>
      <c r="R10" s="45">
        <f t="shared" si="3"/>
        <v>2030</v>
      </c>
      <c r="S10" s="45">
        <f t="shared" si="3"/>
        <v>2031</v>
      </c>
      <c r="T10" s="45">
        <f t="shared" si="3"/>
        <v>2032</v>
      </c>
      <c r="U10" s="45">
        <f t="shared" si="3"/>
        <v>2033</v>
      </c>
      <c r="V10" s="45">
        <f t="shared" si="3"/>
        <v>2034</v>
      </c>
      <c r="W10" s="45">
        <f t="shared" si="3"/>
        <v>2035</v>
      </c>
      <c r="X10" s="45"/>
    </row>
    <row r="11" spans="1:33">
      <c r="A11" s="51" t="s">
        <v>86</v>
      </c>
      <c r="B11" s="90">
        <f t="shared" ref="B11:W11" si="4">B54/1000000</f>
        <v>0</v>
      </c>
      <c r="C11" s="90">
        <f t="shared" si="4"/>
        <v>3.477476281312443E-2</v>
      </c>
      <c r="D11" s="90">
        <f t="shared" si="4"/>
        <v>6.7104367267824289E-2</v>
      </c>
      <c r="E11" s="90">
        <f t="shared" si="4"/>
        <v>9.7165194180791226E-2</v>
      </c>
      <c r="F11" s="90">
        <f t="shared" si="4"/>
        <v>0.12512303694749133</v>
      </c>
      <c r="G11" s="90">
        <f t="shared" si="4"/>
        <v>0.15113471110407065</v>
      </c>
      <c r="H11" s="90">
        <f t="shared" si="4"/>
        <v>0.17534970289404364</v>
      </c>
      <c r="I11" s="90">
        <f t="shared" si="4"/>
        <v>0.19791178657446906</v>
      </c>
      <c r="J11" s="90">
        <f t="shared" si="4"/>
        <v>0.21896049830992856</v>
      </c>
      <c r="K11" s="90">
        <f t="shared" si="4"/>
        <v>0.23863231720463421</v>
      </c>
      <c r="L11" s="90">
        <f t="shared" si="4"/>
        <v>0.25706138276560386</v>
      </c>
      <c r="M11" s="90">
        <f t="shared" si="4"/>
        <v>0.27437958642345739</v>
      </c>
      <c r="N11" s="90">
        <f t="shared" si="4"/>
        <v>0.29071592453121781</v>
      </c>
      <c r="O11" s="90">
        <f t="shared" si="4"/>
        <v>0.30619509553246366</v>
      </c>
      <c r="P11" s="90">
        <f t="shared" si="4"/>
        <v>0.3209354543637995</v>
      </c>
      <c r="Q11" s="90">
        <f t="shared" si="4"/>
        <v>0.33504657508853075</v>
      </c>
      <c r="R11" s="90">
        <f t="shared" si="4"/>
        <v>0.348626778752397</v>
      </c>
      <c r="S11" s="90">
        <f t="shared" si="4"/>
        <v>0.36176101993453863</v>
      </c>
      <c r="T11" s="90">
        <f t="shared" si="4"/>
        <v>0.37451947384303524</v>
      </c>
      <c r="U11" s="90">
        <f t="shared" si="4"/>
        <v>0.38695703706226942</v>
      </c>
      <c r="V11" s="90">
        <f t="shared" si="4"/>
        <v>0.39911378662839825</v>
      </c>
      <c r="W11" s="90">
        <f t="shared" si="4"/>
        <v>0.41101628201045937</v>
      </c>
      <c r="X11" s="45"/>
    </row>
    <row r="12" spans="1:33">
      <c r="A12" s="53" t="s">
        <v>102</v>
      </c>
      <c r="B12" s="92">
        <f t="shared" ref="B12:W12" si="5">B63/1000000</f>
        <v>0</v>
      </c>
      <c r="C12" s="92">
        <f t="shared" si="5"/>
        <v>0.15106572867627646</v>
      </c>
      <c r="D12" s="92">
        <f t="shared" si="5"/>
        <v>0.29134104816139034</v>
      </c>
      <c r="E12" s="92">
        <f t="shared" si="5"/>
        <v>0.42159670196899607</v>
      </c>
      <c r="F12" s="92">
        <f t="shared" si="5"/>
        <v>0.54254838050462995</v>
      </c>
      <c r="G12" s="92">
        <f t="shared" si="5"/>
        <v>0.65486065343057576</v>
      </c>
      <c r="H12" s="92">
        <f t="shared" si="5"/>
        <v>0.7591506211475253</v>
      </c>
      <c r="I12" s="92">
        <f t="shared" si="5"/>
        <v>0.85599130545612145</v>
      </c>
      <c r="J12" s="92">
        <f t="shared" si="5"/>
        <v>0.94591479802838929</v>
      </c>
      <c r="K12" s="92">
        <f t="shared" si="5"/>
        <v>1.0294151839883523</v>
      </c>
      <c r="L12" s="92">
        <f t="shared" si="5"/>
        <v>1.1069512566654607</v>
      </c>
      <c r="M12" s="92">
        <f t="shared" si="5"/>
        <v>1.1789490384370616</v>
      </c>
      <c r="N12" s="92">
        <f t="shared" si="5"/>
        <v>1.2458041215106905</v>
      </c>
      <c r="O12" s="92">
        <f t="shared" si="5"/>
        <v>1.3078838415076324</v>
      </c>
      <c r="P12" s="92">
        <f t="shared" si="5"/>
        <v>1.3655292957905063</v>
      </c>
      <c r="Q12" s="92">
        <f t="shared" si="5"/>
        <v>1.4190572176246037</v>
      </c>
      <c r="R12" s="92">
        <f t="shared" si="5"/>
        <v>1.4687617164705515</v>
      </c>
      <c r="S12" s="92">
        <f t="shared" si="5"/>
        <v>1.5149158939703598</v>
      </c>
      <c r="T12" s="92">
        <f t="shared" si="5"/>
        <v>1.5577733445058961</v>
      </c>
      <c r="U12" s="92">
        <f t="shared" si="5"/>
        <v>1.5975695485746084</v>
      </c>
      <c r="V12" s="92">
        <f t="shared" si="5"/>
        <v>1.6345231666384128</v>
      </c>
      <c r="W12" s="92">
        <f t="shared" si="5"/>
        <v>1.6688372405548026</v>
      </c>
      <c r="X12" s="45"/>
    </row>
    <row r="13" spans="1:33">
      <c r="A13" s="35" t="s">
        <v>80</v>
      </c>
      <c r="B13" s="90">
        <f t="shared" ref="B13:W13" si="6">B12-B11</f>
        <v>0</v>
      </c>
      <c r="C13" s="90">
        <f t="shared" si="6"/>
        <v>0.11629096586315203</v>
      </c>
      <c r="D13" s="90">
        <f t="shared" si="6"/>
        <v>0.22423668089356605</v>
      </c>
      <c r="E13" s="90">
        <f t="shared" si="6"/>
        <v>0.32443150778820484</v>
      </c>
      <c r="F13" s="90">
        <f t="shared" si="6"/>
        <v>0.41742534355713862</v>
      </c>
      <c r="G13" s="90">
        <f t="shared" si="6"/>
        <v>0.50372594232650514</v>
      </c>
      <c r="H13" s="90">
        <f t="shared" si="6"/>
        <v>0.58380091825348168</v>
      </c>
      <c r="I13" s="90">
        <f t="shared" si="6"/>
        <v>0.65807951888165239</v>
      </c>
      <c r="J13" s="90">
        <f t="shared" si="6"/>
        <v>0.72695429971846071</v>
      </c>
      <c r="K13" s="90">
        <f t="shared" si="6"/>
        <v>0.79078286678371812</v>
      </c>
      <c r="L13" s="90">
        <f t="shared" si="6"/>
        <v>0.84988987389985682</v>
      </c>
      <c r="M13" s="90">
        <f t="shared" si="6"/>
        <v>0.90456945201360417</v>
      </c>
      <c r="N13" s="90">
        <f t="shared" si="6"/>
        <v>0.95508819697947267</v>
      </c>
      <c r="O13" s="90">
        <f t="shared" si="6"/>
        <v>1.0016887459751687</v>
      </c>
      <c r="P13" s="90">
        <f t="shared" si="6"/>
        <v>1.0445938414267069</v>
      </c>
      <c r="Q13" s="90">
        <f t="shared" si="6"/>
        <v>1.0840106425360729</v>
      </c>
      <c r="R13" s="90">
        <f t="shared" si="6"/>
        <v>1.1201349377181544</v>
      </c>
      <c r="S13" s="90">
        <f t="shared" si="6"/>
        <v>1.1531548740358211</v>
      </c>
      <c r="T13" s="90">
        <f t="shared" si="6"/>
        <v>1.1832538706628608</v>
      </c>
      <c r="U13" s="90">
        <f t="shared" si="6"/>
        <v>1.210612511512339</v>
      </c>
      <c r="V13" s="90">
        <f t="shared" si="6"/>
        <v>1.2354093800100145</v>
      </c>
      <c r="W13" s="90">
        <f t="shared" si="6"/>
        <v>1.2578209585443432</v>
      </c>
      <c r="X13" s="45"/>
    </row>
    <row r="14" spans="1:33">
      <c r="A14" s="52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33">
      <c r="A15" s="12" t="s">
        <v>47</v>
      </c>
    </row>
    <row r="16" spans="1:33">
      <c r="A16" s="39" t="str">
        <f>'Device Energy Use'!A4</f>
        <v>Water Heat Ending</v>
      </c>
      <c r="B16" s="42">
        <f>'Water Heater Stock'!B4</f>
        <v>2014</v>
      </c>
      <c r="C16" s="42">
        <f>'Water Heater Stock'!C4</f>
        <v>2015</v>
      </c>
      <c r="D16" s="42">
        <f>'Water Heater Stock'!D4</f>
        <v>2016</v>
      </c>
      <c r="E16" s="42">
        <f>'Water Heater Stock'!E4</f>
        <v>2017</v>
      </c>
      <c r="F16" s="42">
        <f>'Water Heater Stock'!F4</f>
        <v>2018</v>
      </c>
      <c r="G16" s="42">
        <f>'Water Heater Stock'!G4</f>
        <v>2019</v>
      </c>
      <c r="H16" s="42">
        <f>'Water Heater Stock'!H4</f>
        <v>2020</v>
      </c>
      <c r="I16" s="42">
        <f>'Water Heater Stock'!I4</f>
        <v>2021</v>
      </c>
      <c r="J16" s="42">
        <f>'Water Heater Stock'!J4</f>
        <v>2022</v>
      </c>
      <c r="K16" s="42">
        <f>'Water Heater Stock'!K4</f>
        <v>2023</v>
      </c>
      <c r="L16" s="42">
        <f>'Water Heater Stock'!L4</f>
        <v>2024</v>
      </c>
      <c r="M16" s="42">
        <f>'Water Heater Stock'!M4</f>
        <v>2025</v>
      </c>
      <c r="N16" s="42">
        <f>'Water Heater Stock'!N4</f>
        <v>2026</v>
      </c>
      <c r="O16" s="42">
        <f>'Water Heater Stock'!O4</f>
        <v>2027</v>
      </c>
      <c r="P16" s="42">
        <f>'Water Heater Stock'!P4</f>
        <v>2028</v>
      </c>
      <c r="Q16" s="42">
        <f>'Water Heater Stock'!Q4</f>
        <v>2029</v>
      </c>
      <c r="R16" s="42">
        <f>'Water Heater Stock'!R4</f>
        <v>2030</v>
      </c>
      <c r="S16" s="42">
        <f>'Water Heater Stock'!S4</f>
        <v>2031</v>
      </c>
      <c r="T16" s="42">
        <f>'Water Heater Stock'!T4</f>
        <v>2032</v>
      </c>
      <c r="U16" s="42">
        <f>'Water Heater Stock'!U4</f>
        <v>2033</v>
      </c>
      <c r="V16" s="42">
        <f>'Water Heater Stock'!V4</f>
        <v>2034</v>
      </c>
      <c r="W16" s="42">
        <f>'Water Heater Stock'!W4</f>
        <v>2035</v>
      </c>
    </row>
    <row r="17" spans="1:23" ht="16.5" thickBot="1">
      <c r="A17" s="49" t="s">
        <v>48</v>
      </c>
      <c r="B17" s="50">
        <f t="shared" ref="B17:W17" si="7">SUM(B18:B22)</f>
        <v>1395847.332968795</v>
      </c>
      <c r="C17" s="50">
        <f t="shared" si="7"/>
        <v>1407658.4342802921</v>
      </c>
      <c r="D17" s="50">
        <f t="shared" si="7"/>
        <v>1418626.7103802969</v>
      </c>
      <c r="E17" s="50">
        <f t="shared" si="7"/>
        <v>1428803.0015582105</v>
      </c>
      <c r="F17" s="50">
        <f t="shared" si="7"/>
        <v>1438229.095829237</v>
      </c>
      <c r="G17" s="50">
        <f t="shared" si="7"/>
        <v>1446936.1393022982</v>
      </c>
      <c r="H17" s="50">
        <f t="shared" si="7"/>
        <v>1454942.7975210119</v>
      </c>
      <c r="I17" s="50">
        <f t="shared" si="7"/>
        <v>1462253.3828602736</v>
      </c>
      <c r="J17" s="50">
        <f t="shared" si="7"/>
        <v>1468856.2686113799</v>
      </c>
      <c r="K17" s="50">
        <f t="shared" si="7"/>
        <v>1474722.9987466673</v>
      </c>
      <c r="L17" s="50">
        <f t="shared" si="7"/>
        <v>1479808.5432092929</v>
      </c>
      <c r="M17" s="50">
        <f t="shared" si="7"/>
        <v>1484053.1076649732</v>
      </c>
      <c r="N17" s="50">
        <f t="shared" si="7"/>
        <v>1487385.7561895871</v>
      </c>
      <c r="O17" s="50">
        <f t="shared" si="7"/>
        <v>1489729.8401210073</v>
      </c>
      <c r="P17" s="50">
        <f t="shared" si="7"/>
        <v>1491009.879592191</v>
      </c>
      <c r="Q17" s="50">
        <f t="shared" si="7"/>
        <v>1491159.1929316984</v>
      </c>
      <c r="R17" s="50">
        <f t="shared" si="7"/>
        <v>1490127.3171954039</v>
      </c>
      <c r="S17" s="50">
        <f t="shared" si="7"/>
        <v>1487886.2039022786</v>
      </c>
      <c r="T17" s="50">
        <f t="shared" si="7"/>
        <v>1484434.3465215811</v>
      </c>
      <c r="U17" s="50">
        <f t="shared" si="7"/>
        <v>1479798.3607615884</v>
      </c>
      <c r="V17" s="50">
        <f t="shared" si="7"/>
        <v>1474031.9897354955</v>
      </c>
      <c r="W17" s="50">
        <f t="shared" si="7"/>
        <v>1467212.916638728</v>
      </c>
    </row>
    <row r="18" spans="1:23" ht="16.5" thickTop="1">
      <c r="A18" s="9" t="str">
        <f>'Device Energy Use'!A5</f>
        <v>Electric Resistance</v>
      </c>
      <c r="B18" s="34">
        <f>'Water Heater Stock'!B6*'Device Energy Use'!$D5</f>
        <v>1395847.332968795</v>
      </c>
      <c r="C18" s="34">
        <f>'Water Heater Stock'!C6*'Device Energy Use'!$D5</f>
        <v>1372878.2807411011</v>
      </c>
      <c r="D18" s="34">
        <f>'Water Heater Stock'!D6*'Device Energy Use'!$D5</f>
        <v>1351506.5616580884</v>
      </c>
      <c r="E18" s="34">
        <f>'Water Heater Stock'!E6*'Device Energy Use'!$D5</f>
        <v>1331602.6749210511</v>
      </c>
      <c r="F18" s="34">
        <f>'Water Heater Stock'!F6*'Device Energy Use'!$D5</f>
        <v>1313036.3052460349</v>
      </c>
      <c r="G18" s="34">
        <f>'Water Heater Stock'!G6*'Device Energy Use'!$D5</f>
        <v>1295672.2136635385</v>
      </c>
      <c r="H18" s="34">
        <f>'Water Heater Stock'!H6*'Device Energy Use'!$D5</f>
        <v>1279365.7353346997</v>
      </c>
      <c r="I18" s="34">
        <f>'Water Heater Stock'!I6*'Device Energy Use'!$D5</f>
        <v>1263958.2743817633</v>
      </c>
      <c r="J18" s="34">
        <f>'Water Heater Stock'!J6*'Device Energy Use'!$D5</f>
        <v>1249273.3835378289</v>
      </c>
      <c r="K18" s="34">
        <f>'Water Heater Stock'!K6*'Device Energy Use'!$D5</f>
        <v>1235114.1836050258</v>
      </c>
      <c r="L18" s="34">
        <f>'Water Heater Stock'!L6*'Device Energy Use'!$D5</f>
        <v>1221262.9579368245</v>
      </c>
      <c r="M18" s="34">
        <f>'Water Heater Stock'!M6*'Device Energy Use'!$D5</f>
        <v>1207483.686315096</v>
      </c>
      <c r="N18" s="34">
        <f>'Water Heater Stock'!N6*'Device Energy Use'!$D5</f>
        <v>1193528.008032036</v>
      </c>
      <c r="O18" s="34">
        <f>'Water Heater Stock'!O6*'Device Energy Use'!$D5</f>
        <v>1179144.6145184855</v>
      </c>
      <c r="P18" s="34">
        <f>'Water Heater Stock'!P6*'Device Energy Use'!$D5</f>
        <v>1164091.4278182555</v>
      </c>
      <c r="Q18" s="34">
        <f>'Water Heater Stock'!Q6*'Device Energy Use'!$D5</f>
        <v>1148149.2643720976</v>
      </c>
      <c r="R18" s="34">
        <f>'Water Heater Stock'!R6*'Device Energy Use'!$D5</f>
        <v>1131135.2074753242</v>
      </c>
      <c r="S18" s="34">
        <f>'Water Heater Stock'!S6*'Device Energy Use'!$D5</f>
        <v>1112913.7915787152</v>
      </c>
      <c r="T18" s="34">
        <f>'Water Heater Stock'!T6*'Device Energy Use'!$D5</f>
        <v>1093404.4125095473</v>
      </c>
      <c r="U18" s="34">
        <f>'Water Heater Stock'!U6*'Device Energy Use'!$D5</f>
        <v>1072584.0489023456</v>
      </c>
      <c r="V18" s="34">
        <f>'Water Heater Stock'!V6*'Device Energy Use'!$D5</f>
        <v>1050485.2172694355</v>
      </c>
      <c r="W18" s="34">
        <f>'Water Heater Stock'!W6*'Device Energy Use'!$D5</f>
        <v>1027189.8500956206</v>
      </c>
    </row>
    <row r="19" spans="1:23">
      <c r="A19" s="9" t="str">
        <f>'Device Energy Use'!A6</f>
        <v>HPWH</v>
      </c>
      <c r="B19" s="34">
        <f>'Water Heater Stock'!B7*'Device Energy Use'!$D6</f>
        <v>0</v>
      </c>
      <c r="C19" s="34">
        <f>'Water Heater Stock'!C7*'Device Energy Use'!$D6</f>
        <v>5.3907260663640857</v>
      </c>
      <c r="D19" s="34">
        <f>'Water Heater Stock'!D7*'Device Energy Use'!$D6</f>
        <v>15.781454384149702</v>
      </c>
      <c r="E19" s="34">
        <f>'Water Heater Stock'!E7*'Device Energy Use'!$D6</f>
        <v>35.132456368138762</v>
      </c>
      <c r="F19" s="34">
        <f>'Water Heater Stock'!F7*'Device Energy Use'!$D6</f>
        <v>69.753635710699896</v>
      </c>
      <c r="G19" s="34">
        <f>'Water Heater Stock'!G7*'Device Energy Use'!$D6</f>
        <v>129.21453468886773</v>
      </c>
      <c r="H19" s="34">
        <f>'Water Heater Stock'!H7*'Device Energy Use'!$D6</f>
        <v>227.35929226853608</v>
      </c>
      <c r="I19" s="34">
        <f>'Water Heater Stock'!I7*'Device Energy Use'!$D6</f>
        <v>383.32190404142625</v>
      </c>
      <c r="J19" s="34">
        <f>'Water Heater Stock'!J7*'Device Energy Use'!$D6</f>
        <v>622.38676362248918</v>
      </c>
      <c r="K19" s="34">
        <f>'Water Heater Stock'!K7*'Device Energy Use'!$D6</f>
        <v>976.49793700742839</v>
      </c>
      <c r="L19" s="34">
        <f>'Water Heater Stock'!L7*'Device Energy Use'!$D6</f>
        <v>1484.2025068645462</v>
      </c>
      <c r="M19" s="34">
        <f>'Water Heater Stock'!M7*'Device Energy Use'!$D6</f>
        <v>2189.8349264195558</v>
      </c>
      <c r="N19" s="34">
        <f>'Water Heater Stock'!N7*'Device Energy Use'!$D6</f>
        <v>3141.8236263331009</v>
      </c>
      <c r="O19" s="34">
        <f>'Water Heater Stock'!O7*'Device Energy Use'!$D6</f>
        <v>4390.1300700579577</v>
      </c>
      <c r="P19" s="34">
        <f>'Water Heater Stock'!P7*'Device Energy Use'!$D6</f>
        <v>5982.9974101358257</v>
      </c>
      <c r="Q19" s="34">
        <f>'Water Heater Stock'!Q7*'Device Energy Use'!$D6</f>
        <v>7963.3534710699114</v>
      </c>
      <c r="R19" s="34">
        <f>'Water Heater Stock'!R7*'Device Energy Use'!$D6</f>
        <v>10365.330967682927</v>
      </c>
      <c r="S19" s="34">
        <f>'Water Heater Stock'!S7*'Device Energy Use'!$D6</f>
        <v>13211.392389024732</v>
      </c>
      <c r="T19" s="34">
        <f>'Water Heater Stock'!T7*'Device Energy Use'!$D6</f>
        <v>16510.46016899855</v>
      </c>
      <c r="U19" s="34">
        <f>'Water Heater Stock'!U7*'Device Energy Use'!$D6</f>
        <v>20257.274796973343</v>
      </c>
      <c r="V19" s="34">
        <f>'Water Heater Stock'!V7*'Device Energy Use'!$D6</f>
        <v>24432.985837661592</v>
      </c>
      <c r="W19" s="34">
        <f>'Water Heater Stock'!W7*'Device Energy Use'!$D6</f>
        <v>29006.784532648326</v>
      </c>
    </row>
    <row r="20" spans="1:23">
      <c r="A20" s="9" t="str">
        <f>'Device Energy Use'!A7</f>
        <v>Gas Tank</v>
      </c>
      <c r="B20" s="34">
        <f>'Water Heater Stock'!B8*'Device Energy Use'!$D7</f>
        <v>0</v>
      </c>
      <c r="C20" s="34">
        <f>'Water Heater Stock'!C8*'Device Energy Use'!$D7</f>
        <v>34761.639947755175</v>
      </c>
      <c r="D20" s="34">
        <f>'Water Heater Stock'!D8*'Device Energy Use'!$D7</f>
        <v>67065.845517065376</v>
      </c>
      <c r="E20" s="34">
        <f>'Water Heater Stock'!E8*'Device Energy Use'!$D7</f>
        <v>97079.176236269574</v>
      </c>
      <c r="F20" s="34">
        <f>'Water Heater Stock'!F8*'Device Energy Use'!$D7</f>
        <v>124951.69493528869</v>
      </c>
      <c r="G20" s="34">
        <f>'Water Heater Stock'!G8*'Device Energy Use'!$D7</f>
        <v>150816.23130666048</v>
      </c>
      <c r="H20" s="34">
        <f>'Water Heater Stock'!H8*'Device Energy Use'!$D7</f>
        <v>174787.37757466573</v>
      </c>
      <c r="I20" s="34">
        <f>'Water Heater Stock'!I8*'Device Energy Use'!$D7</f>
        <v>196960.40016762525</v>
      </c>
      <c r="J20" s="34">
        <f>'Water Heater Stock'!J8*'Device Energy Use'!$D7</f>
        <v>217410.34266058585</v>
      </c>
      <c r="K20" s="34">
        <f>'Water Heater Stock'!K8*'Device Energy Use'!$D7</f>
        <v>236191.6730513387</v>
      </c>
      <c r="L20" s="34">
        <f>'Water Heater Stock'!L8*'Device Energy Use'!$D7</f>
        <v>253338.86659233112</v>
      </c>
      <c r="M20" s="34">
        <f>'Water Heater Stock'!M8*'Device Energy Use'!$D7</f>
        <v>268868.28413073829</v>
      </c>
      <c r="N20" s="34">
        <f>'Water Heater Stock'!N8*'Device Energy Use'!$D7</f>
        <v>282781.58054857433</v>
      </c>
      <c r="O20" s="34">
        <f>'Water Heater Stock'!O8*'Device Energy Use'!$D7</f>
        <v>295070.65279045061</v>
      </c>
      <c r="P20" s="34">
        <f>'Water Heater Stock'!P8*'Device Energy Use'!$D7</f>
        <v>305723.83947308676</v>
      </c>
      <c r="Q20" s="34">
        <f>'Water Heater Stock'!Q8*'Device Energy Use'!$D7</f>
        <v>314732.77932753431</v>
      </c>
      <c r="R20" s="34">
        <f>'Water Heater Stock'!R8*'Device Energy Use'!$D7</f>
        <v>322099.11315419298</v>
      </c>
      <c r="S20" s="34">
        <f>'Water Heater Stock'!S8*'Device Energy Use'!$D7</f>
        <v>327840.1549931796</v>
      </c>
      <c r="T20" s="34">
        <f>'Water Heater Stock'!T8*'Device Energy Use'!$D7</f>
        <v>331992.79843554943</v>
      </c>
      <c r="U20" s="34">
        <f>'Water Heater Stock'!U8*'Device Energy Use'!$D7</f>
        <v>334615.23163628043</v>
      </c>
      <c r="V20" s="34">
        <f>'Water Heater Stock'!V8*'Device Energy Use'!$D7</f>
        <v>335786.42043164076</v>
      </c>
      <c r="W20" s="34">
        <f>'Water Heater Stock'!W8*'Device Energy Use'!$D7</f>
        <v>335603.67397570389</v>
      </c>
    </row>
    <row r="21" spans="1:23">
      <c r="A21" s="9" t="str">
        <f>'Device Energy Use'!A8</f>
        <v>Instant Gas</v>
      </c>
      <c r="B21" s="34">
        <f>'Water Heater Stock'!B9*'Device Energy Use'!$D8</f>
        <v>0</v>
      </c>
      <c r="C21" s="34">
        <f>'Water Heater Stock'!C9*'Device Energy Use'!$D8</f>
        <v>3.5365077904034958</v>
      </c>
      <c r="D21" s="34">
        <f>'Water Heater Stock'!D9*'Device Energy Use'!$D8</f>
        <v>10.393017714511981</v>
      </c>
      <c r="E21" s="34">
        <f>'Water Heater Stock'!E9*'Device Energy Use'!$D8</f>
        <v>23.236884292333908</v>
      </c>
      <c r="F21" s="34">
        <f>'Water Heater Stock'!F9*'Device Energy Use'!$D8</f>
        <v>46.349989315570284</v>
      </c>
      <c r="G21" s="34">
        <f>'Water Heater Stock'!G9*'Device Energy Use'!$D8</f>
        <v>86.276599436453253</v>
      </c>
      <c r="H21" s="34">
        <f>'Water Heater Stock'!H9*'Device Energy Use'!$D8</f>
        <v>152.56042906683993</v>
      </c>
      <c r="I21" s="34">
        <f>'Water Heater Stock'!I9*'Device Energy Use'!$D8</f>
        <v>258.50276132193494</v>
      </c>
      <c r="J21" s="34">
        <f>'Water Heater Stock'!J9*'Device Energy Use'!$D8</f>
        <v>421.83633637759692</v>
      </c>
      <c r="K21" s="34">
        <f>'Water Heater Stock'!K9*'Device Energy Use'!$D8</f>
        <v>665.17700082917941</v>
      </c>
      <c r="L21" s="34">
        <f>'Water Heater Stock'!L9*'Device Energy Use'!$D8</f>
        <v>1016.097145705932</v>
      </c>
      <c r="M21" s="34">
        <f>'Water Heater Stock'!M9*'Device Energy Use'!$D8</f>
        <v>1506.6738480042707</v>
      </c>
      <c r="N21" s="34">
        <f>'Water Heater Stock'!N9*'Device Energy Use'!$D8</f>
        <v>2172.4108212739548</v>
      </c>
      <c r="O21" s="34">
        <f>'Water Heater Stock'!O9*'Device Energy Use'!$D8</f>
        <v>3050.5200318064581</v>
      </c>
      <c r="P21" s="34">
        <f>'Water Heater Stock'!P9*'Device Energy Use'!$D8</f>
        <v>4177.6664156391744</v>
      </c>
      <c r="Q21" s="34">
        <f>'Water Heater Stock'!Q9*'Device Energy Use'!$D8</f>
        <v>5587.4024768205309</v>
      </c>
      <c r="R21" s="34">
        <f>'Water Heater Stock'!R9*'Device Energy Use'!$D8</f>
        <v>7307.6131403044328</v>
      </c>
      <c r="S21" s="34">
        <f>'Water Heater Stock'!S9*'Device Energy Use'!$D8</f>
        <v>9358.3216657509911</v>
      </c>
      <c r="T21" s="34">
        <f>'Water Heater Stock'!T9*'Device Energy Use'!$D8</f>
        <v>11750.158659102113</v>
      </c>
      <c r="U21" s="34">
        <f>'Water Heater Stock'!U9*'Device Energy Use'!$D8</f>
        <v>14483.678850970677</v>
      </c>
      <c r="V21" s="34">
        <f>'Water Heater Stock'!V9*'Device Energy Use'!$D8</f>
        <v>17549.558469511972</v>
      </c>
      <c r="W21" s="34">
        <f>'Water Heater Stock'!W9*'Device Energy Use'!$D8</f>
        <v>20929.562934998976</v>
      </c>
    </row>
    <row r="22" spans="1:23">
      <c r="A22" s="9" t="str">
        <f>'Device Energy Use'!A9</f>
        <v>Condensing Gas</v>
      </c>
      <c r="B22" s="34">
        <f>'Water Heater Stock'!B10*'Device Energy Use'!$D9</f>
        <v>0</v>
      </c>
      <c r="C22" s="34">
        <f>'Water Heater Stock'!C10*'Device Energy Use'!$D9</f>
        <v>9.5863575788474886</v>
      </c>
      <c r="D22" s="34">
        <f>'Water Heater Stock'!D10*'Device Energy Use'!$D9</f>
        <v>28.128733044396299</v>
      </c>
      <c r="E22" s="34">
        <f>'Water Heater Stock'!E10*'Device Energy Use'!$D9</f>
        <v>62.781060229319365</v>
      </c>
      <c r="F22" s="34">
        <f>'Water Heater Stock'!F10*'Device Energy Use'!$D9</f>
        <v>124.9920228870799</v>
      </c>
      <c r="G22" s="34">
        <f>'Water Heater Stock'!G10*'Device Energy Use'!$D9</f>
        <v>232.20319797373031</v>
      </c>
      <c r="H22" s="34">
        <f>'Water Heater Stock'!H10*'Device Energy Use'!$D9</f>
        <v>409.7648903110678</v>
      </c>
      <c r="I22" s="34">
        <f>'Water Heater Stock'!I10*'Device Energy Use'!$D9</f>
        <v>692.8836455218842</v>
      </c>
      <c r="J22" s="34">
        <f>'Water Heater Stock'!J10*'Device Energy Use'!$D9</f>
        <v>1128.3193129650967</v>
      </c>
      <c r="K22" s="34">
        <f>'Water Heater Stock'!K10*'Device Energy Use'!$D9</f>
        <v>1775.4671524663363</v>
      </c>
      <c r="L22" s="34">
        <f>'Water Heater Stock'!L10*'Device Energy Use'!$D9</f>
        <v>2706.4190275668198</v>
      </c>
      <c r="M22" s="34">
        <f>'Water Heater Stock'!M10*'Device Energy Use'!$D9</f>
        <v>4004.6284447148423</v>
      </c>
      <c r="N22" s="34">
        <f>'Water Heater Stock'!N10*'Device Energy Use'!$D9</f>
        <v>5761.933161369464</v>
      </c>
      <c r="O22" s="34">
        <f>'Water Heater Stock'!O10*'Device Energy Use'!$D9</f>
        <v>8073.9227102066116</v>
      </c>
      <c r="P22" s="34">
        <f>'Water Heater Stock'!P10*'Device Energy Use'!$D9</f>
        <v>11033.948475073532</v>
      </c>
      <c r="Q22" s="34">
        <f>'Water Heater Stock'!Q10*'Device Energy Use'!$D9</f>
        <v>14726.393284175945</v>
      </c>
      <c r="R22" s="34">
        <f>'Water Heater Stock'!R10*'Device Energy Use'!$D9</f>
        <v>19220.052457899565</v>
      </c>
      <c r="S22" s="34">
        <f>'Water Heater Stock'!S10*'Device Energy Use'!$D9</f>
        <v>24562.543275608063</v>
      </c>
      <c r="T22" s="34">
        <f>'Water Heater Stock'!T10*'Device Energy Use'!$D9</f>
        <v>30776.516748383703</v>
      </c>
      <c r="U22" s="34">
        <f>'Water Heater Stock'!U10*'Device Energy Use'!$D9</f>
        <v>37858.126575018279</v>
      </c>
      <c r="V22" s="34">
        <f>'Water Heater Stock'!V10*'Device Energy Use'!$D9</f>
        <v>45777.807727245512</v>
      </c>
      <c r="W22" s="34">
        <f>'Water Heater Stock'!W10*'Device Energy Use'!$D9</f>
        <v>54483.045099756433</v>
      </c>
    </row>
    <row r="24" spans="1:23">
      <c r="A24" s="12" t="s">
        <v>103</v>
      </c>
    </row>
    <row r="25" spans="1:23">
      <c r="A25" s="39" t="str">
        <f>'Device Energy Use'!A4</f>
        <v>Water Heat Ending</v>
      </c>
      <c r="B25" s="42">
        <f>'Water Heater Stock'!B4</f>
        <v>2014</v>
      </c>
      <c r="C25" s="42">
        <f>'Water Heater Stock'!C4</f>
        <v>2015</v>
      </c>
      <c r="D25" s="42">
        <f>'Water Heater Stock'!D4</f>
        <v>2016</v>
      </c>
      <c r="E25" s="42">
        <f>'Water Heater Stock'!E4</f>
        <v>2017</v>
      </c>
      <c r="F25" s="42">
        <f>'Water Heater Stock'!F4</f>
        <v>2018</v>
      </c>
      <c r="G25" s="42">
        <f>'Water Heater Stock'!G4</f>
        <v>2019</v>
      </c>
      <c r="H25" s="42">
        <f>'Water Heater Stock'!H4</f>
        <v>2020</v>
      </c>
      <c r="I25" s="42">
        <f>'Water Heater Stock'!I4</f>
        <v>2021</v>
      </c>
      <c r="J25" s="42">
        <f>'Water Heater Stock'!J4</f>
        <v>2022</v>
      </c>
      <c r="K25" s="42">
        <f>'Water Heater Stock'!K4</f>
        <v>2023</v>
      </c>
      <c r="L25" s="42">
        <f>'Water Heater Stock'!L4</f>
        <v>2024</v>
      </c>
      <c r="M25" s="42">
        <f>'Water Heater Stock'!M4</f>
        <v>2025</v>
      </c>
      <c r="N25" s="42">
        <f>'Water Heater Stock'!N4</f>
        <v>2026</v>
      </c>
      <c r="O25" s="42">
        <f>'Water Heater Stock'!O4</f>
        <v>2027</v>
      </c>
      <c r="P25" s="42">
        <f>'Water Heater Stock'!P4</f>
        <v>2028</v>
      </c>
      <c r="Q25" s="42">
        <f>'Water Heater Stock'!Q4</f>
        <v>2029</v>
      </c>
      <c r="R25" s="42">
        <f>'Water Heater Stock'!R4</f>
        <v>2030</v>
      </c>
      <c r="S25" s="42">
        <f>'Water Heater Stock'!S4</f>
        <v>2031</v>
      </c>
      <c r="T25" s="42">
        <f>'Water Heater Stock'!T4</f>
        <v>2032</v>
      </c>
      <c r="U25" s="42">
        <f>'Water Heater Stock'!U4</f>
        <v>2033</v>
      </c>
      <c r="V25" s="42">
        <f>'Water Heater Stock'!V4</f>
        <v>2034</v>
      </c>
      <c r="W25" s="42">
        <f>'Water Heater Stock'!W4</f>
        <v>2035</v>
      </c>
    </row>
    <row r="26" spans="1:23" ht="16.5" thickBot="1">
      <c r="A26" s="49" t="s">
        <v>48</v>
      </c>
      <c r="B26" s="50">
        <f t="shared" ref="B26:W26" si="8">SUM(B27:B31)</f>
        <v>1395847.332968795</v>
      </c>
      <c r="C26" s="50">
        <f t="shared" si="8"/>
        <v>1447209.680718729</v>
      </c>
      <c r="D26" s="50">
        <f t="shared" si="8"/>
        <v>1494903.2893436677</v>
      </c>
      <c r="E26" s="50">
        <f t="shared" si="8"/>
        <v>1539190.2116382534</v>
      </c>
      <c r="F26" s="50">
        <f t="shared" si="8"/>
        <v>1580313.782340369</v>
      </c>
      <c r="G26" s="50">
        <f t="shared" si="8"/>
        <v>1618499.9551351906</v>
      </c>
      <c r="H26" s="50">
        <f t="shared" si="8"/>
        <v>1653958.5441589532</v>
      </c>
      <c r="I26" s="50">
        <f t="shared" si="8"/>
        <v>1686884.3768238761</v>
      </c>
      <c r="J26" s="50">
        <f t="shared" si="8"/>
        <v>1717458.3642984473</v>
      </c>
      <c r="K26" s="50">
        <f t="shared" si="8"/>
        <v>1745848.4955248346</v>
      </c>
      <c r="L26" s="50">
        <f t="shared" si="8"/>
        <v>1772210.7602350516</v>
      </c>
      <c r="M26" s="50">
        <f t="shared" si="8"/>
        <v>1796690.0060373957</v>
      </c>
      <c r="N26" s="50">
        <f t="shared" si="8"/>
        <v>1819420.7342824293</v>
      </c>
      <c r="O26" s="50">
        <f t="shared" si="8"/>
        <v>1840527.8390813898</v>
      </c>
      <c r="P26" s="50">
        <f t="shared" si="8"/>
        <v>1860127.2935375669</v>
      </c>
      <c r="Q26" s="50">
        <f t="shared" si="8"/>
        <v>1878326.7869611601</v>
      </c>
      <c r="R26" s="50">
        <f t="shared" si="8"/>
        <v>1895226.3165687823</v>
      </c>
      <c r="S26" s="50">
        <f t="shared" si="8"/>
        <v>1910918.7369187172</v>
      </c>
      <c r="T26" s="50">
        <f t="shared" si="8"/>
        <v>1925490.2701007992</v>
      </c>
      <c r="U26" s="50">
        <f t="shared" si="8"/>
        <v>1939020.9794841614</v>
      </c>
      <c r="V26" s="50">
        <f t="shared" si="8"/>
        <v>1951585.2096258546</v>
      </c>
      <c r="W26" s="50">
        <f t="shared" si="8"/>
        <v>1963251.9947574274</v>
      </c>
    </row>
    <row r="27" spans="1:23" ht="16.5" thickTop="1">
      <c r="A27" s="14" t="str">
        <f>'Device Energy Use'!A5</f>
        <v>Electric Resistance</v>
      </c>
      <c r="B27" s="34">
        <f>'Water Heater Stock'!B15*'Device Energy Use'!$D5</f>
        <v>1395847.332968795</v>
      </c>
      <c r="C27" s="34">
        <f>'Water Heater Stock'!C15*'Device Energy Use'!$D5</f>
        <v>1296143.9520424525</v>
      </c>
      <c r="D27" s="34">
        <f>'Water Heater Stock'!D15*'Device Energy Use'!$D5</f>
        <v>1203562.2411822772</v>
      </c>
      <c r="E27" s="34">
        <f>'Water Heater Stock'!E15*'Device Energy Use'!$D5</f>
        <v>1117593.5096692573</v>
      </c>
      <c r="F27" s="34">
        <f>'Water Heater Stock'!F15*'Device Energy Use'!$D5</f>
        <v>1037765.401835739</v>
      </c>
      <c r="G27" s="34">
        <f>'Water Heater Stock'!G15*'Device Energy Use'!$D5</f>
        <v>963639.30170461489</v>
      </c>
      <c r="H27" s="34">
        <f>'Water Heater Stock'!H15*'Device Energy Use'!$D5</f>
        <v>894807.92301142809</v>
      </c>
      <c r="I27" s="34">
        <f>'Water Heater Stock'!I15*'Device Energy Use'!$D5</f>
        <v>830893.07136775472</v>
      </c>
      <c r="J27" s="34">
        <f>'Water Heater Stock'!J15*'Device Energy Use'!$D5</f>
        <v>771543.56627005793</v>
      </c>
      <c r="K27" s="34">
        <f>'Water Heater Stock'!K15*'Device Energy Use'!$D5</f>
        <v>716433.3115364823</v>
      </c>
      <c r="L27" s="34">
        <f>'Water Heater Stock'!L15*'Device Energy Use'!$D5</f>
        <v>665259.50356959074</v>
      </c>
      <c r="M27" s="34">
        <f>'Water Heater Stock'!M15*'Device Energy Use'!$D5</f>
        <v>617740.9676003342</v>
      </c>
      <c r="N27" s="34">
        <f>'Water Heater Stock'!N15*'Device Energy Use'!$D5</f>
        <v>573616.6127717389</v>
      </c>
      <c r="O27" s="34">
        <f>'Water Heater Stock'!O15*'Device Energy Use'!$D5</f>
        <v>532643.99757375754</v>
      </c>
      <c r="P27" s="34">
        <f>'Water Heater Stock'!P15*'Device Energy Use'!$D5</f>
        <v>494597.99774706061</v>
      </c>
      <c r="Q27" s="34">
        <f>'Water Heater Stock'!Q15*'Device Energy Use'!$D5</f>
        <v>459269.56933655631</v>
      </c>
      <c r="R27" s="34">
        <f>'Water Heater Stock'!R15*'Device Energy Use'!$D5</f>
        <v>426464.60009823082</v>
      </c>
      <c r="S27" s="34">
        <f>'Water Heater Stock'!S15*'Device Energy Use'!$D5</f>
        <v>396002.84294835723</v>
      </c>
      <c r="T27" s="34">
        <f>'Water Heater Stock'!T15*'Device Energy Use'!$D5</f>
        <v>367716.92559490312</v>
      </c>
      <c r="U27" s="34">
        <f>'Water Heater Stock'!U15*'Device Energy Use'!$D5</f>
        <v>341451.4309095529</v>
      </c>
      <c r="V27" s="34">
        <f>'Water Heater Stock'!V15*'Device Energy Use'!$D5</f>
        <v>317062.04298744199</v>
      </c>
      <c r="W27" s="34">
        <f>'Water Heater Stock'!W15*'Device Energy Use'!$D5</f>
        <v>294414.75420262467</v>
      </c>
    </row>
    <row r="28" spans="1:23">
      <c r="A28" s="14" t="str">
        <f>'Device Energy Use'!A6</f>
        <v>HPWH</v>
      </c>
      <c r="B28" s="34">
        <f>'Water Heater Stock'!B16*'Device Energy Use'!$D6</f>
        <v>0</v>
      </c>
      <c r="C28" s="34">
        <f>'Water Heater Stock'!C16*'Device Energy Use'!$D6</f>
        <v>0</v>
      </c>
      <c r="D28" s="34">
        <f>'Water Heater Stock'!D16*'Device Energy Use'!$D6</f>
        <v>0</v>
      </c>
      <c r="E28" s="34">
        <f>'Water Heater Stock'!E16*'Device Energy Use'!$D6</f>
        <v>0</v>
      </c>
      <c r="F28" s="34">
        <f>'Water Heater Stock'!F16*'Device Energy Use'!$D6</f>
        <v>0</v>
      </c>
      <c r="G28" s="34">
        <f>'Water Heater Stock'!G16*'Device Energy Use'!$D6</f>
        <v>0</v>
      </c>
      <c r="H28" s="34">
        <f>'Water Heater Stock'!H16*'Device Energy Use'!$D6</f>
        <v>0</v>
      </c>
      <c r="I28" s="34">
        <f>'Water Heater Stock'!I16*'Device Energy Use'!$D6</f>
        <v>0</v>
      </c>
      <c r="J28" s="34">
        <f>'Water Heater Stock'!J16*'Device Energy Use'!$D6</f>
        <v>0</v>
      </c>
      <c r="K28" s="34">
        <f>'Water Heater Stock'!K16*'Device Energy Use'!$D6</f>
        <v>0</v>
      </c>
      <c r="L28" s="34">
        <f>'Water Heater Stock'!L16*'Device Energy Use'!$D6</f>
        <v>0</v>
      </c>
      <c r="M28" s="34">
        <f>'Water Heater Stock'!M16*'Device Energy Use'!$D6</f>
        <v>0</v>
      </c>
      <c r="N28" s="34">
        <f>'Water Heater Stock'!N16*'Device Energy Use'!$D6</f>
        <v>0</v>
      </c>
      <c r="O28" s="34">
        <f>'Water Heater Stock'!O16*'Device Energy Use'!$D6</f>
        <v>0</v>
      </c>
      <c r="P28" s="34">
        <f>'Water Heater Stock'!P16*'Device Energy Use'!$D6</f>
        <v>0</v>
      </c>
      <c r="Q28" s="34">
        <f>'Water Heater Stock'!Q16*'Device Energy Use'!$D6</f>
        <v>0</v>
      </c>
      <c r="R28" s="34">
        <f>'Water Heater Stock'!R16*'Device Energy Use'!$D6</f>
        <v>0</v>
      </c>
      <c r="S28" s="34">
        <f>'Water Heater Stock'!S16*'Device Energy Use'!$D6</f>
        <v>0</v>
      </c>
      <c r="T28" s="34">
        <f>'Water Heater Stock'!T16*'Device Energy Use'!$D6</f>
        <v>0</v>
      </c>
      <c r="U28" s="34">
        <f>'Water Heater Stock'!U16*'Device Energy Use'!$D6</f>
        <v>0</v>
      </c>
      <c r="V28" s="34">
        <f>'Water Heater Stock'!V16*'Device Energy Use'!$D6</f>
        <v>0</v>
      </c>
      <c r="W28" s="34">
        <f>'Water Heater Stock'!W16*'Device Energy Use'!$D6</f>
        <v>0</v>
      </c>
    </row>
    <row r="29" spans="1:23">
      <c r="A29" s="14" t="str">
        <f>'Device Energy Use'!A7</f>
        <v>Gas Tank</v>
      </c>
      <c r="B29" s="34">
        <f>'Water Heater Stock'!B17*'Device Energy Use'!$D7</f>
        <v>0</v>
      </c>
      <c r="C29" s="34">
        <f>'Water Heater Stock'!C17*'Device Energy Use'!$D7</f>
        <v>151065.72867627646</v>
      </c>
      <c r="D29" s="34">
        <f>'Water Heater Stock'!D17*'Device Energy Use'!$D7</f>
        <v>291341.04816139035</v>
      </c>
      <c r="E29" s="34">
        <f>'Water Heater Stock'!E17*'Device Energy Use'!$D7</f>
        <v>421596.70196899609</v>
      </c>
      <c r="F29" s="34">
        <f>'Water Heater Stock'!F17*'Device Energy Use'!$D7</f>
        <v>542548.38050462992</v>
      </c>
      <c r="G29" s="34">
        <f>'Water Heater Stock'!G17*'Device Energy Use'!$D7</f>
        <v>654860.65343057574</v>
      </c>
      <c r="H29" s="34">
        <f>'Water Heater Stock'!H17*'Device Energy Use'!$D7</f>
        <v>759150.62114752526</v>
      </c>
      <c r="I29" s="34">
        <f>'Water Heater Stock'!I17*'Device Energy Use'!$D7</f>
        <v>855991.30545612145</v>
      </c>
      <c r="J29" s="34">
        <f>'Water Heater Stock'!J17*'Device Energy Use'!$D7</f>
        <v>945914.79802838934</v>
      </c>
      <c r="K29" s="34">
        <f>'Water Heater Stock'!K17*'Device Energy Use'!$D7</f>
        <v>1029415.1839883523</v>
      </c>
      <c r="L29" s="34">
        <f>'Water Heater Stock'!L17*'Device Energy Use'!$D7</f>
        <v>1106951.2566654608</v>
      </c>
      <c r="M29" s="34">
        <f>'Water Heater Stock'!M17*'Device Energy Use'!$D7</f>
        <v>1178949.0384370615</v>
      </c>
      <c r="N29" s="34">
        <f>'Water Heater Stock'!N17*'Device Energy Use'!$D7</f>
        <v>1245804.1215106905</v>
      </c>
      <c r="O29" s="34">
        <f>'Water Heater Stock'!O17*'Device Energy Use'!$D7</f>
        <v>1307883.8415076323</v>
      </c>
      <c r="P29" s="34">
        <f>'Water Heater Stock'!P17*'Device Energy Use'!$D7</f>
        <v>1365529.2957905063</v>
      </c>
      <c r="Q29" s="34">
        <f>'Water Heater Stock'!Q17*'Device Energy Use'!$D7</f>
        <v>1419057.2176246038</v>
      </c>
      <c r="R29" s="34">
        <f>'Water Heater Stock'!R17*'Device Energy Use'!$D7</f>
        <v>1468761.7164705514</v>
      </c>
      <c r="S29" s="34">
        <f>'Water Heater Stock'!S17*'Device Energy Use'!$D7</f>
        <v>1514915.8939703598</v>
      </c>
      <c r="T29" s="34">
        <f>'Water Heater Stock'!T17*'Device Energy Use'!$D7</f>
        <v>1557773.3445058961</v>
      </c>
      <c r="U29" s="34">
        <f>'Water Heater Stock'!U17*'Device Energy Use'!$D7</f>
        <v>1597569.5485746085</v>
      </c>
      <c r="V29" s="34">
        <f>'Water Heater Stock'!V17*'Device Energy Use'!$D7</f>
        <v>1634523.1666384127</v>
      </c>
      <c r="W29" s="34">
        <f>'Water Heater Stock'!W17*'Device Energy Use'!$D7</f>
        <v>1668837.2405548026</v>
      </c>
    </row>
    <row r="30" spans="1:23">
      <c r="A30" s="14" t="str">
        <f>'Device Energy Use'!A8</f>
        <v>Instant Gas</v>
      </c>
      <c r="B30" s="34">
        <f>'Water Heater Stock'!B18*'Device Energy Use'!$D8</f>
        <v>0</v>
      </c>
      <c r="C30" s="34">
        <f>'Water Heater Stock'!C18*'Device Energy Use'!$D8</f>
        <v>0</v>
      </c>
      <c r="D30" s="34">
        <f>'Water Heater Stock'!D18*'Device Energy Use'!$D8</f>
        <v>0</v>
      </c>
      <c r="E30" s="34">
        <f>'Water Heater Stock'!E18*'Device Energy Use'!$D8</f>
        <v>0</v>
      </c>
      <c r="F30" s="34">
        <f>'Water Heater Stock'!F18*'Device Energy Use'!$D8</f>
        <v>0</v>
      </c>
      <c r="G30" s="34">
        <f>'Water Heater Stock'!G18*'Device Energy Use'!$D8</f>
        <v>0</v>
      </c>
      <c r="H30" s="34">
        <f>'Water Heater Stock'!H18*'Device Energy Use'!$D8</f>
        <v>0</v>
      </c>
      <c r="I30" s="34">
        <f>'Water Heater Stock'!I18*'Device Energy Use'!$D8</f>
        <v>0</v>
      </c>
      <c r="J30" s="34">
        <f>'Water Heater Stock'!J18*'Device Energy Use'!$D8</f>
        <v>0</v>
      </c>
      <c r="K30" s="34">
        <f>'Water Heater Stock'!K18*'Device Energy Use'!$D8</f>
        <v>0</v>
      </c>
      <c r="L30" s="34">
        <f>'Water Heater Stock'!L18*'Device Energy Use'!$D8</f>
        <v>0</v>
      </c>
      <c r="M30" s="34">
        <f>'Water Heater Stock'!M18*'Device Energy Use'!$D8</f>
        <v>0</v>
      </c>
      <c r="N30" s="34">
        <f>'Water Heater Stock'!N18*'Device Energy Use'!$D8</f>
        <v>0</v>
      </c>
      <c r="O30" s="34">
        <f>'Water Heater Stock'!O18*'Device Energy Use'!$D8</f>
        <v>0</v>
      </c>
      <c r="P30" s="34">
        <f>'Water Heater Stock'!P18*'Device Energy Use'!$D8</f>
        <v>0</v>
      </c>
      <c r="Q30" s="34">
        <f>'Water Heater Stock'!Q18*'Device Energy Use'!$D8</f>
        <v>0</v>
      </c>
      <c r="R30" s="34">
        <f>'Water Heater Stock'!R18*'Device Energy Use'!$D8</f>
        <v>0</v>
      </c>
      <c r="S30" s="34">
        <f>'Water Heater Stock'!S18*'Device Energy Use'!$D8</f>
        <v>0</v>
      </c>
      <c r="T30" s="34">
        <f>'Water Heater Stock'!T18*'Device Energy Use'!$D8</f>
        <v>0</v>
      </c>
      <c r="U30" s="34">
        <f>'Water Heater Stock'!U18*'Device Energy Use'!$D8</f>
        <v>0</v>
      </c>
      <c r="V30" s="34">
        <f>'Water Heater Stock'!V18*'Device Energy Use'!$D8</f>
        <v>0</v>
      </c>
      <c r="W30" s="34">
        <f>'Water Heater Stock'!W18*'Device Energy Use'!$D8</f>
        <v>0</v>
      </c>
    </row>
    <row r="31" spans="1:23">
      <c r="A31" s="14" t="str">
        <f>'Device Energy Use'!A9</f>
        <v>Condensing Gas</v>
      </c>
      <c r="B31" s="34">
        <f>'Water Heater Stock'!B19*'Device Energy Use'!$D9</f>
        <v>0</v>
      </c>
      <c r="C31" s="34">
        <f>'Water Heater Stock'!C19*'Device Energy Use'!$D9</f>
        <v>0</v>
      </c>
      <c r="D31" s="34">
        <f>'Water Heater Stock'!D19*'Device Energy Use'!$D9</f>
        <v>0</v>
      </c>
      <c r="E31" s="34">
        <f>'Water Heater Stock'!E19*'Device Energy Use'!$D9</f>
        <v>0</v>
      </c>
      <c r="F31" s="34">
        <f>'Water Heater Stock'!F19*'Device Energy Use'!$D9</f>
        <v>0</v>
      </c>
      <c r="G31" s="34">
        <f>'Water Heater Stock'!G19*'Device Energy Use'!$D9</f>
        <v>0</v>
      </c>
      <c r="H31" s="34">
        <f>'Water Heater Stock'!H19*'Device Energy Use'!$D9</f>
        <v>0</v>
      </c>
      <c r="I31" s="34">
        <f>'Water Heater Stock'!I19*'Device Energy Use'!$D9</f>
        <v>0</v>
      </c>
      <c r="J31" s="34">
        <f>'Water Heater Stock'!J19*'Device Energy Use'!$D9</f>
        <v>0</v>
      </c>
      <c r="K31" s="34">
        <f>'Water Heater Stock'!K19*'Device Energy Use'!$D9</f>
        <v>0</v>
      </c>
      <c r="L31" s="34">
        <f>'Water Heater Stock'!L19*'Device Energy Use'!$D9</f>
        <v>0</v>
      </c>
      <c r="M31" s="34">
        <f>'Water Heater Stock'!M19*'Device Energy Use'!$D9</f>
        <v>0</v>
      </c>
      <c r="N31" s="34">
        <f>'Water Heater Stock'!N19*'Device Energy Use'!$D9</f>
        <v>0</v>
      </c>
      <c r="O31" s="34">
        <f>'Water Heater Stock'!O19*'Device Energy Use'!$D9</f>
        <v>0</v>
      </c>
      <c r="P31" s="34">
        <f>'Water Heater Stock'!P19*'Device Energy Use'!$D9</f>
        <v>0</v>
      </c>
      <c r="Q31" s="34">
        <f>'Water Heater Stock'!Q19*'Device Energy Use'!$D9</f>
        <v>0</v>
      </c>
      <c r="R31" s="34">
        <f>'Water Heater Stock'!R19*'Device Energy Use'!$D9</f>
        <v>0</v>
      </c>
      <c r="S31" s="34">
        <f>'Water Heater Stock'!S19*'Device Energy Use'!$D9</f>
        <v>0</v>
      </c>
      <c r="T31" s="34">
        <f>'Water Heater Stock'!T19*'Device Energy Use'!$D9</f>
        <v>0</v>
      </c>
      <c r="U31" s="34">
        <f>'Water Heater Stock'!U19*'Device Energy Use'!$D9</f>
        <v>0</v>
      </c>
      <c r="V31" s="34">
        <f>'Water Heater Stock'!V19*'Device Energy Use'!$D9</f>
        <v>0</v>
      </c>
      <c r="W31" s="34">
        <f>'Water Heater Stock'!W19*'Device Energy Use'!$D9</f>
        <v>0</v>
      </c>
    </row>
    <row r="34" spans="1:23">
      <c r="A34" s="12" t="s">
        <v>49</v>
      </c>
    </row>
    <row r="35" spans="1:23">
      <c r="A35" s="39" t="str">
        <f>'Device Energy Use'!A4</f>
        <v>Water Heat Ending</v>
      </c>
      <c r="B35" s="42">
        <f>'Water Heater Stock'!B4</f>
        <v>2014</v>
      </c>
      <c r="C35" s="42">
        <f>'Water Heater Stock'!C4</f>
        <v>2015</v>
      </c>
      <c r="D35" s="42">
        <f>'Water Heater Stock'!D4</f>
        <v>2016</v>
      </c>
      <c r="E35" s="42">
        <f>'Water Heater Stock'!E4</f>
        <v>2017</v>
      </c>
      <c r="F35" s="42">
        <f>'Water Heater Stock'!F4</f>
        <v>2018</v>
      </c>
      <c r="G35" s="42">
        <f>'Water Heater Stock'!G4</f>
        <v>2019</v>
      </c>
      <c r="H35" s="42">
        <f>'Water Heater Stock'!H4</f>
        <v>2020</v>
      </c>
      <c r="I35" s="42">
        <f>'Water Heater Stock'!I4</f>
        <v>2021</v>
      </c>
      <c r="J35" s="42">
        <f>'Water Heater Stock'!J4</f>
        <v>2022</v>
      </c>
      <c r="K35" s="42">
        <f>'Water Heater Stock'!K4</f>
        <v>2023</v>
      </c>
      <c r="L35" s="42">
        <f>'Water Heater Stock'!L4</f>
        <v>2024</v>
      </c>
      <c r="M35" s="42">
        <f>'Water Heater Stock'!M4</f>
        <v>2025</v>
      </c>
      <c r="N35" s="42">
        <f>'Water Heater Stock'!N4</f>
        <v>2026</v>
      </c>
      <c r="O35" s="42">
        <f>'Water Heater Stock'!O4</f>
        <v>2027</v>
      </c>
      <c r="P35" s="42">
        <f>'Water Heater Stock'!P4</f>
        <v>2028</v>
      </c>
      <c r="Q35" s="42">
        <f>'Water Heater Stock'!Q4</f>
        <v>2029</v>
      </c>
      <c r="R35" s="42">
        <f>'Water Heater Stock'!R4</f>
        <v>2030</v>
      </c>
      <c r="S35" s="42">
        <f>'Water Heater Stock'!S4</f>
        <v>2031</v>
      </c>
      <c r="T35" s="42">
        <f>'Water Heater Stock'!T4</f>
        <v>2032</v>
      </c>
      <c r="U35" s="42">
        <f>'Water Heater Stock'!U4</f>
        <v>2033</v>
      </c>
      <c r="V35" s="42">
        <f>'Water Heater Stock'!V4</f>
        <v>2034</v>
      </c>
      <c r="W35" s="42">
        <f>'Water Heater Stock'!W4</f>
        <v>2035</v>
      </c>
    </row>
    <row r="36" spans="1:23" ht="16.5" thickBot="1">
      <c r="A36" s="49" t="s">
        <v>48</v>
      </c>
      <c r="B36" s="50">
        <f t="shared" ref="B36:W36" si="9">SUM(B37:B41)</f>
        <v>409099.45280445338</v>
      </c>
      <c r="C36" s="50">
        <f t="shared" si="9"/>
        <v>402369.18858943949</v>
      </c>
      <c r="D36" s="50">
        <f t="shared" si="9"/>
        <v>396108.54135770001</v>
      </c>
      <c r="E36" s="50">
        <f t="shared" si="9"/>
        <v>390280.71728529292</v>
      </c>
      <c r="F36" s="50">
        <f t="shared" si="9"/>
        <v>384849.37247413414</v>
      </c>
      <c r="G36" s="50">
        <f t="shared" si="9"/>
        <v>379777.675321872</v>
      </c>
      <c r="H36" s="50">
        <f t="shared" si="9"/>
        <v>375027.28447449242</v>
      </c>
      <c r="I36" s="50">
        <f t="shared" si="9"/>
        <v>370557.32599232264</v>
      </c>
      <c r="J36" s="50">
        <f t="shared" si="9"/>
        <v>366323.49657135154</v>
      </c>
      <c r="K36" s="50">
        <f t="shared" si="9"/>
        <v>362277.45648945874</v>
      </c>
      <c r="L36" s="50">
        <f t="shared" si="9"/>
        <v>358366.69415113982</v>
      </c>
      <c r="M36" s="50">
        <f t="shared" si="9"/>
        <v>354535.0296721909</v>
      </c>
      <c r="N36" s="50">
        <f t="shared" si="9"/>
        <v>350723.86625391827</v>
      </c>
      <c r="O36" s="50">
        <f t="shared" si="9"/>
        <v>346874.1924350948</v>
      </c>
      <c r="P36" s="50">
        <f t="shared" si="9"/>
        <v>342929.19848428824</v>
      </c>
      <c r="Q36" s="50">
        <f t="shared" si="9"/>
        <v>338837.22680045944</v>
      </c>
      <c r="R36" s="50">
        <f t="shared" si="9"/>
        <v>334554.67129044764</v>
      </c>
      <c r="S36" s="50">
        <f t="shared" si="9"/>
        <v>330048.41265174089</v>
      </c>
      <c r="T36" s="50">
        <f t="shared" si="9"/>
        <v>325297.44216838974</v>
      </c>
      <c r="U36" s="50">
        <f t="shared" si="9"/>
        <v>320293.47118971829</v>
      </c>
      <c r="V36" s="50">
        <f t="shared" si="9"/>
        <v>315040.50501380337</v>
      </c>
      <c r="W36" s="50">
        <f t="shared" si="9"/>
        <v>309553.5271477928</v>
      </c>
    </row>
    <row r="37" spans="1:23" ht="16.5" thickTop="1">
      <c r="A37" s="38" t="str">
        <f>'Device Energy Use'!A5</f>
        <v>Electric Resistance</v>
      </c>
      <c r="B37" s="34">
        <f>'Water Heater Stock'!B6*'Device Energy Use'!$B5/1000</f>
        <v>409099.45280445338</v>
      </c>
      <c r="C37" s="34">
        <f>'Water Heater Stock'!C6*'Device Energy Use'!$B5/1000</f>
        <v>402367.60865800153</v>
      </c>
      <c r="D37" s="34">
        <f>'Water Heater Stock'!D6*'Device Energy Use'!$B5/1000</f>
        <v>396103.91607798601</v>
      </c>
      <c r="E37" s="34">
        <f>'Water Heater Stock'!E6*'Device Energy Use'!$B5/1000</f>
        <v>390270.42055130459</v>
      </c>
      <c r="F37" s="34">
        <f>'Water Heater Stock'!F6*'Device Energy Use'!$B5/1000</f>
        <v>384828.92885288247</v>
      </c>
      <c r="G37" s="34">
        <f>'Water Heater Stock'!G6*'Device Energy Use'!$B5/1000</f>
        <v>379739.80470795382</v>
      </c>
      <c r="H37" s="34">
        <f>'Water Heater Stock'!H6*'Device Energy Use'!$B5/1000</f>
        <v>374960.64927746181</v>
      </c>
      <c r="I37" s="34">
        <f>'Water Heater Stock'!I6*'Device Energy Use'!$B5/1000</f>
        <v>370444.98076839489</v>
      </c>
      <c r="J37" s="34">
        <f>'Water Heater Stock'!J6*'Device Energy Use'!$B5/1000</f>
        <v>366141.08544485021</v>
      </c>
      <c r="K37" s="34">
        <f>'Water Heater Stock'!K6*'Device Energy Use'!$B5/1000</f>
        <v>361991.26131448586</v>
      </c>
      <c r="L37" s="34">
        <f>'Water Heater Stock'!L6*'Device Energy Use'!$B5/1000</f>
        <v>357931.69927808456</v>
      </c>
      <c r="M37" s="34">
        <f>'Water Heater Stock'!M6*'Device Energy Use'!$B5/1000</f>
        <v>353893.22576644074</v>
      </c>
      <c r="N37" s="34">
        <f>'Water Heater Stock'!N6*'Device Energy Use'!$B5/1000</f>
        <v>349803.05041970575</v>
      </c>
      <c r="O37" s="34">
        <f>'Water Heater Stock'!O6*'Device Energy Use'!$B5/1000</f>
        <v>345587.51890928647</v>
      </c>
      <c r="P37" s="34">
        <f>'Water Heater Stock'!P6*'Device Energy Use'!$B5/1000</f>
        <v>341175.68224450632</v>
      </c>
      <c r="Q37" s="34">
        <f>'Water Heater Stock'!Q6*'Device Energy Use'!$B5/1000</f>
        <v>336503.30139862181</v>
      </c>
      <c r="R37" s="34">
        <f>'Water Heater Stock'!R6*'Device Energy Use'!$B5/1000</f>
        <v>331516.7665519708</v>
      </c>
      <c r="S37" s="34">
        <f>'Water Heater Stock'!S6*'Device Energy Use'!$B5/1000</f>
        <v>326176.37502307008</v>
      </c>
      <c r="T37" s="34">
        <f>'Water Heater Stock'!T6*'Device Energy Use'!$B5/1000</f>
        <v>320458.50308017212</v>
      </c>
      <c r="U37" s="34">
        <f>'Water Heater Stock'!U6*'Device Energy Use'!$B5/1000</f>
        <v>314356.40354699455</v>
      </c>
      <c r="V37" s="34">
        <f>'Water Heater Stock'!V6*'Device Energy Use'!$B5/1000</f>
        <v>307879.60646818159</v>
      </c>
      <c r="W37" s="34">
        <f>'Water Heater Stock'!W6*'Device Energy Use'!$B5/1000</f>
        <v>301052.12488148321</v>
      </c>
    </row>
    <row r="38" spans="1:23">
      <c r="A38" s="38" t="str">
        <f>'Device Energy Use'!A6</f>
        <v>HPWH</v>
      </c>
      <c r="B38" s="34">
        <f>'Water Heater Stock'!B7*'Device Energy Use'!$B6/1000</f>
        <v>0</v>
      </c>
      <c r="C38" s="34">
        <f>'Water Heater Stock'!C7*'Device Energy Use'!$B6/1000</f>
        <v>1.5799314379730618</v>
      </c>
      <c r="D38" s="34">
        <f>'Water Heater Stock'!D7*'Device Energy Use'!$B6/1000</f>
        <v>4.6252797139946376</v>
      </c>
      <c r="E38" s="34">
        <f>'Water Heater Stock'!E7*'Device Energy Use'!$B6/1000</f>
        <v>10.296733988317339</v>
      </c>
      <c r="F38" s="34">
        <f>'Water Heater Stock'!F7*'Device Energy Use'!$B6/1000</f>
        <v>20.44362125167055</v>
      </c>
      <c r="G38" s="34">
        <f>'Water Heater Stock'!G7*'Device Energy Use'!$B6/1000</f>
        <v>37.870613918191012</v>
      </c>
      <c r="H38" s="34">
        <f>'Water Heater Stock'!H7*'Device Energy Use'!$B6/1000</f>
        <v>66.635197030637784</v>
      </c>
      <c r="I38" s="34">
        <f>'Water Heater Stock'!I7*'Device Energy Use'!$B6/1000</f>
        <v>112.34522392773339</v>
      </c>
      <c r="J38" s="34">
        <f>'Water Heater Stock'!J7*'Device Energy Use'!$B6/1000</f>
        <v>182.41112650131572</v>
      </c>
      <c r="K38" s="34">
        <f>'Water Heater Stock'!K7*'Device Energy Use'!$B6/1000</f>
        <v>286.19517497286881</v>
      </c>
      <c r="L38" s="34">
        <f>'Water Heater Stock'!L7*'Device Energy Use'!$B6/1000</f>
        <v>434.99487305525975</v>
      </c>
      <c r="M38" s="34">
        <f>'Water Heater Stock'!M7*'Device Energy Use'!$B6/1000</f>
        <v>641.80390575016304</v>
      </c>
      <c r="N38" s="34">
        <f>'Water Heater Stock'!N7*'Device Energy Use'!$B6/1000</f>
        <v>920.81583421251491</v>
      </c>
      <c r="O38" s="34">
        <f>'Water Heater Stock'!O7*'Device Energy Use'!$B6/1000</f>
        <v>1286.6735258083113</v>
      </c>
      <c r="P38" s="34">
        <f>'Water Heater Stock'!P7*'Device Energy Use'!$B6/1000</f>
        <v>1753.5162397818949</v>
      </c>
      <c r="Q38" s="34">
        <f>'Water Heater Stock'!Q7*'Device Energy Use'!$B6/1000</f>
        <v>2333.9254018376059</v>
      </c>
      <c r="R38" s="34">
        <f>'Water Heater Stock'!R7*'Device Energy Use'!$B6/1000</f>
        <v>3037.9047384768251</v>
      </c>
      <c r="S38" s="34">
        <f>'Water Heater Stock'!S7*'Device Energy Use'!$B6/1000</f>
        <v>3872.0376286707892</v>
      </c>
      <c r="T38" s="34">
        <f>'Water Heater Stock'!T7*'Device Energy Use'!$B6/1000</f>
        <v>4838.9390882176294</v>
      </c>
      <c r="U38" s="34">
        <f>'Water Heater Stock'!U7*'Device Energy Use'!$B6/1000</f>
        <v>5937.067642723724</v>
      </c>
      <c r="V38" s="34">
        <f>'Water Heater Stock'!V7*'Device Energy Use'!$B6/1000</f>
        <v>7160.8985456218043</v>
      </c>
      <c r="W38" s="34">
        <f>'Water Heater Stock'!W7*'Device Energy Use'!$B6/1000</f>
        <v>8501.402266309593</v>
      </c>
    </row>
    <row r="39" spans="1:23">
      <c r="A39" s="38" t="str">
        <f>'Device Energy Use'!A7</f>
        <v>Gas Tank</v>
      </c>
      <c r="B39" s="34">
        <f>'Water Heater Stock'!B8*'Device Energy Use'!$B7/1000</f>
        <v>0</v>
      </c>
      <c r="C39" s="34">
        <f>'Water Heater Stock'!C8*'Device Energy Use'!$B7/1000</f>
        <v>0</v>
      </c>
      <c r="D39" s="34">
        <f>'Water Heater Stock'!D8*'Device Energy Use'!$B7/1000</f>
        <v>0</v>
      </c>
      <c r="E39" s="34">
        <f>'Water Heater Stock'!E8*'Device Energy Use'!$B7/1000</f>
        <v>0</v>
      </c>
      <c r="F39" s="34">
        <f>'Water Heater Stock'!F8*'Device Energy Use'!$B7/1000</f>
        <v>0</v>
      </c>
      <c r="G39" s="34">
        <f>'Water Heater Stock'!G8*'Device Energy Use'!$B7/1000</f>
        <v>0</v>
      </c>
      <c r="H39" s="34">
        <f>'Water Heater Stock'!H8*'Device Energy Use'!$B7/1000</f>
        <v>0</v>
      </c>
      <c r="I39" s="34">
        <f>'Water Heater Stock'!I8*'Device Energy Use'!$B7/1000</f>
        <v>0</v>
      </c>
      <c r="J39" s="34">
        <f>'Water Heater Stock'!J8*'Device Energy Use'!$B7/1000</f>
        <v>0</v>
      </c>
      <c r="K39" s="34">
        <f>'Water Heater Stock'!K8*'Device Energy Use'!$B7/1000</f>
        <v>0</v>
      </c>
      <c r="L39" s="34">
        <f>'Water Heater Stock'!L8*'Device Energy Use'!$B7/1000</f>
        <v>0</v>
      </c>
      <c r="M39" s="34">
        <f>'Water Heater Stock'!M8*'Device Energy Use'!$B7/1000</f>
        <v>0</v>
      </c>
      <c r="N39" s="34">
        <f>'Water Heater Stock'!N8*'Device Energy Use'!$B7/1000</f>
        <v>0</v>
      </c>
      <c r="O39" s="34">
        <f>'Water Heater Stock'!O8*'Device Energy Use'!$B7/1000</f>
        <v>0</v>
      </c>
      <c r="P39" s="34">
        <f>'Water Heater Stock'!P8*'Device Energy Use'!$B7/1000</f>
        <v>0</v>
      </c>
      <c r="Q39" s="34">
        <f>'Water Heater Stock'!Q8*'Device Energy Use'!$B7/1000</f>
        <v>0</v>
      </c>
      <c r="R39" s="34">
        <f>'Water Heater Stock'!R8*'Device Energy Use'!$B7/1000</f>
        <v>0</v>
      </c>
      <c r="S39" s="34">
        <f>'Water Heater Stock'!S8*'Device Energy Use'!$B7/1000</f>
        <v>0</v>
      </c>
      <c r="T39" s="34">
        <f>'Water Heater Stock'!T8*'Device Energy Use'!$B7/1000</f>
        <v>0</v>
      </c>
      <c r="U39" s="34">
        <f>'Water Heater Stock'!U8*'Device Energy Use'!$B7/1000</f>
        <v>0</v>
      </c>
      <c r="V39" s="34">
        <f>'Water Heater Stock'!V8*'Device Energy Use'!$B7/1000</f>
        <v>0</v>
      </c>
      <c r="W39" s="34">
        <f>'Water Heater Stock'!W8*'Device Energy Use'!$B7/1000</f>
        <v>0</v>
      </c>
    </row>
    <row r="40" spans="1:23">
      <c r="A40" s="38" t="str">
        <f>'Device Energy Use'!A8</f>
        <v>Instant Gas</v>
      </c>
      <c r="B40" s="34">
        <f>'Water Heater Stock'!B9*'Device Energy Use'!$B8/1000</f>
        <v>0</v>
      </c>
      <c r="C40" s="34">
        <f>'Water Heater Stock'!C9*'Device Energy Use'!$B8/1000</f>
        <v>0</v>
      </c>
      <c r="D40" s="34">
        <f>'Water Heater Stock'!D9*'Device Energy Use'!$B8/1000</f>
        <v>0</v>
      </c>
      <c r="E40" s="34">
        <f>'Water Heater Stock'!E9*'Device Energy Use'!$B8/1000</f>
        <v>0</v>
      </c>
      <c r="F40" s="34">
        <f>'Water Heater Stock'!F9*'Device Energy Use'!$B8/1000</f>
        <v>0</v>
      </c>
      <c r="G40" s="34">
        <f>'Water Heater Stock'!G9*'Device Energy Use'!$B8/1000</f>
        <v>0</v>
      </c>
      <c r="H40" s="34">
        <f>'Water Heater Stock'!H9*'Device Energy Use'!$B8/1000</f>
        <v>0</v>
      </c>
      <c r="I40" s="34">
        <f>'Water Heater Stock'!I9*'Device Energy Use'!$B8/1000</f>
        <v>0</v>
      </c>
      <c r="J40" s="34">
        <f>'Water Heater Stock'!J9*'Device Energy Use'!$B8/1000</f>
        <v>0</v>
      </c>
      <c r="K40" s="34">
        <f>'Water Heater Stock'!K9*'Device Energy Use'!$B8/1000</f>
        <v>0</v>
      </c>
      <c r="L40" s="34">
        <f>'Water Heater Stock'!L9*'Device Energy Use'!$B8/1000</f>
        <v>0</v>
      </c>
      <c r="M40" s="34">
        <f>'Water Heater Stock'!M9*'Device Energy Use'!$B8/1000</f>
        <v>0</v>
      </c>
      <c r="N40" s="34">
        <f>'Water Heater Stock'!N9*'Device Energy Use'!$B8/1000</f>
        <v>0</v>
      </c>
      <c r="O40" s="34">
        <f>'Water Heater Stock'!O9*'Device Energy Use'!$B8/1000</f>
        <v>0</v>
      </c>
      <c r="P40" s="34">
        <f>'Water Heater Stock'!P9*'Device Energy Use'!$B8/1000</f>
        <v>0</v>
      </c>
      <c r="Q40" s="34">
        <f>'Water Heater Stock'!Q9*'Device Energy Use'!$B8/1000</f>
        <v>0</v>
      </c>
      <c r="R40" s="34">
        <f>'Water Heater Stock'!R9*'Device Energy Use'!$B8/1000</f>
        <v>0</v>
      </c>
      <c r="S40" s="34">
        <f>'Water Heater Stock'!S9*'Device Energy Use'!$B8/1000</f>
        <v>0</v>
      </c>
      <c r="T40" s="34">
        <f>'Water Heater Stock'!T9*'Device Energy Use'!$B8/1000</f>
        <v>0</v>
      </c>
      <c r="U40" s="34">
        <f>'Water Heater Stock'!U9*'Device Energy Use'!$B8/1000</f>
        <v>0</v>
      </c>
      <c r="V40" s="34">
        <f>'Water Heater Stock'!V9*'Device Energy Use'!$B8/1000</f>
        <v>0</v>
      </c>
      <c r="W40" s="34">
        <f>'Water Heater Stock'!W9*'Device Energy Use'!$B8/1000</f>
        <v>0</v>
      </c>
    </row>
    <row r="41" spans="1:23">
      <c r="A41" s="38" t="str">
        <f>'Device Energy Use'!A9</f>
        <v>Condensing Gas</v>
      </c>
      <c r="B41" s="34">
        <f>'Water Heater Stock'!B10*'Device Energy Use'!$B9/1000</f>
        <v>0</v>
      </c>
      <c r="C41" s="34">
        <f>'Water Heater Stock'!C10*'Device Energy Use'!$B9/1000</f>
        <v>0</v>
      </c>
      <c r="D41" s="34">
        <f>'Water Heater Stock'!D10*'Device Energy Use'!$B9/1000</f>
        <v>0</v>
      </c>
      <c r="E41" s="34">
        <f>'Water Heater Stock'!E10*'Device Energy Use'!$B9/1000</f>
        <v>0</v>
      </c>
      <c r="F41" s="34">
        <f>'Water Heater Stock'!F10*'Device Energy Use'!$B9/1000</f>
        <v>0</v>
      </c>
      <c r="G41" s="34">
        <f>'Water Heater Stock'!G10*'Device Energy Use'!$B9/1000</f>
        <v>0</v>
      </c>
      <c r="H41" s="34">
        <f>'Water Heater Stock'!H10*'Device Energy Use'!$B9/1000</f>
        <v>0</v>
      </c>
      <c r="I41" s="34">
        <f>'Water Heater Stock'!I10*'Device Energy Use'!$B9/1000</f>
        <v>0</v>
      </c>
      <c r="J41" s="34">
        <f>'Water Heater Stock'!J10*'Device Energy Use'!$B9/1000</f>
        <v>0</v>
      </c>
      <c r="K41" s="34">
        <f>'Water Heater Stock'!K10*'Device Energy Use'!$B9/1000</f>
        <v>0</v>
      </c>
      <c r="L41" s="34">
        <f>'Water Heater Stock'!L10*'Device Energy Use'!$B9/1000</f>
        <v>0</v>
      </c>
      <c r="M41" s="34">
        <f>'Water Heater Stock'!M10*'Device Energy Use'!$B9/1000</f>
        <v>0</v>
      </c>
      <c r="N41" s="34">
        <f>'Water Heater Stock'!N10*'Device Energy Use'!$B9/1000</f>
        <v>0</v>
      </c>
      <c r="O41" s="34">
        <f>'Water Heater Stock'!O10*'Device Energy Use'!$B9/1000</f>
        <v>0</v>
      </c>
      <c r="P41" s="34">
        <f>'Water Heater Stock'!P10*'Device Energy Use'!$B9/1000</f>
        <v>0</v>
      </c>
      <c r="Q41" s="34">
        <f>'Water Heater Stock'!Q10*'Device Energy Use'!$B9/1000</f>
        <v>0</v>
      </c>
      <c r="R41" s="34">
        <f>'Water Heater Stock'!R10*'Device Energy Use'!$B9/1000</f>
        <v>0</v>
      </c>
      <c r="S41" s="34">
        <f>'Water Heater Stock'!S10*'Device Energy Use'!$B9/1000</f>
        <v>0</v>
      </c>
      <c r="T41" s="34">
        <f>'Water Heater Stock'!T10*'Device Energy Use'!$B9/1000</f>
        <v>0</v>
      </c>
      <c r="U41" s="34">
        <f>'Water Heater Stock'!U10*'Device Energy Use'!$B9/1000</f>
        <v>0</v>
      </c>
      <c r="V41" s="34">
        <f>'Water Heater Stock'!V10*'Device Energy Use'!$B9/1000</f>
        <v>0</v>
      </c>
      <c r="W41" s="34">
        <f>'Water Heater Stock'!W10*'Device Energy Use'!$B9/1000</f>
        <v>0</v>
      </c>
    </row>
    <row r="42" spans="1:23">
      <c r="A42" s="38"/>
    </row>
    <row r="43" spans="1:23">
      <c r="A43" s="12" t="s">
        <v>104</v>
      </c>
    </row>
    <row r="44" spans="1:23">
      <c r="A44" s="39" t="str">
        <f>'Device Energy Use'!A4</f>
        <v>Water Heat Ending</v>
      </c>
      <c r="B44" s="42">
        <f>'Water Heater Stock'!B13</f>
        <v>2014</v>
      </c>
      <c r="C44" s="42">
        <f>'Water Heater Stock'!C13</f>
        <v>2015</v>
      </c>
      <c r="D44" s="42">
        <f>'Water Heater Stock'!D13</f>
        <v>2016</v>
      </c>
      <c r="E44" s="42">
        <f>'Water Heater Stock'!E13</f>
        <v>2017</v>
      </c>
      <c r="F44" s="42">
        <f>'Water Heater Stock'!F13</f>
        <v>2018</v>
      </c>
      <c r="G44" s="42">
        <f>'Water Heater Stock'!G13</f>
        <v>2019</v>
      </c>
      <c r="H44" s="42">
        <f>'Water Heater Stock'!H13</f>
        <v>2020</v>
      </c>
      <c r="I44" s="42">
        <f>'Water Heater Stock'!I13</f>
        <v>2021</v>
      </c>
      <c r="J44" s="42">
        <f>'Water Heater Stock'!J13</f>
        <v>2022</v>
      </c>
      <c r="K44" s="42">
        <f>'Water Heater Stock'!K13</f>
        <v>2023</v>
      </c>
      <c r="L44" s="42">
        <f>'Water Heater Stock'!L13</f>
        <v>2024</v>
      </c>
      <c r="M44" s="42">
        <f>'Water Heater Stock'!M13</f>
        <v>2025</v>
      </c>
      <c r="N44" s="42">
        <f>'Water Heater Stock'!N13</f>
        <v>2026</v>
      </c>
      <c r="O44" s="42">
        <f>'Water Heater Stock'!O13</f>
        <v>2027</v>
      </c>
      <c r="P44" s="42">
        <f>'Water Heater Stock'!P13</f>
        <v>2028</v>
      </c>
      <c r="Q44" s="42">
        <f>'Water Heater Stock'!Q13</f>
        <v>2029</v>
      </c>
      <c r="R44" s="42">
        <f>'Water Heater Stock'!R13</f>
        <v>2030</v>
      </c>
      <c r="S44" s="42">
        <f>'Water Heater Stock'!S13</f>
        <v>2031</v>
      </c>
      <c r="T44" s="42">
        <f>'Water Heater Stock'!T13</f>
        <v>2032</v>
      </c>
      <c r="U44" s="42">
        <f>'Water Heater Stock'!U13</f>
        <v>2033</v>
      </c>
      <c r="V44" s="42">
        <f>'Water Heater Stock'!V13</f>
        <v>2034</v>
      </c>
      <c r="W44" s="42">
        <f>'Water Heater Stock'!W13</f>
        <v>2035</v>
      </c>
    </row>
    <row r="45" spans="1:23" ht="16.5" thickBot="1">
      <c r="A45" s="49" t="s">
        <v>48</v>
      </c>
      <c r="B45" s="50">
        <f t="shared" ref="B45:W45" si="10">SUM(B46:B50)</f>
        <v>409099.45280445338</v>
      </c>
      <c r="C45" s="50">
        <f t="shared" si="10"/>
        <v>379878.06331842102</v>
      </c>
      <c r="D45" s="50">
        <f t="shared" si="10"/>
        <v>352743.91593853378</v>
      </c>
      <c r="E45" s="50">
        <f t="shared" si="10"/>
        <v>327547.92194292421</v>
      </c>
      <c r="F45" s="50">
        <f t="shared" si="10"/>
        <v>304151.6418041439</v>
      </c>
      <c r="G45" s="50">
        <f t="shared" si="10"/>
        <v>282426.5245324194</v>
      </c>
      <c r="H45" s="50">
        <f t="shared" si="10"/>
        <v>262253.20135153225</v>
      </c>
      <c r="I45" s="50">
        <f t="shared" si="10"/>
        <v>243520.82982642282</v>
      </c>
      <c r="J45" s="50">
        <f t="shared" si="10"/>
        <v>226126.48483882117</v>
      </c>
      <c r="K45" s="50">
        <f t="shared" si="10"/>
        <v>209974.59306461966</v>
      </c>
      <c r="L45" s="50">
        <f t="shared" si="10"/>
        <v>194976.40784571826</v>
      </c>
      <c r="M45" s="50">
        <f t="shared" si="10"/>
        <v>181049.52157102409</v>
      </c>
      <c r="N45" s="50">
        <f t="shared" si="10"/>
        <v>168117.41288737953</v>
      </c>
      <c r="O45" s="50">
        <f t="shared" si="10"/>
        <v>156109.02625256669</v>
      </c>
      <c r="P45" s="50">
        <f t="shared" si="10"/>
        <v>144958.38152024051</v>
      </c>
      <c r="Q45" s="50">
        <f t="shared" si="10"/>
        <v>134604.21141165192</v>
      </c>
      <c r="R45" s="50">
        <f t="shared" si="10"/>
        <v>124989.62488224819</v>
      </c>
      <c r="S45" s="50">
        <f t="shared" si="10"/>
        <v>116061.79453351618</v>
      </c>
      <c r="T45" s="50">
        <f t="shared" si="10"/>
        <v>107771.66635255073</v>
      </c>
      <c r="U45" s="50">
        <f t="shared" si="10"/>
        <v>100073.69018451139</v>
      </c>
      <c r="V45" s="50">
        <f t="shared" si="10"/>
        <v>92925.569457046295</v>
      </c>
      <c r="W45" s="50">
        <f t="shared" si="10"/>
        <v>86288.028781542991</v>
      </c>
    </row>
    <row r="46" spans="1:23" ht="16.5" thickTop="1">
      <c r="A46" s="38" t="str">
        <f>'Device Energy Use'!A5</f>
        <v>Electric Resistance</v>
      </c>
      <c r="B46" s="34">
        <f>'Water Heater Stock'!B15*'Device Energy Use'!$B5/1000</f>
        <v>409099.45280445338</v>
      </c>
      <c r="C46" s="34">
        <f>'Water Heater Stock'!C15*'Device Energy Use'!$B5/1000</f>
        <v>379878.06331842102</v>
      </c>
      <c r="D46" s="34">
        <f>'Water Heater Stock'!D15*'Device Energy Use'!$B5/1000</f>
        <v>352743.91593853378</v>
      </c>
      <c r="E46" s="34">
        <f>'Water Heater Stock'!E15*'Device Energy Use'!$B5/1000</f>
        <v>327547.92194292421</v>
      </c>
      <c r="F46" s="34">
        <f>'Water Heater Stock'!F15*'Device Energy Use'!$B5/1000</f>
        <v>304151.6418041439</v>
      </c>
      <c r="G46" s="34">
        <f>'Water Heater Stock'!G15*'Device Energy Use'!$B5/1000</f>
        <v>282426.5245324194</v>
      </c>
      <c r="H46" s="34">
        <f>'Water Heater Stock'!H15*'Device Energy Use'!$B5/1000</f>
        <v>262253.20135153225</v>
      </c>
      <c r="I46" s="34">
        <f>'Water Heater Stock'!I15*'Device Energy Use'!$B5/1000</f>
        <v>243520.82982642282</v>
      </c>
      <c r="J46" s="34">
        <f>'Water Heater Stock'!J15*'Device Energy Use'!$B5/1000</f>
        <v>226126.48483882117</v>
      </c>
      <c r="K46" s="34">
        <f>'Water Heater Stock'!K15*'Device Energy Use'!$B5/1000</f>
        <v>209974.59306461966</v>
      </c>
      <c r="L46" s="34">
        <f>'Water Heater Stock'!L15*'Device Energy Use'!$B5/1000</f>
        <v>194976.40784571826</v>
      </c>
      <c r="M46" s="34">
        <f>'Water Heater Stock'!M15*'Device Energy Use'!$B5/1000</f>
        <v>181049.52157102409</v>
      </c>
      <c r="N46" s="34">
        <f>'Water Heater Stock'!N15*'Device Energy Use'!$B5/1000</f>
        <v>168117.41288737953</v>
      </c>
      <c r="O46" s="34">
        <f>'Water Heater Stock'!O15*'Device Energy Use'!$B5/1000</f>
        <v>156109.02625256669</v>
      </c>
      <c r="P46" s="34">
        <f>'Water Heater Stock'!P15*'Device Energy Use'!$B5/1000</f>
        <v>144958.38152024051</v>
      </c>
      <c r="Q46" s="34">
        <f>'Water Heater Stock'!Q15*'Device Energy Use'!$B5/1000</f>
        <v>134604.21141165192</v>
      </c>
      <c r="R46" s="34">
        <f>'Water Heater Stock'!R15*'Device Energy Use'!$B5/1000</f>
        <v>124989.62488224819</v>
      </c>
      <c r="S46" s="34">
        <f>'Water Heater Stock'!S15*'Device Energy Use'!$B5/1000</f>
        <v>116061.79453351618</v>
      </c>
      <c r="T46" s="34">
        <f>'Water Heater Stock'!T15*'Device Energy Use'!$B5/1000</f>
        <v>107771.66635255073</v>
      </c>
      <c r="U46" s="34">
        <f>'Water Heater Stock'!U15*'Device Energy Use'!$B5/1000</f>
        <v>100073.69018451139</v>
      </c>
      <c r="V46" s="34">
        <f>'Water Heater Stock'!V15*'Device Energy Use'!$B5/1000</f>
        <v>92925.569457046295</v>
      </c>
      <c r="W46" s="34">
        <f>'Water Heater Stock'!W15*'Device Energy Use'!$B5/1000</f>
        <v>86288.028781542991</v>
      </c>
    </row>
    <row r="47" spans="1:23">
      <c r="A47" s="38" t="str">
        <f>'Device Energy Use'!A6</f>
        <v>HPWH</v>
      </c>
      <c r="B47" s="34">
        <f>'Water Heater Stock'!B16*'Device Energy Use'!$B6/1000</f>
        <v>0</v>
      </c>
      <c r="C47" s="34">
        <f>'Water Heater Stock'!C16*'Device Energy Use'!$B6/1000</f>
        <v>0</v>
      </c>
      <c r="D47" s="34">
        <f>'Water Heater Stock'!D16*'Device Energy Use'!$B6/1000</f>
        <v>0</v>
      </c>
      <c r="E47" s="34">
        <f>'Water Heater Stock'!E16*'Device Energy Use'!$B6/1000</f>
        <v>0</v>
      </c>
      <c r="F47" s="34">
        <f>'Water Heater Stock'!F16*'Device Energy Use'!$B6/1000</f>
        <v>0</v>
      </c>
      <c r="G47" s="34">
        <f>'Water Heater Stock'!G16*'Device Energy Use'!$B6/1000</f>
        <v>0</v>
      </c>
      <c r="H47" s="34">
        <f>'Water Heater Stock'!H16*'Device Energy Use'!$B6/1000</f>
        <v>0</v>
      </c>
      <c r="I47" s="34">
        <f>'Water Heater Stock'!I16*'Device Energy Use'!$B6/1000</f>
        <v>0</v>
      </c>
      <c r="J47" s="34">
        <f>'Water Heater Stock'!J16*'Device Energy Use'!$B6/1000</f>
        <v>0</v>
      </c>
      <c r="K47" s="34">
        <f>'Water Heater Stock'!K16*'Device Energy Use'!$B6/1000</f>
        <v>0</v>
      </c>
      <c r="L47" s="34">
        <f>'Water Heater Stock'!L16*'Device Energy Use'!$B6/1000</f>
        <v>0</v>
      </c>
      <c r="M47" s="34">
        <f>'Water Heater Stock'!M16*'Device Energy Use'!$B6/1000</f>
        <v>0</v>
      </c>
      <c r="N47" s="34">
        <f>'Water Heater Stock'!N16*'Device Energy Use'!$B6/1000</f>
        <v>0</v>
      </c>
      <c r="O47" s="34">
        <f>'Water Heater Stock'!O16*'Device Energy Use'!$B6/1000</f>
        <v>0</v>
      </c>
      <c r="P47" s="34">
        <f>'Water Heater Stock'!P16*'Device Energy Use'!$B6/1000</f>
        <v>0</v>
      </c>
      <c r="Q47" s="34">
        <f>'Water Heater Stock'!Q16*'Device Energy Use'!$B6/1000</f>
        <v>0</v>
      </c>
      <c r="R47" s="34">
        <f>'Water Heater Stock'!R16*'Device Energy Use'!$B6/1000</f>
        <v>0</v>
      </c>
      <c r="S47" s="34">
        <f>'Water Heater Stock'!S16*'Device Energy Use'!$B6/1000</f>
        <v>0</v>
      </c>
      <c r="T47" s="34">
        <f>'Water Heater Stock'!T16*'Device Energy Use'!$B6/1000</f>
        <v>0</v>
      </c>
      <c r="U47" s="34">
        <f>'Water Heater Stock'!U16*'Device Energy Use'!$B6/1000</f>
        <v>0</v>
      </c>
      <c r="V47" s="34">
        <f>'Water Heater Stock'!V16*'Device Energy Use'!$B6/1000</f>
        <v>0</v>
      </c>
      <c r="W47" s="34">
        <f>'Water Heater Stock'!W16*'Device Energy Use'!$B6/1000</f>
        <v>0</v>
      </c>
    </row>
    <row r="48" spans="1:23">
      <c r="A48" s="38" t="str">
        <f>'Device Energy Use'!A7</f>
        <v>Gas Tank</v>
      </c>
      <c r="B48" s="34">
        <f>'Water Heater Stock'!B17*'Device Energy Use'!$B7/1000</f>
        <v>0</v>
      </c>
      <c r="C48" s="34">
        <f>'Water Heater Stock'!C17*'Device Energy Use'!$B7/1000</f>
        <v>0</v>
      </c>
      <c r="D48" s="34">
        <f>'Water Heater Stock'!D17*'Device Energy Use'!$B7/1000</f>
        <v>0</v>
      </c>
      <c r="E48" s="34">
        <f>'Water Heater Stock'!E17*'Device Energy Use'!$B7/1000</f>
        <v>0</v>
      </c>
      <c r="F48" s="34">
        <f>'Water Heater Stock'!F17*'Device Energy Use'!$B7/1000</f>
        <v>0</v>
      </c>
      <c r="G48" s="34">
        <f>'Water Heater Stock'!G17*'Device Energy Use'!$B7/1000</f>
        <v>0</v>
      </c>
      <c r="H48" s="34">
        <f>'Water Heater Stock'!H17*'Device Energy Use'!$B7/1000</f>
        <v>0</v>
      </c>
      <c r="I48" s="34">
        <f>'Water Heater Stock'!I17*'Device Energy Use'!$B7/1000</f>
        <v>0</v>
      </c>
      <c r="J48" s="34">
        <f>'Water Heater Stock'!J17*'Device Energy Use'!$B7/1000</f>
        <v>0</v>
      </c>
      <c r="K48" s="34">
        <f>'Water Heater Stock'!K17*'Device Energy Use'!$B7/1000</f>
        <v>0</v>
      </c>
      <c r="L48" s="34">
        <f>'Water Heater Stock'!L17*'Device Energy Use'!$B7/1000</f>
        <v>0</v>
      </c>
      <c r="M48" s="34">
        <f>'Water Heater Stock'!M17*'Device Energy Use'!$B7/1000</f>
        <v>0</v>
      </c>
      <c r="N48" s="34">
        <f>'Water Heater Stock'!N17*'Device Energy Use'!$B7/1000</f>
        <v>0</v>
      </c>
      <c r="O48" s="34">
        <f>'Water Heater Stock'!O17*'Device Energy Use'!$B7/1000</f>
        <v>0</v>
      </c>
      <c r="P48" s="34">
        <f>'Water Heater Stock'!P17*'Device Energy Use'!$B7/1000</f>
        <v>0</v>
      </c>
      <c r="Q48" s="34">
        <f>'Water Heater Stock'!Q17*'Device Energy Use'!$B7/1000</f>
        <v>0</v>
      </c>
      <c r="R48" s="34">
        <f>'Water Heater Stock'!R17*'Device Energy Use'!$B7/1000</f>
        <v>0</v>
      </c>
      <c r="S48" s="34">
        <f>'Water Heater Stock'!S17*'Device Energy Use'!$B7/1000</f>
        <v>0</v>
      </c>
      <c r="T48" s="34">
        <f>'Water Heater Stock'!T17*'Device Energy Use'!$B7/1000</f>
        <v>0</v>
      </c>
      <c r="U48" s="34">
        <f>'Water Heater Stock'!U17*'Device Energy Use'!$B7/1000</f>
        <v>0</v>
      </c>
      <c r="V48" s="34">
        <f>'Water Heater Stock'!V17*'Device Energy Use'!$B7/1000</f>
        <v>0</v>
      </c>
      <c r="W48" s="34">
        <f>'Water Heater Stock'!W17*'Device Energy Use'!$B7/1000</f>
        <v>0</v>
      </c>
    </row>
    <row r="49" spans="1:23">
      <c r="A49" s="38" t="str">
        <f>'Device Energy Use'!A8</f>
        <v>Instant Gas</v>
      </c>
      <c r="B49" s="34">
        <f>'Water Heater Stock'!B18*'Device Energy Use'!$B8/1000</f>
        <v>0</v>
      </c>
      <c r="C49" s="34">
        <f>'Water Heater Stock'!C18*'Device Energy Use'!$B8/1000</f>
        <v>0</v>
      </c>
      <c r="D49" s="34">
        <f>'Water Heater Stock'!D18*'Device Energy Use'!$B8/1000</f>
        <v>0</v>
      </c>
      <c r="E49" s="34">
        <f>'Water Heater Stock'!E18*'Device Energy Use'!$B8/1000</f>
        <v>0</v>
      </c>
      <c r="F49" s="34">
        <f>'Water Heater Stock'!F18*'Device Energy Use'!$B8/1000</f>
        <v>0</v>
      </c>
      <c r="G49" s="34">
        <f>'Water Heater Stock'!G18*'Device Energy Use'!$B8/1000</f>
        <v>0</v>
      </c>
      <c r="H49" s="34">
        <f>'Water Heater Stock'!H18*'Device Energy Use'!$B8/1000</f>
        <v>0</v>
      </c>
      <c r="I49" s="34">
        <f>'Water Heater Stock'!I18*'Device Energy Use'!$B8/1000</f>
        <v>0</v>
      </c>
      <c r="J49" s="34">
        <f>'Water Heater Stock'!J18*'Device Energy Use'!$B8/1000</f>
        <v>0</v>
      </c>
      <c r="K49" s="34">
        <f>'Water Heater Stock'!K18*'Device Energy Use'!$B8/1000</f>
        <v>0</v>
      </c>
      <c r="L49" s="34">
        <f>'Water Heater Stock'!L18*'Device Energy Use'!$B8/1000</f>
        <v>0</v>
      </c>
      <c r="M49" s="34">
        <f>'Water Heater Stock'!M18*'Device Energy Use'!$B8/1000</f>
        <v>0</v>
      </c>
      <c r="N49" s="34">
        <f>'Water Heater Stock'!N18*'Device Energy Use'!$B8/1000</f>
        <v>0</v>
      </c>
      <c r="O49" s="34">
        <f>'Water Heater Stock'!O18*'Device Energy Use'!$B8/1000</f>
        <v>0</v>
      </c>
      <c r="P49" s="34">
        <f>'Water Heater Stock'!P18*'Device Energy Use'!$B8/1000</f>
        <v>0</v>
      </c>
      <c r="Q49" s="34">
        <f>'Water Heater Stock'!Q18*'Device Energy Use'!$B8/1000</f>
        <v>0</v>
      </c>
      <c r="R49" s="34">
        <f>'Water Heater Stock'!R18*'Device Energy Use'!$B8/1000</f>
        <v>0</v>
      </c>
      <c r="S49" s="34">
        <f>'Water Heater Stock'!S18*'Device Energy Use'!$B8/1000</f>
        <v>0</v>
      </c>
      <c r="T49" s="34">
        <f>'Water Heater Stock'!T18*'Device Energy Use'!$B8/1000</f>
        <v>0</v>
      </c>
      <c r="U49" s="34">
        <f>'Water Heater Stock'!U18*'Device Energy Use'!$B8/1000</f>
        <v>0</v>
      </c>
      <c r="V49" s="34">
        <f>'Water Heater Stock'!V18*'Device Energy Use'!$B8/1000</f>
        <v>0</v>
      </c>
      <c r="W49" s="34">
        <f>'Water Heater Stock'!W18*'Device Energy Use'!$B8/1000</f>
        <v>0</v>
      </c>
    </row>
    <row r="50" spans="1:23">
      <c r="A50" s="38" t="str">
        <f>'Device Energy Use'!A9</f>
        <v>Condensing Gas</v>
      </c>
      <c r="B50" s="34">
        <f>'Water Heater Stock'!B19*'Device Energy Use'!$B9/1000</f>
        <v>0</v>
      </c>
      <c r="C50" s="34">
        <f>'Water Heater Stock'!C19*'Device Energy Use'!$B9/1000</f>
        <v>0</v>
      </c>
      <c r="D50" s="34">
        <f>'Water Heater Stock'!D19*'Device Energy Use'!$B9/1000</f>
        <v>0</v>
      </c>
      <c r="E50" s="34">
        <f>'Water Heater Stock'!E19*'Device Energy Use'!$B9/1000</f>
        <v>0</v>
      </c>
      <c r="F50" s="34">
        <f>'Water Heater Stock'!F19*'Device Energy Use'!$B9/1000</f>
        <v>0</v>
      </c>
      <c r="G50" s="34">
        <f>'Water Heater Stock'!G19*'Device Energy Use'!$B9/1000</f>
        <v>0</v>
      </c>
      <c r="H50" s="34">
        <f>'Water Heater Stock'!H19*'Device Energy Use'!$B9/1000</f>
        <v>0</v>
      </c>
      <c r="I50" s="34">
        <f>'Water Heater Stock'!I19*'Device Energy Use'!$B9/1000</f>
        <v>0</v>
      </c>
      <c r="J50" s="34">
        <f>'Water Heater Stock'!J19*'Device Energy Use'!$B9/1000</f>
        <v>0</v>
      </c>
      <c r="K50" s="34">
        <f>'Water Heater Stock'!K19*'Device Energy Use'!$B9/1000</f>
        <v>0</v>
      </c>
      <c r="L50" s="34">
        <f>'Water Heater Stock'!L19*'Device Energy Use'!$B9/1000</f>
        <v>0</v>
      </c>
      <c r="M50" s="34">
        <f>'Water Heater Stock'!M19*'Device Energy Use'!$B9/1000</f>
        <v>0</v>
      </c>
      <c r="N50" s="34">
        <f>'Water Heater Stock'!N19*'Device Energy Use'!$B9/1000</f>
        <v>0</v>
      </c>
      <c r="O50" s="34">
        <f>'Water Heater Stock'!O19*'Device Energy Use'!$B9/1000</f>
        <v>0</v>
      </c>
      <c r="P50" s="34">
        <f>'Water Heater Stock'!P19*'Device Energy Use'!$B9/1000</f>
        <v>0</v>
      </c>
      <c r="Q50" s="34">
        <f>'Water Heater Stock'!Q19*'Device Energy Use'!$B9/1000</f>
        <v>0</v>
      </c>
      <c r="R50" s="34">
        <f>'Water Heater Stock'!R19*'Device Energy Use'!$B9/1000</f>
        <v>0</v>
      </c>
      <c r="S50" s="34">
        <f>'Water Heater Stock'!S19*'Device Energy Use'!$B9/1000</f>
        <v>0</v>
      </c>
      <c r="T50" s="34">
        <f>'Water Heater Stock'!T19*'Device Energy Use'!$B9/1000</f>
        <v>0</v>
      </c>
      <c r="U50" s="34">
        <f>'Water Heater Stock'!U19*'Device Energy Use'!$B9/1000</f>
        <v>0</v>
      </c>
      <c r="V50" s="34">
        <f>'Water Heater Stock'!V19*'Device Energy Use'!$B9/1000</f>
        <v>0</v>
      </c>
      <c r="W50" s="34">
        <f>'Water Heater Stock'!W19*'Device Energy Use'!$B9/1000</f>
        <v>0</v>
      </c>
    </row>
    <row r="51" spans="1:23">
      <c r="A51" s="38"/>
    </row>
    <row r="52" spans="1:23">
      <c r="A52" s="12" t="s">
        <v>50</v>
      </c>
    </row>
    <row r="53" spans="1:23">
      <c r="A53" s="39" t="str">
        <f>'Device Energy Use'!A4</f>
        <v>Water Heat Ending</v>
      </c>
      <c r="B53" s="42">
        <f>'Water Heater Stock'!B4</f>
        <v>2014</v>
      </c>
      <c r="C53" s="42">
        <f>'Water Heater Stock'!C4</f>
        <v>2015</v>
      </c>
      <c r="D53" s="42">
        <f>'Water Heater Stock'!D4</f>
        <v>2016</v>
      </c>
      <c r="E53" s="42">
        <f>'Water Heater Stock'!E4</f>
        <v>2017</v>
      </c>
      <c r="F53" s="42">
        <f>'Water Heater Stock'!F4</f>
        <v>2018</v>
      </c>
      <c r="G53" s="42">
        <f>'Water Heater Stock'!G4</f>
        <v>2019</v>
      </c>
      <c r="H53" s="42">
        <f>'Water Heater Stock'!H4</f>
        <v>2020</v>
      </c>
      <c r="I53" s="42">
        <f>'Water Heater Stock'!I4</f>
        <v>2021</v>
      </c>
      <c r="J53" s="42">
        <f>'Water Heater Stock'!J4</f>
        <v>2022</v>
      </c>
      <c r="K53" s="42">
        <f>'Water Heater Stock'!K4</f>
        <v>2023</v>
      </c>
      <c r="L53" s="42">
        <f>'Water Heater Stock'!L4</f>
        <v>2024</v>
      </c>
      <c r="M53" s="42">
        <f>'Water Heater Stock'!M4</f>
        <v>2025</v>
      </c>
      <c r="N53" s="42">
        <f>'Water Heater Stock'!N4</f>
        <v>2026</v>
      </c>
      <c r="O53" s="42">
        <f>'Water Heater Stock'!O4</f>
        <v>2027</v>
      </c>
      <c r="P53" s="42">
        <f>'Water Heater Stock'!P4</f>
        <v>2028</v>
      </c>
      <c r="Q53" s="42">
        <f>'Water Heater Stock'!Q4</f>
        <v>2029</v>
      </c>
      <c r="R53" s="42">
        <f>'Water Heater Stock'!R4</f>
        <v>2030</v>
      </c>
      <c r="S53" s="42">
        <f>'Water Heater Stock'!S4</f>
        <v>2031</v>
      </c>
      <c r="T53" s="42">
        <f>'Water Heater Stock'!T4</f>
        <v>2032</v>
      </c>
      <c r="U53" s="42">
        <f>'Water Heater Stock'!U4</f>
        <v>2033</v>
      </c>
      <c r="V53" s="42">
        <f>'Water Heater Stock'!V4</f>
        <v>2034</v>
      </c>
      <c r="W53" s="42">
        <f>'Water Heater Stock'!W4</f>
        <v>2035</v>
      </c>
    </row>
    <row r="54" spans="1:23" ht="16.5" thickBot="1">
      <c r="A54" s="49" t="s">
        <v>48</v>
      </c>
      <c r="B54" s="50">
        <f t="shared" ref="B54:W54" si="11">SUM(B55:B59)</f>
        <v>0</v>
      </c>
      <c r="C54" s="50">
        <f t="shared" si="11"/>
        <v>34774.762813124427</v>
      </c>
      <c r="D54" s="50">
        <f t="shared" si="11"/>
        <v>67104.367267824287</v>
      </c>
      <c r="E54" s="50">
        <f t="shared" si="11"/>
        <v>97165.194180791223</v>
      </c>
      <c r="F54" s="50">
        <f t="shared" si="11"/>
        <v>125123.03694749133</v>
      </c>
      <c r="G54" s="50">
        <f t="shared" si="11"/>
        <v>151134.71110407065</v>
      </c>
      <c r="H54" s="50">
        <f t="shared" si="11"/>
        <v>175349.70289404364</v>
      </c>
      <c r="I54" s="50">
        <f t="shared" si="11"/>
        <v>197911.78657446906</v>
      </c>
      <c r="J54" s="50">
        <f t="shared" si="11"/>
        <v>218960.49830992855</v>
      </c>
      <c r="K54" s="50">
        <f t="shared" si="11"/>
        <v>238632.31720463422</v>
      </c>
      <c r="L54" s="50">
        <f t="shared" si="11"/>
        <v>257061.38276560386</v>
      </c>
      <c r="M54" s="50">
        <f t="shared" si="11"/>
        <v>274379.58642345737</v>
      </c>
      <c r="N54" s="50">
        <f t="shared" si="11"/>
        <v>290715.92453121778</v>
      </c>
      <c r="O54" s="50">
        <f t="shared" si="11"/>
        <v>306195.09553246363</v>
      </c>
      <c r="P54" s="50">
        <f t="shared" si="11"/>
        <v>320935.45436379948</v>
      </c>
      <c r="Q54" s="50">
        <f t="shared" si="11"/>
        <v>335046.57508853078</v>
      </c>
      <c r="R54" s="50">
        <f t="shared" si="11"/>
        <v>348626.77875239699</v>
      </c>
      <c r="S54" s="50">
        <f t="shared" si="11"/>
        <v>361761.01993453864</v>
      </c>
      <c r="T54" s="50">
        <f t="shared" si="11"/>
        <v>374519.47384303523</v>
      </c>
      <c r="U54" s="50">
        <f t="shared" si="11"/>
        <v>386957.0370622694</v>
      </c>
      <c r="V54" s="50">
        <f t="shared" si="11"/>
        <v>399113.78662839823</v>
      </c>
      <c r="W54" s="50">
        <f t="shared" si="11"/>
        <v>411016.28201045934</v>
      </c>
    </row>
    <row r="55" spans="1:23" ht="16.5" thickTop="1">
      <c r="A55" s="38" t="str">
        <f>'Device Energy Use'!A5</f>
        <v>Electric Resistance</v>
      </c>
      <c r="B55" s="34">
        <f>'Water Heater Stock'!B6*'Device Energy Use'!$C5</f>
        <v>0</v>
      </c>
      <c r="C55" s="34">
        <f>'Water Heater Stock'!C6*'Device Energy Use'!$C5</f>
        <v>0</v>
      </c>
      <c r="D55" s="34">
        <f>'Water Heater Stock'!D6*'Device Energy Use'!$C5</f>
        <v>0</v>
      </c>
      <c r="E55" s="34">
        <f>'Water Heater Stock'!E6*'Device Energy Use'!$C5</f>
        <v>0</v>
      </c>
      <c r="F55" s="34">
        <f>'Water Heater Stock'!F6*'Device Energy Use'!$C5</f>
        <v>0</v>
      </c>
      <c r="G55" s="34">
        <f>'Water Heater Stock'!G6*'Device Energy Use'!$C5</f>
        <v>0</v>
      </c>
      <c r="H55" s="34">
        <f>'Water Heater Stock'!H6*'Device Energy Use'!$C5</f>
        <v>0</v>
      </c>
      <c r="I55" s="34">
        <f>'Water Heater Stock'!I6*'Device Energy Use'!$C5</f>
        <v>0</v>
      </c>
      <c r="J55" s="34">
        <f>'Water Heater Stock'!J6*'Device Energy Use'!$C5</f>
        <v>0</v>
      </c>
      <c r="K55" s="34">
        <f>'Water Heater Stock'!K6*'Device Energy Use'!$C5</f>
        <v>0</v>
      </c>
      <c r="L55" s="34">
        <f>'Water Heater Stock'!L6*'Device Energy Use'!$C5</f>
        <v>0</v>
      </c>
      <c r="M55" s="34">
        <f>'Water Heater Stock'!M6*'Device Energy Use'!$C5</f>
        <v>0</v>
      </c>
      <c r="N55" s="34">
        <f>'Water Heater Stock'!N6*'Device Energy Use'!$C5</f>
        <v>0</v>
      </c>
      <c r="O55" s="34">
        <f>'Water Heater Stock'!O6*'Device Energy Use'!$C5</f>
        <v>0</v>
      </c>
      <c r="P55" s="34">
        <f>'Water Heater Stock'!P6*'Device Energy Use'!$C5</f>
        <v>0</v>
      </c>
      <c r="Q55" s="34">
        <f>'Water Heater Stock'!Q6*'Device Energy Use'!$C5</f>
        <v>0</v>
      </c>
      <c r="R55" s="34">
        <f>'Water Heater Stock'!R6*'Device Energy Use'!$C5</f>
        <v>0</v>
      </c>
      <c r="S55" s="34">
        <f>'Water Heater Stock'!S6*'Device Energy Use'!$C5</f>
        <v>0</v>
      </c>
      <c r="T55" s="34">
        <f>'Water Heater Stock'!T6*'Device Energy Use'!$C5</f>
        <v>0</v>
      </c>
      <c r="U55" s="34">
        <f>'Water Heater Stock'!U6*'Device Energy Use'!$C5</f>
        <v>0</v>
      </c>
      <c r="V55" s="34">
        <f>'Water Heater Stock'!V6*'Device Energy Use'!$C5</f>
        <v>0</v>
      </c>
      <c r="W55" s="34">
        <f>'Water Heater Stock'!W6*'Device Energy Use'!$C5</f>
        <v>0</v>
      </c>
    </row>
    <row r="56" spans="1:23">
      <c r="A56" s="38" t="str">
        <f>'Device Energy Use'!A6</f>
        <v>HPWH</v>
      </c>
      <c r="B56" s="34">
        <f>'Water Heater Stock'!B7*'Device Energy Use'!$C6</f>
        <v>0</v>
      </c>
      <c r="C56" s="34">
        <f>'Water Heater Stock'!C7*'Device Energy Use'!$C6</f>
        <v>0</v>
      </c>
      <c r="D56" s="34">
        <f>'Water Heater Stock'!D7*'Device Energy Use'!$C6</f>
        <v>0</v>
      </c>
      <c r="E56" s="34">
        <f>'Water Heater Stock'!E7*'Device Energy Use'!$C6</f>
        <v>0</v>
      </c>
      <c r="F56" s="34">
        <f>'Water Heater Stock'!F7*'Device Energy Use'!$C6</f>
        <v>0</v>
      </c>
      <c r="G56" s="34">
        <f>'Water Heater Stock'!G7*'Device Energy Use'!$C6</f>
        <v>0</v>
      </c>
      <c r="H56" s="34">
        <f>'Water Heater Stock'!H7*'Device Energy Use'!$C6</f>
        <v>0</v>
      </c>
      <c r="I56" s="34">
        <f>'Water Heater Stock'!I7*'Device Energy Use'!$C6</f>
        <v>0</v>
      </c>
      <c r="J56" s="34">
        <f>'Water Heater Stock'!J7*'Device Energy Use'!$C6</f>
        <v>0</v>
      </c>
      <c r="K56" s="34">
        <f>'Water Heater Stock'!K7*'Device Energy Use'!$C6</f>
        <v>0</v>
      </c>
      <c r="L56" s="34">
        <f>'Water Heater Stock'!L7*'Device Energy Use'!$C6</f>
        <v>0</v>
      </c>
      <c r="M56" s="34">
        <f>'Water Heater Stock'!M7*'Device Energy Use'!$C6</f>
        <v>0</v>
      </c>
      <c r="N56" s="34">
        <f>'Water Heater Stock'!N7*'Device Energy Use'!$C6</f>
        <v>0</v>
      </c>
      <c r="O56" s="34">
        <f>'Water Heater Stock'!O7*'Device Energy Use'!$C6</f>
        <v>0</v>
      </c>
      <c r="P56" s="34">
        <f>'Water Heater Stock'!P7*'Device Energy Use'!$C6</f>
        <v>0</v>
      </c>
      <c r="Q56" s="34">
        <f>'Water Heater Stock'!Q7*'Device Energy Use'!$C6</f>
        <v>0</v>
      </c>
      <c r="R56" s="34">
        <f>'Water Heater Stock'!R7*'Device Energy Use'!$C6</f>
        <v>0</v>
      </c>
      <c r="S56" s="34">
        <f>'Water Heater Stock'!S7*'Device Energy Use'!$C6</f>
        <v>0</v>
      </c>
      <c r="T56" s="34">
        <f>'Water Heater Stock'!T7*'Device Energy Use'!$C6</f>
        <v>0</v>
      </c>
      <c r="U56" s="34">
        <f>'Water Heater Stock'!U7*'Device Energy Use'!$C6</f>
        <v>0</v>
      </c>
      <c r="V56" s="34">
        <f>'Water Heater Stock'!V7*'Device Energy Use'!$C6</f>
        <v>0</v>
      </c>
      <c r="W56" s="34">
        <f>'Water Heater Stock'!W7*'Device Energy Use'!$C6</f>
        <v>0</v>
      </c>
    </row>
    <row r="57" spans="1:23">
      <c r="A57" s="38" t="str">
        <f>'Device Energy Use'!A7</f>
        <v>Gas Tank</v>
      </c>
      <c r="B57" s="34">
        <f>'Water Heater Stock'!B8*'Device Energy Use'!$C7</f>
        <v>0</v>
      </c>
      <c r="C57" s="34">
        <f>'Water Heater Stock'!C8*'Device Energy Use'!$C7</f>
        <v>34761.639947755175</v>
      </c>
      <c r="D57" s="34">
        <f>'Water Heater Stock'!D8*'Device Energy Use'!$C7</f>
        <v>67065.845517065376</v>
      </c>
      <c r="E57" s="34">
        <f>'Water Heater Stock'!E8*'Device Energy Use'!$C7</f>
        <v>97079.176236269574</v>
      </c>
      <c r="F57" s="34">
        <f>'Water Heater Stock'!F8*'Device Energy Use'!$C7</f>
        <v>124951.69493528869</v>
      </c>
      <c r="G57" s="34">
        <f>'Water Heater Stock'!G8*'Device Energy Use'!$C7</f>
        <v>150816.23130666048</v>
      </c>
      <c r="H57" s="34">
        <f>'Water Heater Stock'!H8*'Device Energy Use'!$C7</f>
        <v>174787.37757466573</v>
      </c>
      <c r="I57" s="34">
        <f>'Water Heater Stock'!I8*'Device Energy Use'!$C7</f>
        <v>196960.40016762525</v>
      </c>
      <c r="J57" s="34">
        <f>'Water Heater Stock'!J8*'Device Energy Use'!$C7</f>
        <v>217410.34266058585</v>
      </c>
      <c r="K57" s="34">
        <f>'Water Heater Stock'!K8*'Device Energy Use'!$C7</f>
        <v>236191.6730513387</v>
      </c>
      <c r="L57" s="34">
        <f>'Water Heater Stock'!L8*'Device Energy Use'!$C7</f>
        <v>253338.86659233112</v>
      </c>
      <c r="M57" s="34">
        <f>'Water Heater Stock'!M8*'Device Energy Use'!$C7</f>
        <v>268868.28413073829</v>
      </c>
      <c r="N57" s="34">
        <f>'Water Heater Stock'!N8*'Device Energy Use'!$C7</f>
        <v>282781.58054857433</v>
      </c>
      <c r="O57" s="34">
        <f>'Water Heater Stock'!O8*'Device Energy Use'!$C7</f>
        <v>295070.65279045061</v>
      </c>
      <c r="P57" s="34">
        <f>'Water Heater Stock'!P8*'Device Energy Use'!$C7</f>
        <v>305723.83947308676</v>
      </c>
      <c r="Q57" s="34">
        <f>'Water Heater Stock'!Q8*'Device Energy Use'!$C7</f>
        <v>314732.77932753431</v>
      </c>
      <c r="R57" s="34">
        <f>'Water Heater Stock'!R8*'Device Energy Use'!$C7</f>
        <v>322099.11315419298</v>
      </c>
      <c r="S57" s="34">
        <f>'Water Heater Stock'!S8*'Device Energy Use'!$C7</f>
        <v>327840.1549931796</v>
      </c>
      <c r="T57" s="34">
        <f>'Water Heater Stock'!T8*'Device Energy Use'!$C7</f>
        <v>331992.79843554943</v>
      </c>
      <c r="U57" s="34">
        <f>'Water Heater Stock'!U8*'Device Energy Use'!$C7</f>
        <v>334615.23163628043</v>
      </c>
      <c r="V57" s="34">
        <f>'Water Heater Stock'!V8*'Device Energy Use'!$C7</f>
        <v>335786.42043164076</v>
      </c>
      <c r="W57" s="34">
        <f>'Water Heater Stock'!W8*'Device Energy Use'!$C7</f>
        <v>335603.67397570389</v>
      </c>
    </row>
    <row r="58" spans="1:23">
      <c r="A58" s="38" t="str">
        <f>'Device Energy Use'!A8</f>
        <v>Instant Gas</v>
      </c>
      <c r="B58" s="34">
        <f>'Water Heater Stock'!B9*'Device Energy Use'!$C8</f>
        <v>0</v>
      </c>
      <c r="C58" s="34">
        <f>'Water Heater Stock'!C9*'Device Energy Use'!$C8</f>
        <v>3.5365077904034958</v>
      </c>
      <c r="D58" s="34">
        <f>'Water Heater Stock'!D9*'Device Energy Use'!$C8</f>
        <v>10.393017714511981</v>
      </c>
      <c r="E58" s="34">
        <f>'Water Heater Stock'!E9*'Device Energy Use'!$C8</f>
        <v>23.236884292333908</v>
      </c>
      <c r="F58" s="34">
        <f>'Water Heater Stock'!F9*'Device Energy Use'!$C8</f>
        <v>46.349989315570284</v>
      </c>
      <c r="G58" s="34">
        <f>'Water Heater Stock'!G9*'Device Energy Use'!$C8</f>
        <v>86.276599436453253</v>
      </c>
      <c r="H58" s="34">
        <f>'Water Heater Stock'!H9*'Device Energy Use'!$C8</f>
        <v>152.56042906683993</v>
      </c>
      <c r="I58" s="34">
        <f>'Water Heater Stock'!I9*'Device Energy Use'!$C8</f>
        <v>258.50276132193494</v>
      </c>
      <c r="J58" s="34">
        <f>'Water Heater Stock'!J9*'Device Energy Use'!$C8</f>
        <v>421.83633637759692</v>
      </c>
      <c r="K58" s="34">
        <f>'Water Heater Stock'!K9*'Device Energy Use'!$C8</f>
        <v>665.17700082917941</v>
      </c>
      <c r="L58" s="34">
        <f>'Water Heater Stock'!L9*'Device Energy Use'!$C8</f>
        <v>1016.097145705932</v>
      </c>
      <c r="M58" s="34">
        <f>'Water Heater Stock'!M9*'Device Energy Use'!$C8</f>
        <v>1506.6738480042707</v>
      </c>
      <c r="N58" s="34">
        <f>'Water Heater Stock'!N9*'Device Energy Use'!$C8</f>
        <v>2172.4108212739548</v>
      </c>
      <c r="O58" s="34">
        <f>'Water Heater Stock'!O9*'Device Energy Use'!$C8</f>
        <v>3050.5200318064581</v>
      </c>
      <c r="P58" s="34">
        <f>'Water Heater Stock'!P9*'Device Energy Use'!$C8</f>
        <v>4177.6664156391744</v>
      </c>
      <c r="Q58" s="34">
        <f>'Water Heater Stock'!Q9*'Device Energy Use'!$C8</f>
        <v>5587.4024768205309</v>
      </c>
      <c r="R58" s="34">
        <f>'Water Heater Stock'!R9*'Device Energy Use'!$C8</f>
        <v>7307.6131403044328</v>
      </c>
      <c r="S58" s="34">
        <f>'Water Heater Stock'!S9*'Device Energy Use'!$C8</f>
        <v>9358.3216657509911</v>
      </c>
      <c r="T58" s="34">
        <f>'Water Heater Stock'!T9*'Device Energy Use'!$C8</f>
        <v>11750.158659102113</v>
      </c>
      <c r="U58" s="34">
        <f>'Water Heater Stock'!U9*'Device Energy Use'!$C8</f>
        <v>14483.678850970677</v>
      </c>
      <c r="V58" s="34">
        <f>'Water Heater Stock'!V9*'Device Energy Use'!$C8</f>
        <v>17549.558469511972</v>
      </c>
      <c r="W58" s="34">
        <f>'Water Heater Stock'!W9*'Device Energy Use'!$C8</f>
        <v>20929.562934998976</v>
      </c>
    </row>
    <row r="59" spans="1:23">
      <c r="A59" s="38" t="str">
        <f>'Device Energy Use'!A9</f>
        <v>Condensing Gas</v>
      </c>
      <c r="B59" s="34">
        <f>'Water Heater Stock'!B10*'Device Energy Use'!$C9</f>
        <v>0</v>
      </c>
      <c r="C59" s="34">
        <f>'Water Heater Stock'!C10*'Device Energy Use'!$C9</f>
        <v>9.5863575788474886</v>
      </c>
      <c r="D59" s="34">
        <f>'Water Heater Stock'!D10*'Device Energy Use'!$C9</f>
        <v>28.128733044396299</v>
      </c>
      <c r="E59" s="34">
        <f>'Water Heater Stock'!E10*'Device Energy Use'!$C9</f>
        <v>62.781060229319365</v>
      </c>
      <c r="F59" s="34">
        <f>'Water Heater Stock'!F10*'Device Energy Use'!$C9</f>
        <v>124.9920228870799</v>
      </c>
      <c r="G59" s="34">
        <f>'Water Heater Stock'!G10*'Device Energy Use'!$C9</f>
        <v>232.20319797373031</v>
      </c>
      <c r="H59" s="34">
        <f>'Water Heater Stock'!H10*'Device Energy Use'!$C9</f>
        <v>409.7648903110678</v>
      </c>
      <c r="I59" s="34">
        <f>'Water Heater Stock'!I10*'Device Energy Use'!$C9</f>
        <v>692.8836455218842</v>
      </c>
      <c r="J59" s="34">
        <f>'Water Heater Stock'!J10*'Device Energy Use'!$C9</f>
        <v>1128.3193129650967</v>
      </c>
      <c r="K59" s="34">
        <f>'Water Heater Stock'!K10*'Device Energy Use'!$C9</f>
        <v>1775.4671524663363</v>
      </c>
      <c r="L59" s="34">
        <f>'Water Heater Stock'!L10*'Device Energy Use'!$C9</f>
        <v>2706.4190275668198</v>
      </c>
      <c r="M59" s="34">
        <f>'Water Heater Stock'!M10*'Device Energy Use'!$C9</f>
        <v>4004.6284447148423</v>
      </c>
      <c r="N59" s="34">
        <f>'Water Heater Stock'!N10*'Device Energy Use'!$C9</f>
        <v>5761.933161369464</v>
      </c>
      <c r="O59" s="34">
        <f>'Water Heater Stock'!O10*'Device Energy Use'!$C9</f>
        <v>8073.9227102066116</v>
      </c>
      <c r="P59" s="34">
        <f>'Water Heater Stock'!P10*'Device Energy Use'!$C9</f>
        <v>11033.948475073532</v>
      </c>
      <c r="Q59" s="34">
        <f>'Water Heater Stock'!Q10*'Device Energy Use'!$C9</f>
        <v>14726.393284175945</v>
      </c>
      <c r="R59" s="34">
        <f>'Water Heater Stock'!R10*'Device Energy Use'!$C9</f>
        <v>19220.052457899565</v>
      </c>
      <c r="S59" s="34">
        <f>'Water Heater Stock'!S10*'Device Energy Use'!$C9</f>
        <v>24562.543275608063</v>
      </c>
      <c r="T59" s="34">
        <f>'Water Heater Stock'!T10*'Device Energy Use'!$C9</f>
        <v>30776.516748383703</v>
      </c>
      <c r="U59" s="34">
        <f>'Water Heater Stock'!U10*'Device Energy Use'!$C9</f>
        <v>37858.126575018279</v>
      </c>
      <c r="V59" s="34">
        <f>'Water Heater Stock'!V10*'Device Energy Use'!$C9</f>
        <v>45777.807727245512</v>
      </c>
      <c r="W59" s="34">
        <f>'Water Heater Stock'!W10*'Device Energy Use'!$C9</f>
        <v>54483.045099756433</v>
      </c>
    </row>
    <row r="61" spans="1:23">
      <c r="A61" s="12" t="s">
        <v>105</v>
      </c>
    </row>
    <row r="62" spans="1:23">
      <c r="A62" s="39" t="str">
        <f>'Device Energy Use'!A4</f>
        <v>Water Heat Ending</v>
      </c>
      <c r="B62" s="42">
        <f>'Water Heater Stock'!B13</f>
        <v>2014</v>
      </c>
      <c r="C62" s="42">
        <f>'Water Heater Stock'!C13</f>
        <v>2015</v>
      </c>
      <c r="D62" s="42">
        <f>'Water Heater Stock'!D13</f>
        <v>2016</v>
      </c>
      <c r="E62" s="42">
        <f>'Water Heater Stock'!E13</f>
        <v>2017</v>
      </c>
      <c r="F62" s="42">
        <f>'Water Heater Stock'!F13</f>
        <v>2018</v>
      </c>
      <c r="G62" s="42">
        <f>'Water Heater Stock'!G13</f>
        <v>2019</v>
      </c>
      <c r="H62" s="42">
        <f>'Water Heater Stock'!H13</f>
        <v>2020</v>
      </c>
      <c r="I62" s="42">
        <f>'Water Heater Stock'!I13</f>
        <v>2021</v>
      </c>
      <c r="J62" s="42">
        <f>'Water Heater Stock'!J13</f>
        <v>2022</v>
      </c>
      <c r="K62" s="42">
        <f>'Water Heater Stock'!K13</f>
        <v>2023</v>
      </c>
      <c r="L62" s="42">
        <f>'Water Heater Stock'!L13</f>
        <v>2024</v>
      </c>
      <c r="M62" s="42">
        <f>'Water Heater Stock'!M13</f>
        <v>2025</v>
      </c>
      <c r="N62" s="42">
        <f>'Water Heater Stock'!N13</f>
        <v>2026</v>
      </c>
      <c r="O62" s="42">
        <f>'Water Heater Stock'!O13</f>
        <v>2027</v>
      </c>
      <c r="P62" s="42">
        <f>'Water Heater Stock'!P13</f>
        <v>2028</v>
      </c>
      <c r="Q62" s="42">
        <f>'Water Heater Stock'!Q13</f>
        <v>2029</v>
      </c>
      <c r="R62" s="42">
        <f>'Water Heater Stock'!R13</f>
        <v>2030</v>
      </c>
      <c r="S62" s="42">
        <f>'Water Heater Stock'!S13</f>
        <v>2031</v>
      </c>
      <c r="T62" s="42">
        <f>'Water Heater Stock'!T13</f>
        <v>2032</v>
      </c>
      <c r="U62" s="42">
        <f>'Water Heater Stock'!U13</f>
        <v>2033</v>
      </c>
      <c r="V62" s="42">
        <f>'Water Heater Stock'!V13</f>
        <v>2034</v>
      </c>
      <c r="W62" s="42">
        <f>'Water Heater Stock'!W13</f>
        <v>2035</v>
      </c>
    </row>
    <row r="63" spans="1:23" ht="16.5" thickBot="1">
      <c r="A63" s="49" t="s">
        <v>48</v>
      </c>
      <c r="B63" s="50">
        <f t="shared" ref="B63:W63" si="12">SUM(B64:B68)</f>
        <v>0</v>
      </c>
      <c r="C63" s="50">
        <f t="shared" si="12"/>
        <v>151065.72867627646</v>
      </c>
      <c r="D63" s="50">
        <f t="shared" si="12"/>
        <v>291341.04816139035</v>
      </c>
      <c r="E63" s="50">
        <f t="shared" si="12"/>
        <v>421596.70196899609</v>
      </c>
      <c r="F63" s="50">
        <f t="shared" si="12"/>
        <v>542548.38050462992</v>
      </c>
      <c r="G63" s="50">
        <f t="shared" si="12"/>
        <v>654860.65343057574</v>
      </c>
      <c r="H63" s="50">
        <f t="shared" si="12"/>
        <v>759150.62114752526</v>
      </c>
      <c r="I63" s="50">
        <f t="shared" si="12"/>
        <v>855991.30545612145</v>
      </c>
      <c r="J63" s="50">
        <f t="shared" si="12"/>
        <v>945914.79802838934</v>
      </c>
      <c r="K63" s="50">
        <f t="shared" si="12"/>
        <v>1029415.1839883523</v>
      </c>
      <c r="L63" s="50">
        <f t="shared" si="12"/>
        <v>1106951.2566654608</v>
      </c>
      <c r="M63" s="50">
        <f t="shared" si="12"/>
        <v>1178949.0384370615</v>
      </c>
      <c r="N63" s="50">
        <f t="shared" si="12"/>
        <v>1245804.1215106905</v>
      </c>
      <c r="O63" s="50">
        <f t="shared" si="12"/>
        <v>1307883.8415076323</v>
      </c>
      <c r="P63" s="50">
        <f t="shared" si="12"/>
        <v>1365529.2957905063</v>
      </c>
      <c r="Q63" s="50">
        <f t="shared" si="12"/>
        <v>1419057.2176246038</v>
      </c>
      <c r="R63" s="50">
        <f t="shared" si="12"/>
        <v>1468761.7164705514</v>
      </c>
      <c r="S63" s="50">
        <f t="shared" si="12"/>
        <v>1514915.8939703598</v>
      </c>
      <c r="T63" s="50">
        <f t="shared" si="12"/>
        <v>1557773.3445058961</v>
      </c>
      <c r="U63" s="50">
        <f t="shared" si="12"/>
        <v>1597569.5485746085</v>
      </c>
      <c r="V63" s="50">
        <f t="shared" si="12"/>
        <v>1634523.1666384127</v>
      </c>
      <c r="W63" s="50">
        <f t="shared" si="12"/>
        <v>1668837.2405548026</v>
      </c>
    </row>
    <row r="64" spans="1:23" ht="16.5" thickTop="1">
      <c r="A64" s="38" t="str">
        <f>'Device Energy Use'!A5</f>
        <v>Electric Resistance</v>
      </c>
      <c r="B64" s="34">
        <f>'Water Heater Stock'!B15*'Device Energy Use'!$C5</f>
        <v>0</v>
      </c>
      <c r="C64" s="34">
        <f>'Water Heater Stock'!C15*'Device Energy Use'!$C5</f>
        <v>0</v>
      </c>
      <c r="D64" s="34">
        <f>'Water Heater Stock'!D15*'Device Energy Use'!$C5</f>
        <v>0</v>
      </c>
      <c r="E64" s="34">
        <f>'Water Heater Stock'!E15*'Device Energy Use'!$C5</f>
        <v>0</v>
      </c>
      <c r="F64" s="34">
        <f>'Water Heater Stock'!F15*'Device Energy Use'!$C5</f>
        <v>0</v>
      </c>
      <c r="G64" s="34">
        <f>'Water Heater Stock'!G15*'Device Energy Use'!$C5</f>
        <v>0</v>
      </c>
      <c r="H64" s="34">
        <f>'Water Heater Stock'!H15*'Device Energy Use'!$C5</f>
        <v>0</v>
      </c>
      <c r="I64" s="34">
        <f>'Water Heater Stock'!I15*'Device Energy Use'!$C5</f>
        <v>0</v>
      </c>
      <c r="J64" s="34">
        <f>'Water Heater Stock'!J15*'Device Energy Use'!$C5</f>
        <v>0</v>
      </c>
      <c r="K64" s="34">
        <f>'Water Heater Stock'!K15*'Device Energy Use'!$C5</f>
        <v>0</v>
      </c>
      <c r="L64" s="34">
        <f>'Water Heater Stock'!L15*'Device Energy Use'!$C5</f>
        <v>0</v>
      </c>
      <c r="M64" s="34">
        <f>'Water Heater Stock'!M15*'Device Energy Use'!$C5</f>
        <v>0</v>
      </c>
      <c r="N64" s="34">
        <f>'Water Heater Stock'!N15*'Device Energy Use'!$C5</f>
        <v>0</v>
      </c>
      <c r="O64" s="34">
        <f>'Water Heater Stock'!O15*'Device Energy Use'!$C5</f>
        <v>0</v>
      </c>
      <c r="P64" s="34">
        <f>'Water Heater Stock'!P15*'Device Energy Use'!$C5</f>
        <v>0</v>
      </c>
      <c r="Q64" s="34">
        <f>'Water Heater Stock'!Q15*'Device Energy Use'!$C5</f>
        <v>0</v>
      </c>
      <c r="R64" s="34">
        <f>'Water Heater Stock'!R15*'Device Energy Use'!$C5</f>
        <v>0</v>
      </c>
      <c r="S64" s="34">
        <f>'Water Heater Stock'!S15*'Device Energy Use'!$C5</f>
        <v>0</v>
      </c>
      <c r="T64" s="34">
        <f>'Water Heater Stock'!T15*'Device Energy Use'!$C5</f>
        <v>0</v>
      </c>
      <c r="U64" s="34">
        <f>'Water Heater Stock'!U15*'Device Energy Use'!$C5</f>
        <v>0</v>
      </c>
      <c r="V64" s="34">
        <f>'Water Heater Stock'!V15*'Device Energy Use'!$C5</f>
        <v>0</v>
      </c>
      <c r="W64" s="34">
        <f>'Water Heater Stock'!W15*'Device Energy Use'!$C5</f>
        <v>0</v>
      </c>
    </row>
    <row r="65" spans="1:23">
      <c r="A65" s="38" t="str">
        <f>'Device Energy Use'!A6</f>
        <v>HPWH</v>
      </c>
      <c r="B65" s="34">
        <f>'Water Heater Stock'!B16*'Device Energy Use'!$C6</f>
        <v>0</v>
      </c>
      <c r="C65" s="34">
        <f>'Water Heater Stock'!C16*'Device Energy Use'!$C6</f>
        <v>0</v>
      </c>
      <c r="D65" s="34">
        <f>'Water Heater Stock'!D16*'Device Energy Use'!$C6</f>
        <v>0</v>
      </c>
      <c r="E65" s="34">
        <f>'Water Heater Stock'!E16*'Device Energy Use'!$C6</f>
        <v>0</v>
      </c>
      <c r="F65" s="34">
        <f>'Water Heater Stock'!F16*'Device Energy Use'!$C6</f>
        <v>0</v>
      </c>
      <c r="G65" s="34">
        <f>'Water Heater Stock'!G16*'Device Energy Use'!$C6</f>
        <v>0</v>
      </c>
      <c r="H65" s="34">
        <f>'Water Heater Stock'!H16*'Device Energy Use'!$C6</f>
        <v>0</v>
      </c>
      <c r="I65" s="34">
        <f>'Water Heater Stock'!I16*'Device Energy Use'!$C6</f>
        <v>0</v>
      </c>
      <c r="J65" s="34">
        <f>'Water Heater Stock'!J16*'Device Energy Use'!$C6</f>
        <v>0</v>
      </c>
      <c r="K65" s="34">
        <f>'Water Heater Stock'!K16*'Device Energy Use'!$C6</f>
        <v>0</v>
      </c>
      <c r="L65" s="34">
        <f>'Water Heater Stock'!L16*'Device Energy Use'!$C6</f>
        <v>0</v>
      </c>
      <c r="M65" s="34">
        <f>'Water Heater Stock'!M16*'Device Energy Use'!$C6</f>
        <v>0</v>
      </c>
      <c r="N65" s="34">
        <f>'Water Heater Stock'!N16*'Device Energy Use'!$C6</f>
        <v>0</v>
      </c>
      <c r="O65" s="34">
        <f>'Water Heater Stock'!O16*'Device Energy Use'!$C6</f>
        <v>0</v>
      </c>
      <c r="P65" s="34">
        <f>'Water Heater Stock'!P16*'Device Energy Use'!$C6</f>
        <v>0</v>
      </c>
      <c r="Q65" s="34">
        <f>'Water Heater Stock'!Q16*'Device Energy Use'!$C6</f>
        <v>0</v>
      </c>
      <c r="R65" s="34">
        <f>'Water Heater Stock'!R16*'Device Energy Use'!$C6</f>
        <v>0</v>
      </c>
      <c r="S65" s="34">
        <f>'Water Heater Stock'!S16*'Device Energy Use'!$C6</f>
        <v>0</v>
      </c>
      <c r="T65" s="34">
        <f>'Water Heater Stock'!T16*'Device Energy Use'!$C6</f>
        <v>0</v>
      </c>
      <c r="U65" s="34">
        <f>'Water Heater Stock'!U16*'Device Energy Use'!$C6</f>
        <v>0</v>
      </c>
      <c r="V65" s="34">
        <f>'Water Heater Stock'!V16*'Device Energy Use'!$C6</f>
        <v>0</v>
      </c>
      <c r="W65" s="34">
        <f>'Water Heater Stock'!W16*'Device Energy Use'!$C6</f>
        <v>0</v>
      </c>
    </row>
    <row r="66" spans="1:23">
      <c r="A66" s="38" t="str">
        <f>'Device Energy Use'!A7</f>
        <v>Gas Tank</v>
      </c>
      <c r="B66" s="34">
        <f>'Water Heater Stock'!B17*'Device Energy Use'!$C7</f>
        <v>0</v>
      </c>
      <c r="C66" s="34">
        <f>'Water Heater Stock'!C17*'Device Energy Use'!$C7</f>
        <v>151065.72867627646</v>
      </c>
      <c r="D66" s="34">
        <f>'Water Heater Stock'!D17*'Device Energy Use'!$C7</f>
        <v>291341.04816139035</v>
      </c>
      <c r="E66" s="34">
        <f>'Water Heater Stock'!E17*'Device Energy Use'!$C7</f>
        <v>421596.70196899609</v>
      </c>
      <c r="F66" s="34">
        <f>'Water Heater Stock'!F17*'Device Energy Use'!$C7</f>
        <v>542548.38050462992</v>
      </c>
      <c r="G66" s="34">
        <f>'Water Heater Stock'!G17*'Device Energy Use'!$C7</f>
        <v>654860.65343057574</v>
      </c>
      <c r="H66" s="34">
        <f>'Water Heater Stock'!H17*'Device Energy Use'!$C7</f>
        <v>759150.62114752526</v>
      </c>
      <c r="I66" s="34">
        <f>'Water Heater Stock'!I17*'Device Energy Use'!$C7</f>
        <v>855991.30545612145</v>
      </c>
      <c r="J66" s="34">
        <f>'Water Heater Stock'!J17*'Device Energy Use'!$C7</f>
        <v>945914.79802838934</v>
      </c>
      <c r="K66" s="34">
        <f>'Water Heater Stock'!K17*'Device Energy Use'!$C7</f>
        <v>1029415.1839883523</v>
      </c>
      <c r="L66" s="34">
        <f>'Water Heater Stock'!L17*'Device Energy Use'!$C7</f>
        <v>1106951.2566654608</v>
      </c>
      <c r="M66" s="34">
        <f>'Water Heater Stock'!M17*'Device Energy Use'!$C7</f>
        <v>1178949.0384370615</v>
      </c>
      <c r="N66" s="34">
        <f>'Water Heater Stock'!N17*'Device Energy Use'!$C7</f>
        <v>1245804.1215106905</v>
      </c>
      <c r="O66" s="34">
        <f>'Water Heater Stock'!O17*'Device Energy Use'!$C7</f>
        <v>1307883.8415076323</v>
      </c>
      <c r="P66" s="34">
        <f>'Water Heater Stock'!P17*'Device Energy Use'!$C7</f>
        <v>1365529.2957905063</v>
      </c>
      <c r="Q66" s="34">
        <f>'Water Heater Stock'!Q17*'Device Energy Use'!$C7</f>
        <v>1419057.2176246038</v>
      </c>
      <c r="R66" s="34">
        <f>'Water Heater Stock'!R17*'Device Energy Use'!$C7</f>
        <v>1468761.7164705514</v>
      </c>
      <c r="S66" s="34">
        <f>'Water Heater Stock'!S17*'Device Energy Use'!$C7</f>
        <v>1514915.8939703598</v>
      </c>
      <c r="T66" s="34">
        <f>'Water Heater Stock'!T17*'Device Energy Use'!$C7</f>
        <v>1557773.3445058961</v>
      </c>
      <c r="U66" s="34">
        <f>'Water Heater Stock'!U17*'Device Energy Use'!$C7</f>
        <v>1597569.5485746085</v>
      </c>
      <c r="V66" s="34">
        <f>'Water Heater Stock'!V17*'Device Energy Use'!$C7</f>
        <v>1634523.1666384127</v>
      </c>
      <c r="W66" s="34">
        <f>'Water Heater Stock'!W17*'Device Energy Use'!$C7</f>
        <v>1668837.2405548026</v>
      </c>
    </row>
    <row r="67" spans="1:23">
      <c r="A67" s="38" t="str">
        <f>'Device Energy Use'!A8</f>
        <v>Instant Gas</v>
      </c>
      <c r="B67" s="34">
        <f>'Water Heater Stock'!B18*'Device Energy Use'!$C8</f>
        <v>0</v>
      </c>
      <c r="C67" s="34">
        <f>'Water Heater Stock'!C18*'Device Energy Use'!$C8</f>
        <v>0</v>
      </c>
      <c r="D67" s="34">
        <f>'Water Heater Stock'!D18*'Device Energy Use'!$C8</f>
        <v>0</v>
      </c>
      <c r="E67" s="34">
        <f>'Water Heater Stock'!E18*'Device Energy Use'!$C8</f>
        <v>0</v>
      </c>
      <c r="F67" s="34">
        <f>'Water Heater Stock'!F18*'Device Energy Use'!$C8</f>
        <v>0</v>
      </c>
      <c r="G67" s="34">
        <f>'Water Heater Stock'!G18*'Device Energy Use'!$C8</f>
        <v>0</v>
      </c>
      <c r="H67" s="34">
        <f>'Water Heater Stock'!H18*'Device Energy Use'!$C8</f>
        <v>0</v>
      </c>
      <c r="I67" s="34">
        <f>'Water Heater Stock'!I18*'Device Energy Use'!$C8</f>
        <v>0</v>
      </c>
      <c r="J67" s="34">
        <f>'Water Heater Stock'!J18*'Device Energy Use'!$C8</f>
        <v>0</v>
      </c>
      <c r="K67" s="34">
        <f>'Water Heater Stock'!K18*'Device Energy Use'!$C8</f>
        <v>0</v>
      </c>
      <c r="L67" s="34">
        <f>'Water Heater Stock'!L18*'Device Energy Use'!$C8</f>
        <v>0</v>
      </c>
      <c r="M67" s="34">
        <f>'Water Heater Stock'!M18*'Device Energy Use'!$C8</f>
        <v>0</v>
      </c>
      <c r="N67" s="34">
        <f>'Water Heater Stock'!N18*'Device Energy Use'!$C8</f>
        <v>0</v>
      </c>
      <c r="O67" s="34">
        <f>'Water Heater Stock'!O18*'Device Energy Use'!$C8</f>
        <v>0</v>
      </c>
      <c r="P67" s="34">
        <f>'Water Heater Stock'!P18*'Device Energy Use'!$C8</f>
        <v>0</v>
      </c>
      <c r="Q67" s="34">
        <f>'Water Heater Stock'!Q18*'Device Energy Use'!$C8</f>
        <v>0</v>
      </c>
      <c r="R67" s="34">
        <f>'Water Heater Stock'!R18*'Device Energy Use'!$C8</f>
        <v>0</v>
      </c>
      <c r="S67" s="34">
        <f>'Water Heater Stock'!S18*'Device Energy Use'!$C8</f>
        <v>0</v>
      </c>
      <c r="T67" s="34">
        <f>'Water Heater Stock'!T18*'Device Energy Use'!$C8</f>
        <v>0</v>
      </c>
      <c r="U67" s="34">
        <f>'Water Heater Stock'!U18*'Device Energy Use'!$C8</f>
        <v>0</v>
      </c>
      <c r="V67" s="34">
        <f>'Water Heater Stock'!V18*'Device Energy Use'!$C8</f>
        <v>0</v>
      </c>
      <c r="W67" s="34">
        <f>'Water Heater Stock'!W18*'Device Energy Use'!$C8</f>
        <v>0</v>
      </c>
    </row>
    <row r="68" spans="1:23">
      <c r="A68" s="38" t="str">
        <f>'Device Energy Use'!A9</f>
        <v>Condensing Gas</v>
      </c>
      <c r="B68" s="34">
        <f>'Water Heater Stock'!B19*'Device Energy Use'!$C9</f>
        <v>0</v>
      </c>
      <c r="C68" s="34">
        <f>'Water Heater Stock'!C19*'Device Energy Use'!$C9</f>
        <v>0</v>
      </c>
      <c r="D68" s="34">
        <f>'Water Heater Stock'!D19*'Device Energy Use'!$C9</f>
        <v>0</v>
      </c>
      <c r="E68" s="34">
        <f>'Water Heater Stock'!E19*'Device Energy Use'!$C9</f>
        <v>0</v>
      </c>
      <c r="F68" s="34">
        <f>'Water Heater Stock'!F19*'Device Energy Use'!$C9</f>
        <v>0</v>
      </c>
      <c r="G68" s="34">
        <f>'Water Heater Stock'!G19*'Device Energy Use'!$C9</f>
        <v>0</v>
      </c>
      <c r="H68" s="34">
        <f>'Water Heater Stock'!H19*'Device Energy Use'!$C9</f>
        <v>0</v>
      </c>
      <c r="I68" s="34">
        <f>'Water Heater Stock'!I19*'Device Energy Use'!$C9</f>
        <v>0</v>
      </c>
      <c r="J68" s="34">
        <f>'Water Heater Stock'!J19*'Device Energy Use'!$C9</f>
        <v>0</v>
      </c>
      <c r="K68" s="34">
        <f>'Water Heater Stock'!K19*'Device Energy Use'!$C9</f>
        <v>0</v>
      </c>
      <c r="L68" s="34">
        <f>'Water Heater Stock'!L19*'Device Energy Use'!$C9</f>
        <v>0</v>
      </c>
      <c r="M68" s="34">
        <f>'Water Heater Stock'!M19*'Device Energy Use'!$C9</f>
        <v>0</v>
      </c>
      <c r="N68" s="34">
        <f>'Water Heater Stock'!N19*'Device Energy Use'!$C9</f>
        <v>0</v>
      </c>
      <c r="O68" s="34">
        <f>'Water Heater Stock'!O19*'Device Energy Use'!$C9</f>
        <v>0</v>
      </c>
      <c r="P68" s="34">
        <f>'Water Heater Stock'!P19*'Device Energy Use'!$C9</f>
        <v>0</v>
      </c>
      <c r="Q68" s="34">
        <f>'Water Heater Stock'!Q19*'Device Energy Use'!$C9</f>
        <v>0</v>
      </c>
      <c r="R68" s="34">
        <f>'Water Heater Stock'!R19*'Device Energy Use'!$C9</f>
        <v>0</v>
      </c>
      <c r="S68" s="34">
        <f>'Water Heater Stock'!S19*'Device Energy Use'!$C9</f>
        <v>0</v>
      </c>
      <c r="T68" s="34">
        <f>'Water Heater Stock'!T19*'Device Energy Use'!$C9</f>
        <v>0</v>
      </c>
      <c r="U68" s="34">
        <f>'Water Heater Stock'!U19*'Device Energy Use'!$C9</f>
        <v>0</v>
      </c>
      <c r="V68" s="34">
        <f>'Water Heater Stock'!V19*'Device Energy Use'!$C9</f>
        <v>0</v>
      </c>
      <c r="W68" s="34">
        <f>'Water Heater Stock'!W19*'Device Energy Use'!$C9</f>
        <v>0</v>
      </c>
    </row>
    <row r="69" spans="1:23">
      <c r="A69" s="3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W19"/>
  <sheetViews>
    <sheetView workbookViewId="0"/>
  </sheetViews>
  <sheetFormatPr defaultColWidth="9.140625" defaultRowHeight="15.75"/>
  <cols>
    <col min="1" max="1" width="20.7109375" style="9" customWidth="1"/>
    <col min="2" max="11" width="9.7109375" style="9" customWidth="1"/>
    <col min="1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>
      <c r="A3" s="12" t="s">
        <v>111</v>
      </c>
    </row>
    <row r="4" spans="1:23" s="23" customFormat="1">
      <c r="A4" s="41" t="str">
        <f>+'Device Energy Use'!A4</f>
        <v>Water Heat Ending</v>
      </c>
      <c r="B4" s="40">
        <v>2014</v>
      </c>
      <c r="C4" s="40">
        <v>2015</v>
      </c>
      <c r="D4" s="40">
        <v>2016</v>
      </c>
      <c r="E4" s="40">
        <v>2017</v>
      </c>
      <c r="F4" s="40">
        <v>2018</v>
      </c>
      <c r="G4" s="40">
        <v>2019</v>
      </c>
      <c r="H4" s="40">
        <v>2020</v>
      </c>
      <c r="I4" s="40">
        <v>2021</v>
      </c>
      <c r="J4" s="40">
        <v>2022</v>
      </c>
      <c r="K4" s="40">
        <v>2023</v>
      </c>
      <c r="L4" s="40">
        <v>2024</v>
      </c>
      <c r="M4" s="40">
        <v>2025</v>
      </c>
      <c r="N4" s="40">
        <v>2026</v>
      </c>
      <c r="O4" s="40">
        <v>2027</v>
      </c>
      <c r="P4" s="40">
        <v>2028</v>
      </c>
      <c r="Q4" s="40">
        <v>2029</v>
      </c>
      <c r="R4" s="40">
        <v>2030</v>
      </c>
      <c r="S4" s="40">
        <v>2031</v>
      </c>
      <c r="T4" s="40">
        <v>2032</v>
      </c>
      <c r="U4" s="40">
        <v>2033</v>
      </c>
      <c r="V4" s="40">
        <v>2034</v>
      </c>
      <c r="W4" s="40">
        <v>2035</v>
      </c>
    </row>
    <row r="5" spans="1:23" s="23" customFormat="1" ht="16.5" thickBot="1">
      <c r="A5" s="49" t="s">
        <v>48</v>
      </c>
      <c r="B5" s="50">
        <f t="shared" ref="B5:W5" si="0">SUM(B6:B10)</f>
        <v>121921.45900000003</v>
      </c>
      <c r="C5" s="50">
        <f t="shared" si="0"/>
        <v>121921.45900000003</v>
      </c>
      <c r="D5" s="50">
        <f t="shared" si="0"/>
        <v>121921.45900000005</v>
      </c>
      <c r="E5" s="50">
        <f t="shared" si="0"/>
        <v>121921.45900000003</v>
      </c>
      <c r="F5" s="50">
        <f t="shared" si="0"/>
        <v>121921.45900000005</v>
      </c>
      <c r="G5" s="50">
        <f t="shared" si="0"/>
        <v>121921.45900000005</v>
      </c>
      <c r="H5" s="50">
        <f t="shared" si="0"/>
        <v>121921.45900000002</v>
      </c>
      <c r="I5" s="50">
        <f t="shared" si="0"/>
        <v>121921.45900000005</v>
      </c>
      <c r="J5" s="50">
        <f t="shared" si="0"/>
        <v>121921.45900000006</v>
      </c>
      <c r="K5" s="50">
        <f t="shared" si="0"/>
        <v>121921.45900000006</v>
      </c>
      <c r="L5" s="50">
        <f t="shared" si="0"/>
        <v>121921.45900000005</v>
      </c>
      <c r="M5" s="50">
        <f t="shared" si="0"/>
        <v>121921.45900000006</v>
      </c>
      <c r="N5" s="50">
        <f t="shared" si="0"/>
        <v>121921.45900000006</v>
      </c>
      <c r="O5" s="50">
        <f t="shared" si="0"/>
        <v>121921.45900000006</v>
      </c>
      <c r="P5" s="50">
        <f t="shared" si="0"/>
        <v>121921.45900000006</v>
      </c>
      <c r="Q5" s="50">
        <f t="shared" si="0"/>
        <v>121921.45900000003</v>
      </c>
      <c r="R5" s="50">
        <f t="shared" si="0"/>
        <v>121921.45900000003</v>
      </c>
      <c r="S5" s="50">
        <f t="shared" si="0"/>
        <v>121921.45900000005</v>
      </c>
      <c r="T5" s="50">
        <f t="shared" si="0"/>
        <v>121921.45900000005</v>
      </c>
      <c r="U5" s="50">
        <f t="shared" si="0"/>
        <v>121921.45900000005</v>
      </c>
      <c r="V5" s="50">
        <f t="shared" si="0"/>
        <v>121921.45900000005</v>
      </c>
      <c r="W5" s="50">
        <f t="shared" si="0"/>
        <v>121921.45900000005</v>
      </c>
    </row>
    <row r="6" spans="1:23" ht="16.5" thickTop="1">
      <c r="A6" s="9" t="str">
        <f>+'Device Energy Use'!A5</f>
        <v>Electric Resistance</v>
      </c>
      <c r="B6" s="34">
        <f>Households</f>
        <v>121921.45900000003</v>
      </c>
      <c r="C6" s="34">
        <f>+B6-'Water Heaters Retired'!C6+'Water Heaters Purchased'!C6</f>
        <v>119915.20781958515</v>
      </c>
      <c r="D6" s="34">
        <f>+C6-'Water Heaters Retired'!D6+'Water Heaters Purchased'!D6</f>
        <v>118048.47704581411</v>
      </c>
      <c r="E6" s="34">
        <f>+D6-'Water Heaters Retired'!E6+'Water Heaters Purchased'!E6</f>
        <v>116309.95532253296</v>
      </c>
      <c r="F6" s="34">
        <f>+E6-'Water Heaters Retired'!F6+'Water Heaters Purchased'!F6</f>
        <v>114688.26015168869</v>
      </c>
      <c r="G6" s="34">
        <f>+F6-'Water Heaters Retired'!G6+'Water Heaters Purchased'!G6</f>
        <v>113171.57897177422</v>
      </c>
      <c r="H6" s="34">
        <f>+G6-'Water Heaters Retired'!H6+'Water Heaters Purchased'!H6</f>
        <v>111747.27591079731</v>
      </c>
      <c r="I6" s="34">
        <f>+H6-'Water Heaters Retired'!I6+'Water Heaters Purchased'!I6</f>
        <v>110401.49827845968</v>
      </c>
      <c r="J6" s="34">
        <f>+I6-'Water Heaters Retired'!J6+'Water Heaters Purchased'!J6</f>
        <v>109118.83413986777</v>
      </c>
      <c r="K6" s="34">
        <f>+J6-'Water Heaters Retired'!K6+'Water Heaters Purchased'!K6</f>
        <v>107882.08691593719</v>
      </c>
      <c r="L6" s="34">
        <f>+K6-'Water Heaters Retired'!L6+'Water Heaters Purchased'!L6</f>
        <v>106672.23996310923</v>
      </c>
      <c r="M6" s="34">
        <f>+L6-'Water Heaters Retired'!M6+'Water Heaters Purchased'!M6</f>
        <v>105468.67789697315</v>
      </c>
      <c r="N6" s="34">
        <f>+M6-'Water Heaters Retired'!N6+'Water Heaters Purchased'!N6</f>
        <v>104249.7074426711</v>
      </c>
      <c r="O6" s="34">
        <f>+N6-'Water Heaters Retired'!O6+'Water Heaters Purchased'!O6</f>
        <v>102993.3778419164</v>
      </c>
      <c r="P6" s="34">
        <f>+O6-'Water Heaters Retired'!P6+'Water Heaters Purchased'!P6</f>
        <v>101678.54459207383</v>
      </c>
      <c r="Q6" s="34">
        <f>+P6-'Water Heaters Retired'!Q6+'Water Heaters Purchased'!Q6</f>
        <v>100286.0629208598</v>
      </c>
      <c r="R6" s="34">
        <f>+Q6-'Water Heaters Retired'!R6+'Water Heaters Purchased'!R6</f>
        <v>98799.955814897374</v>
      </c>
      <c r="S6" s="34">
        <f>+R6-'Water Heaters Retired'!S6+'Water Heaters Purchased'!S6</f>
        <v>97208.390921883358</v>
      </c>
      <c r="T6" s="34">
        <f>+S6-'Water Heaters Retired'!T6+'Water Heaters Purchased'!T6</f>
        <v>95504.327802575033</v>
      </c>
      <c r="U6" s="34">
        <f>+T6-'Water Heaters Retired'!U6+'Water Heaters Purchased'!U6</f>
        <v>93685.7556364474</v>
      </c>
      <c r="V6" s="34">
        <f>+U6-'Water Heaters Retired'!V6+'Water Heaters Purchased'!V6</f>
        <v>91755.514605611141</v>
      </c>
      <c r="W6" s="34">
        <f>+V6-'Water Heaters Retired'!W6+'Water Heaters Purchased'!W6</f>
        <v>89720.761171844526</v>
      </c>
    </row>
    <row r="7" spans="1:23">
      <c r="A7" s="9" t="str">
        <f>+'Device Energy Use'!A6</f>
        <v>HPWH</v>
      </c>
      <c r="B7" s="34">
        <v>0</v>
      </c>
      <c r="C7" s="34">
        <f>+B7-'Water Heaters Retired'!C7+'Water Heaters Purchased'!C7</f>
        <v>0.99127894962637597</v>
      </c>
      <c r="D7" s="34">
        <f>+C7-'Water Heaters Retired'!D7+'Water Heaters Purchased'!D7</f>
        <v>2.9019882169690479</v>
      </c>
      <c r="E7" s="34">
        <f>+D7-'Water Heaters Retired'!E7+'Water Heaters Purchased'!E7</f>
        <v>6.4603661951408355</v>
      </c>
      <c r="F7" s="34">
        <f>+E7-'Water Heaters Retired'!F7+'Water Heaters Purchased'!F7</f>
        <v>12.826715713002331</v>
      </c>
      <c r="G7" s="34">
        <f>+F7-'Water Heaters Retired'!G7+'Water Heaters Purchased'!G7</f>
        <v>23.76074143742083</v>
      </c>
      <c r="H7" s="34">
        <f>+G7-'Water Heaters Retired'!H7+'Water Heaters Purchased'!H7</f>
        <v>41.808186439672241</v>
      </c>
      <c r="I7" s="34">
        <f>+H7-'Water Heaters Retired'!I7+'Water Heaters Purchased'!I7</f>
        <v>70.487524264658859</v>
      </c>
      <c r="J7" s="34">
        <f>+I7-'Water Heaters Retired'!J7+'Water Heaters Purchased'!J7</f>
        <v>114.44820042973996</v>
      </c>
      <c r="K7" s="34">
        <f>+J7-'Water Heaters Retired'!K7+'Water Heaters Purchased'!K7</f>
        <v>179.56428083943189</v>
      </c>
      <c r="L7" s="34">
        <f>+K7-'Water Heaters Retired'!L7+'Water Heaters Purchased'!L7</f>
        <v>272.92403359494944</v>
      </c>
      <c r="M7" s="34">
        <f>+L7-'Water Heaters Retired'!M7+'Water Heaters Purchased'!M7</f>
        <v>402.67994310837599</v>
      </c>
      <c r="N7" s="34">
        <f>+M7-'Water Heaters Retired'!N7+'Water Heaters Purchased'!N7</f>
        <v>577.73731884755387</v>
      </c>
      <c r="O7" s="34">
        <f>+N7-'Water Heaters Retired'!O7+'Water Heaters Purchased'!O7</f>
        <v>807.2833735188168</v>
      </c>
      <c r="P7" s="34">
        <f>+O7-'Water Heaters Retired'!P7+'Water Heaters Purchased'!P7</f>
        <v>1100.189346541395</v>
      </c>
      <c r="Q7" s="34">
        <f>+P7-'Water Heaters Retired'!Q7+'Water Heaters Purchased'!Q7</f>
        <v>1464.3490630251936</v>
      </c>
      <c r="R7" s="34">
        <f>+Q7-'Water Heaters Retired'!R7+'Water Heaters Purchased'!R7</f>
        <v>1906.0390507107834</v>
      </c>
      <c r="S7" s="34">
        <f>+R7-'Water Heaters Retired'!S7+'Water Heaters Purchased'!S7</f>
        <v>2429.3898464270114</v>
      </c>
      <c r="T7" s="34">
        <f>+S7-'Water Heaters Retired'!T7+'Water Heaters Purchased'!T7</f>
        <v>3036.0421606827795</v>
      </c>
      <c r="U7" s="34">
        <f>+T7-'Water Heaters Retired'!U7+'Water Heaters Purchased'!U7</f>
        <v>3725.0288432074753</v>
      </c>
      <c r="V7" s="34">
        <f>+U7-'Water Heaters Retired'!V7+'Water Heaters Purchased'!V7</f>
        <v>4492.8835632208338</v>
      </c>
      <c r="W7" s="34">
        <f>+V7-'Water Heaters Retired'!W7+'Water Heaters Purchased'!W7</f>
        <v>5333.9410219662659</v>
      </c>
    </row>
    <row r="8" spans="1:23">
      <c r="A8" s="9" t="str">
        <f>+'Device Energy Use'!A7</f>
        <v>Gas Tank</v>
      </c>
      <c r="B8" s="34">
        <v>0</v>
      </c>
      <c r="C8" s="34">
        <f>+B8-'Water Heaters Retired'!C8+'Water Heaters Purchased'!C8</f>
        <v>2003.9478826300208</v>
      </c>
      <c r="D8" s="34">
        <f>+C8-'Water Heaters Retired'!D8+'Water Heaters Purchased'!D8</f>
        <v>3866.2289616573235</v>
      </c>
      <c r="E8" s="34">
        <f>+D8-'Water Heaters Retired'!E8+'Water Heaters Purchased'!E8</f>
        <v>5596.4451032380612</v>
      </c>
      <c r="F8" s="34">
        <f>+E8-'Water Heaters Retired'!F8+'Water Heaters Purchased'!F8</f>
        <v>7203.2471676519417</v>
      </c>
      <c r="G8" s="34">
        <f>+F8-'Water Heaters Retired'!G8+'Water Heaters Purchased'!G8</f>
        <v>8694.2925548809981</v>
      </c>
      <c r="H8" s="34">
        <f>+G8-'Water Heaters Retired'!H8+'Water Heaters Purchased'!H8</f>
        <v>10076.187306687314</v>
      </c>
      <c r="I8" s="34">
        <f>+H8-'Water Heaters Retired'!I8+'Water Heaters Purchased'!I8</f>
        <v>11354.423366420113</v>
      </c>
      <c r="J8" s="34">
        <f>+I8-'Water Heaters Retired'!J8+'Water Heaters Purchased'!J8</f>
        <v>12533.326865227007</v>
      </c>
      <c r="K8" s="34">
        <f>+J8-'Water Heaters Retired'!K8+'Water Heaters Purchased'!K8</f>
        <v>13616.037788131969</v>
      </c>
      <c r="L8" s="34">
        <f>+K8-'Water Heaters Retired'!L8+'Water Heaters Purchased'!L8</f>
        <v>14604.543573277988</v>
      </c>
      <c r="M8" s="34">
        <f>+L8-'Water Heaters Retired'!M8+'Water Heaters Purchased'!M8</f>
        <v>15499.787394954423</v>
      </c>
      <c r="N8" s="34">
        <f>+M8-'Water Heaters Retired'!N8+'Water Heaters Purchased'!N8</f>
        <v>16301.864654221556</v>
      </c>
      <c r="O8" s="34">
        <f>+N8-'Water Heaters Retired'!O8+'Water Heaters Purchased'!O8</f>
        <v>17010.308224076369</v>
      </c>
      <c r="P8" s="34">
        <f>+O8-'Water Heaters Retired'!P8+'Water Heaters Purchased'!P8</f>
        <v>17624.445846122297</v>
      </c>
      <c r="Q8" s="34">
        <f>+P8-'Water Heaters Retired'!Q8+'Water Heaters Purchased'!Q8</f>
        <v>18143.795507795185</v>
      </c>
      <c r="R8" s="34">
        <f>+Q8-'Water Heaters Retired'!R8+'Water Heaters Purchased'!R8</f>
        <v>18568.451798374816</v>
      </c>
      <c r="S8" s="34">
        <f>+R8-'Water Heaters Retired'!S8+'Water Heaters Purchased'!S8</f>
        <v>18899.412842060286</v>
      </c>
      <c r="T8" s="34">
        <f>+S8-'Water Heaters Retired'!T8+'Water Heaters Purchased'!T8</f>
        <v>19138.805489995237</v>
      </c>
      <c r="U8" s="34">
        <f>+T8-'Water Heaters Retired'!U8+'Water Heaters Purchased'!U8</f>
        <v>19289.984187773647</v>
      </c>
      <c r="V8" s="34">
        <f>+U8-'Water Heaters Retired'!V8+'Water Heaters Purchased'!V8</f>
        <v>19357.501178058046</v>
      </c>
      <c r="W8" s="34">
        <f>+V8-'Water Heaters Retired'!W8+'Water Heaters Purchased'!W8</f>
        <v>19346.966163772664</v>
      </c>
    </row>
    <row r="9" spans="1:23">
      <c r="A9" s="9" t="str">
        <f>+'Device Energy Use'!A8</f>
        <v>Instant Gas</v>
      </c>
      <c r="B9" s="34">
        <v>0</v>
      </c>
      <c r="C9" s="34">
        <f>+B9-'Water Heaters Retired'!C9+'Water Heaters Purchased'!C9</f>
        <v>0.26867239759672895</v>
      </c>
      <c r="D9" s="34">
        <f>+C9-'Water Heaters Retired'!D9+'Water Heaters Purchased'!D9</f>
        <v>0.7895690192455711</v>
      </c>
      <c r="E9" s="34">
        <f>+D9-'Water Heaters Retired'!E9+'Water Heaters Purchased'!E9</f>
        <v>1.765331729917331</v>
      </c>
      <c r="F9" s="34">
        <f>+E9-'Water Heaters Retired'!F9+'Water Heaters Purchased'!F9</f>
        <v>3.5212598122330796</v>
      </c>
      <c r="G9" s="34">
        <f>+F9-'Water Heaters Retired'!G9+'Water Heaters Purchased'!G9</f>
        <v>6.55452842207362</v>
      </c>
      <c r="H9" s="34">
        <f>+G9-'Water Heaters Retired'!H9+'Water Heaters Purchased'!H9</f>
        <v>11.590184070002286</v>
      </c>
      <c r="I9" s="34">
        <f>+H9-'Water Heaters Retired'!I9+'Water Heaters Purchased'!I9</f>
        <v>19.638739905565167</v>
      </c>
      <c r="J9" s="34">
        <f>+I9-'Water Heaters Retired'!J9+'Water Heaters Purchased'!J9</f>
        <v>32.047371759092954</v>
      </c>
      <c r="K9" s="34">
        <f>+J9-'Water Heaters Retired'!K9+'Water Heaters Purchased'!K9</f>
        <v>50.534230441660256</v>
      </c>
      <c r="L9" s="34">
        <f>+K9-'Water Heaters Retired'!L9+'Water Heaters Purchased'!L9</f>
        <v>77.194020912041623</v>
      </c>
      <c r="M9" s="34">
        <f>+L9-'Water Heaters Retired'!M9+'Water Heaters Purchased'!M9</f>
        <v>114.46367409059526</v>
      </c>
      <c r="N9" s="34">
        <f>+M9-'Water Heaters Retired'!N9+'Water Heaters Purchased'!N9</f>
        <v>165.04044625620895</v>
      </c>
      <c r="O9" s="34">
        <f>+N9-'Water Heaters Retired'!O9+'Water Heaters Purchased'!O9</f>
        <v>231.75137153275722</v>
      </c>
      <c r="P9" s="34">
        <f>+O9-'Water Heaters Retired'!P9+'Water Heaters Purchased'!P9</f>
        <v>317.38192555233911</v>
      </c>
      <c r="Q9" s="34">
        <f>+P9-'Water Heaters Retired'!Q9+'Water Heaters Purchased'!Q9</f>
        <v>424.48112905584674</v>
      </c>
      <c r="R9" s="34">
        <f>+Q9-'Water Heaters Retired'!R9+'Water Heaters Purchased'!R9</f>
        <v>555.16743054903486</v>
      </c>
      <c r="S9" s="34">
        <f>+R9-'Water Heaters Retired'!S9+'Water Heaters Purchased'!S9</f>
        <v>710.96201915389042</v>
      </c>
      <c r="T9" s="34">
        <f>+S9-'Water Heaters Retired'!T9+'Water Heaters Purchased'!T9</f>
        <v>892.67251372935345</v>
      </c>
      <c r="U9" s="34">
        <f>+T9-'Water Heaters Retired'!U9+'Water Heaters Purchased'!U9</f>
        <v>1100.341057771951</v>
      </c>
      <c r="V9" s="34">
        <f>+U9-'Water Heaters Retired'!V9+'Water Heaters Purchased'!V9</f>
        <v>1333.2593140505419</v>
      </c>
      <c r="W9" s="34">
        <f>+V9-'Water Heaters Retired'!W9+'Water Heaters Purchased'!W9</f>
        <v>1590.0419814305656</v>
      </c>
    </row>
    <row r="10" spans="1:23">
      <c r="A10" s="9" t="str">
        <f>+'Device Energy Use'!A9</f>
        <v>Condensing Gas</v>
      </c>
      <c r="B10" s="34">
        <v>0</v>
      </c>
      <c r="C10" s="34">
        <f>+B10-'Water Heaters Retired'!C10+'Water Heaters Purchased'!C10</f>
        <v>1.0433464376453927</v>
      </c>
      <c r="D10" s="34">
        <f>+C10-'Water Heaters Retired'!D10+'Water Heaters Purchased'!D10</f>
        <v>3.0614352923894854</v>
      </c>
      <c r="E10" s="34">
        <f>+D10-'Water Heaters Retired'!E10+'Water Heaters Purchased'!E10</f>
        <v>6.8328763039669722</v>
      </c>
      <c r="F10" s="34">
        <f>+E10-'Water Heaters Retired'!F10+'Water Heaters Purchased'!F10</f>
        <v>13.603705134166781</v>
      </c>
      <c r="G10" s="34">
        <f>+F10-'Water Heaters Retired'!G10+'Water Heaters Purchased'!G10</f>
        <v>25.27220348532898</v>
      </c>
      <c r="H10" s="34">
        <f>+G10-'Water Heaters Retired'!H10+'Water Heaters Purchased'!H10</f>
        <v>44.597412005739798</v>
      </c>
      <c r="I10" s="34">
        <f>+H10-'Water Heaters Retired'!I10+'Water Heaters Purchased'!I10</f>
        <v>75.411090950033497</v>
      </c>
      <c r="J10" s="34">
        <f>+I10-'Water Heaters Retired'!J10+'Water Heaters Purchased'!J10</f>
        <v>122.80242271644553</v>
      </c>
      <c r="K10" s="34">
        <f>+J10-'Water Heaters Retired'!K10+'Water Heaters Purchased'!K10</f>
        <v>193.23578464980102</v>
      </c>
      <c r="L10" s="34">
        <f>+K10-'Water Heaters Retired'!L10+'Water Heaters Purchased'!L10</f>
        <v>294.55740910585041</v>
      </c>
      <c r="M10" s="34">
        <f>+L10-'Water Heaters Retired'!M10+'Water Heaters Purchased'!M10</f>
        <v>435.85009087351011</v>
      </c>
      <c r="N10" s="34">
        <f>+M10-'Water Heaters Retired'!N10+'Water Heaters Purchased'!N10</f>
        <v>627.10913800363744</v>
      </c>
      <c r="O10" s="34">
        <f>+N10-'Water Heaters Retired'!O10+'Water Heaters Purchased'!O10</f>
        <v>878.73818895571162</v>
      </c>
      <c r="P10" s="34">
        <f>+O10-'Water Heaters Retired'!P10+'Water Heaters Purchased'!P10</f>
        <v>1200.8972897101999</v>
      </c>
      <c r="Q10" s="34">
        <f>+P10-'Water Heaters Retired'!Q10+'Water Heaters Purchased'!Q10</f>
        <v>1602.7703792640309</v>
      </c>
      <c r="R10" s="34">
        <f>+Q10-'Water Heaters Retired'!R10+'Water Heaters Purchased'!R10</f>
        <v>2091.8449054680432</v>
      </c>
      <c r="S10" s="34">
        <f>+R10-'Water Heaters Retired'!S10+'Water Heaters Purchased'!S10</f>
        <v>2673.3033704755126</v>
      </c>
      <c r="T10" s="34">
        <f>+S10-'Water Heaters Retired'!T10+'Water Heaters Purchased'!T10</f>
        <v>3349.6110330176484</v>
      </c>
      <c r="U10" s="34">
        <f>+T10-'Water Heaters Retired'!U10+'Water Heaters Purchased'!U10</f>
        <v>4120.3492747995788</v>
      </c>
      <c r="V10" s="34">
        <f>+U10-'Water Heaters Retired'!V10+'Water Heaters Purchased'!V10</f>
        <v>4982.3003390594877</v>
      </c>
      <c r="W10" s="34">
        <f>+V10-'Water Heaters Retired'!W10+'Water Heaters Purchased'!W10</f>
        <v>5929.7486609860262</v>
      </c>
    </row>
    <row r="11" spans="1:23">
      <c r="A11" s="38"/>
    </row>
    <row r="12" spans="1:23">
      <c r="A12" s="102" t="s">
        <v>112</v>
      </c>
    </row>
    <row r="13" spans="1:23" s="23" customFormat="1">
      <c r="A13" s="41" t="str">
        <f>+'Device Energy Use'!A4</f>
        <v>Water Heat Ending</v>
      </c>
      <c r="B13" s="40">
        <v>2014</v>
      </c>
      <c r="C13" s="40">
        <v>2015</v>
      </c>
      <c r="D13" s="40">
        <v>2016</v>
      </c>
      <c r="E13" s="40">
        <v>2017</v>
      </c>
      <c r="F13" s="40">
        <v>2018</v>
      </c>
      <c r="G13" s="40">
        <v>2019</v>
      </c>
      <c r="H13" s="40">
        <v>2020</v>
      </c>
      <c r="I13" s="40">
        <v>2021</v>
      </c>
      <c r="J13" s="40">
        <v>2022</v>
      </c>
      <c r="K13" s="40">
        <v>2023</v>
      </c>
      <c r="L13" s="40">
        <v>2024</v>
      </c>
      <c r="M13" s="40">
        <v>2025</v>
      </c>
      <c r="N13" s="40">
        <v>2026</v>
      </c>
      <c r="O13" s="40">
        <v>2027</v>
      </c>
      <c r="P13" s="40">
        <v>2028</v>
      </c>
      <c r="Q13" s="40">
        <v>2029</v>
      </c>
      <c r="R13" s="40">
        <v>2030</v>
      </c>
      <c r="S13" s="40">
        <v>2031</v>
      </c>
      <c r="T13" s="40">
        <v>2032</v>
      </c>
      <c r="U13" s="40">
        <v>2033</v>
      </c>
      <c r="V13" s="40">
        <v>2034</v>
      </c>
      <c r="W13" s="40">
        <v>2035</v>
      </c>
    </row>
    <row r="14" spans="1:23" s="23" customFormat="1" ht="16.5" thickBot="1">
      <c r="A14" s="49" t="s">
        <v>48</v>
      </c>
      <c r="B14" s="50">
        <f t="shared" ref="B14:W14" si="1">SUM(B15:B19)</f>
        <v>121921.45900000003</v>
      </c>
      <c r="C14" s="50">
        <f t="shared" si="1"/>
        <v>121921.45900000003</v>
      </c>
      <c r="D14" s="50">
        <f t="shared" si="1"/>
        <v>121921.45900000003</v>
      </c>
      <c r="E14" s="50">
        <f t="shared" si="1"/>
        <v>121921.45900000003</v>
      </c>
      <c r="F14" s="50">
        <f t="shared" si="1"/>
        <v>121921.45900000003</v>
      </c>
      <c r="G14" s="50">
        <f t="shared" si="1"/>
        <v>121921.45900000003</v>
      </c>
      <c r="H14" s="50">
        <f t="shared" si="1"/>
        <v>121921.45900000003</v>
      </c>
      <c r="I14" s="50">
        <f t="shared" si="1"/>
        <v>121921.45900000003</v>
      </c>
      <c r="J14" s="50">
        <f t="shared" si="1"/>
        <v>121921.45900000003</v>
      </c>
      <c r="K14" s="50">
        <f t="shared" si="1"/>
        <v>121921.45900000003</v>
      </c>
      <c r="L14" s="50">
        <f t="shared" si="1"/>
        <v>121921.45900000003</v>
      </c>
      <c r="M14" s="50">
        <f t="shared" si="1"/>
        <v>121921.45900000003</v>
      </c>
      <c r="N14" s="50">
        <f t="shared" si="1"/>
        <v>121921.45900000003</v>
      </c>
      <c r="O14" s="50">
        <f t="shared" si="1"/>
        <v>121921.45900000005</v>
      </c>
      <c r="P14" s="50">
        <f t="shared" si="1"/>
        <v>121921.45900000005</v>
      </c>
      <c r="Q14" s="50">
        <f t="shared" si="1"/>
        <v>121921.45900000003</v>
      </c>
      <c r="R14" s="50">
        <f t="shared" si="1"/>
        <v>121921.45900000005</v>
      </c>
      <c r="S14" s="50">
        <f t="shared" si="1"/>
        <v>121921.45900000003</v>
      </c>
      <c r="T14" s="50">
        <f t="shared" si="1"/>
        <v>121921.45900000003</v>
      </c>
      <c r="U14" s="50">
        <f t="shared" si="1"/>
        <v>121921.45900000002</v>
      </c>
      <c r="V14" s="50">
        <f t="shared" si="1"/>
        <v>121921.45900000002</v>
      </c>
      <c r="W14" s="50">
        <f t="shared" si="1"/>
        <v>121921.45900000002</v>
      </c>
    </row>
    <row r="15" spans="1:23" ht="16.5" thickTop="1">
      <c r="A15" s="9" t="str">
        <f>+'Device Energy Use'!A5</f>
        <v>Electric Resistance</v>
      </c>
      <c r="B15" s="34">
        <f>Households</f>
        <v>121921.45900000003</v>
      </c>
      <c r="C15" s="34">
        <f>+B15-'Water Heaters Retired'!C15+'Water Heaters Purchased'!C15</f>
        <v>113212.78335714289</v>
      </c>
      <c r="D15" s="34">
        <f>+C15-'Water Heaters Retired'!D15+'Water Heaters Purchased'!D15</f>
        <v>105126.15597448983</v>
      </c>
      <c r="E15" s="34">
        <f>+D15-'Water Heaters Retired'!E15+'Water Heaters Purchased'!E15</f>
        <v>97617.144833454833</v>
      </c>
      <c r="F15" s="34">
        <f>+E15-'Water Heaters Retired'!F15+'Water Heaters Purchased'!F15</f>
        <v>90644.491631065204</v>
      </c>
      <c r="G15" s="34">
        <f>+F15-'Water Heaters Retired'!G15+'Water Heaters Purchased'!G15</f>
        <v>84169.885085989124</v>
      </c>
      <c r="H15" s="34">
        <f>+G15-'Water Heaters Retired'!H15+'Water Heaters Purchased'!H15</f>
        <v>78157.750436989896</v>
      </c>
      <c r="I15" s="34">
        <f>+H15-'Water Heaters Retired'!I15+'Water Heaters Purchased'!I15</f>
        <v>72575.053977204909</v>
      </c>
      <c r="J15" s="34">
        <f>+I15-'Water Heaters Retired'!J15+'Water Heaters Purchased'!J15</f>
        <v>67391.121550261698</v>
      </c>
      <c r="K15" s="34">
        <f>+J15-'Water Heaters Retired'!K15+'Water Heaters Purchased'!K15</f>
        <v>62577.470010957288</v>
      </c>
      <c r="L15" s="34">
        <f>+K15-'Water Heaters Retired'!L15+'Water Heaters Purchased'!L15</f>
        <v>58107.650724460342</v>
      </c>
      <c r="M15" s="34">
        <f>+L15-'Water Heaters Retired'!M15+'Water Heaters Purchased'!M15</f>
        <v>53957.104244141745</v>
      </c>
      <c r="N15" s="34">
        <f>+M15-'Water Heaters Retired'!N15+'Water Heaters Purchased'!N15</f>
        <v>50103.025369560193</v>
      </c>
      <c r="O15" s="34">
        <f>+N15-'Water Heaters Retired'!O15+'Water Heaters Purchased'!O15</f>
        <v>46524.237843163035</v>
      </c>
      <c r="P15" s="34">
        <f>+O15-'Water Heaters Retired'!P15+'Water Heaters Purchased'!P15</f>
        <v>43201.077997222819</v>
      </c>
      <c r="Q15" s="34">
        <f>+P15-'Water Heaters Retired'!Q15+'Water Heaters Purchased'!Q15</f>
        <v>40115.286711706904</v>
      </c>
      <c r="R15" s="34">
        <f>+Q15-'Water Heaters Retired'!R15+'Water Heaters Purchased'!R15</f>
        <v>37249.909089442124</v>
      </c>
      <c r="S15" s="34">
        <f>+R15-'Water Heaters Retired'!S15+'Water Heaters Purchased'!S15</f>
        <v>34589.201297339117</v>
      </c>
      <c r="T15" s="34">
        <f>+S15-'Water Heaters Retired'!T15+'Water Heaters Purchased'!T15</f>
        <v>32118.544061814893</v>
      </c>
      <c r="U15" s="34">
        <f>+T15-'Water Heaters Retired'!U15+'Water Heaters Purchased'!U15</f>
        <v>29824.362343113829</v>
      </c>
      <c r="V15" s="34">
        <f>+U15-'Water Heaters Retired'!V15+'Water Heaters Purchased'!V15</f>
        <v>27694.050747177127</v>
      </c>
      <c r="W15" s="34">
        <f>+V15-'Water Heaters Retired'!W15+'Water Heaters Purchased'!W15</f>
        <v>25715.904265235902</v>
      </c>
    </row>
    <row r="16" spans="1:23">
      <c r="A16" s="9" t="str">
        <f>+'Device Energy Use'!A6</f>
        <v>HPWH</v>
      </c>
      <c r="B16" s="34">
        <v>0</v>
      </c>
      <c r="C16" s="34">
        <f>+B16-'Water Heaters Retired'!C16+'Water Heaters Purchased'!C16</f>
        <v>0</v>
      </c>
      <c r="D16" s="34">
        <f>+C16-'Water Heaters Retired'!D16+'Water Heaters Purchased'!D16</f>
        <v>0</v>
      </c>
      <c r="E16" s="34">
        <f>+D16-'Water Heaters Retired'!E16+'Water Heaters Purchased'!E16</f>
        <v>0</v>
      </c>
      <c r="F16" s="34">
        <f>+E16-'Water Heaters Retired'!F16+'Water Heaters Purchased'!F16</f>
        <v>0</v>
      </c>
      <c r="G16" s="34">
        <f>+F16-'Water Heaters Retired'!G16+'Water Heaters Purchased'!G16</f>
        <v>0</v>
      </c>
      <c r="H16" s="34">
        <f>+G16-'Water Heaters Retired'!H16+'Water Heaters Purchased'!H16</f>
        <v>0</v>
      </c>
      <c r="I16" s="34">
        <f>+H16-'Water Heaters Retired'!I16+'Water Heaters Purchased'!I16</f>
        <v>0</v>
      </c>
      <c r="J16" s="34">
        <f>+I16-'Water Heaters Retired'!J16+'Water Heaters Purchased'!J16</f>
        <v>0</v>
      </c>
      <c r="K16" s="34">
        <f>+J16-'Water Heaters Retired'!K16+'Water Heaters Purchased'!K16</f>
        <v>0</v>
      </c>
      <c r="L16" s="34">
        <f>+K16-'Water Heaters Retired'!L16+'Water Heaters Purchased'!L16</f>
        <v>0</v>
      </c>
      <c r="M16" s="34">
        <f>+L16-'Water Heaters Retired'!M16+'Water Heaters Purchased'!M16</f>
        <v>0</v>
      </c>
      <c r="N16" s="34">
        <f>+M16-'Water Heaters Retired'!N16+'Water Heaters Purchased'!N16</f>
        <v>0</v>
      </c>
      <c r="O16" s="34">
        <f>+N16-'Water Heaters Retired'!O16+'Water Heaters Purchased'!O16</f>
        <v>0</v>
      </c>
      <c r="P16" s="34">
        <f>+O16-'Water Heaters Retired'!P16+'Water Heaters Purchased'!P16</f>
        <v>0</v>
      </c>
      <c r="Q16" s="34">
        <f>+P16-'Water Heaters Retired'!Q16+'Water Heaters Purchased'!Q16</f>
        <v>0</v>
      </c>
      <c r="R16" s="34">
        <f>+Q16-'Water Heaters Retired'!R16+'Water Heaters Purchased'!R16</f>
        <v>0</v>
      </c>
      <c r="S16" s="34">
        <f>+R16-'Water Heaters Retired'!S16+'Water Heaters Purchased'!S16</f>
        <v>0</v>
      </c>
      <c r="T16" s="34">
        <f>+S16-'Water Heaters Retired'!T16+'Water Heaters Purchased'!T16</f>
        <v>0</v>
      </c>
      <c r="U16" s="34">
        <f>+T16-'Water Heaters Retired'!U16+'Water Heaters Purchased'!U16</f>
        <v>0</v>
      </c>
      <c r="V16" s="34">
        <f>+U16-'Water Heaters Retired'!V16+'Water Heaters Purchased'!V16</f>
        <v>0</v>
      </c>
      <c r="W16" s="34">
        <f>+V16-'Water Heaters Retired'!W16+'Water Heaters Purchased'!W16</f>
        <v>0</v>
      </c>
    </row>
    <row r="17" spans="1:23">
      <c r="A17" s="9" t="str">
        <f>+'Device Energy Use'!A7</f>
        <v>Gas Tank</v>
      </c>
      <c r="B17" s="34">
        <v>0</v>
      </c>
      <c r="C17" s="34">
        <f>+B17-'Water Heaters Retired'!C17+'Water Heaters Purchased'!C17</f>
        <v>8708.6756428571443</v>
      </c>
      <c r="D17" s="34">
        <f>+C17-'Water Heaters Retired'!D17+'Water Heaters Purchased'!D17</f>
        <v>16795.303025510209</v>
      </c>
      <c r="E17" s="34">
        <f>+D17-'Water Heaters Retired'!E17+'Water Heaters Purchased'!E17</f>
        <v>24304.314166545199</v>
      </c>
      <c r="F17" s="34">
        <f>+E17-'Water Heaters Retired'!F17+'Water Heaters Purchased'!F17</f>
        <v>31276.967368934827</v>
      </c>
      <c r="G17" s="34">
        <f>+F17-'Water Heaters Retired'!G17+'Water Heaters Purchased'!G17</f>
        <v>37751.573914010914</v>
      </c>
      <c r="H17" s="34">
        <f>+G17-'Water Heaters Retired'!H17+'Water Heaters Purchased'!H17</f>
        <v>43763.708563010136</v>
      </c>
      <c r="I17" s="34">
        <f>+H17-'Water Heaters Retired'!I17+'Water Heaters Purchased'!I17</f>
        <v>49346.40502279513</v>
      </c>
      <c r="J17" s="34">
        <f>+I17-'Water Heaters Retired'!J17+'Water Heaters Purchased'!J17</f>
        <v>54530.337449738341</v>
      </c>
      <c r="K17" s="34">
        <f>+J17-'Water Heaters Retired'!K17+'Water Heaters Purchased'!K17</f>
        <v>59343.988989042751</v>
      </c>
      <c r="L17" s="34">
        <f>+K17-'Water Heaters Retired'!L17+'Water Heaters Purchased'!L17</f>
        <v>63813.808275539697</v>
      </c>
      <c r="M17" s="34">
        <f>+L17-'Water Heaters Retired'!M17+'Water Heaters Purchased'!M17</f>
        <v>67964.354755858294</v>
      </c>
      <c r="N17" s="34">
        <f>+M17-'Water Heaters Retired'!N17+'Water Heaters Purchased'!N17</f>
        <v>71818.433630439846</v>
      </c>
      <c r="O17" s="34">
        <f>+N17-'Water Heaters Retired'!O17+'Water Heaters Purchased'!O17</f>
        <v>75397.221156837011</v>
      </c>
      <c r="P17" s="34">
        <f>+O17-'Water Heaters Retired'!P17+'Water Heaters Purchased'!P17</f>
        <v>78720.381002777227</v>
      </c>
      <c r="Q17" s="34">
        <f>+P17-'Water Heaters Retired'!Q17+'Water Heaters Purchased'!Q17</f>
        <v>81806.172288293135</v>
      </c>
      <c r="R17" s="34">
        <f>+Q17-'Water Heaters Retired'!R17+'Water Heaters Purchased'!R17</f>
        <v>84671.549910557922</v>
      </c>
      <c r="S17" s="34">
        <f>+R17-'Water Heaters Retired'!S17+'Water Heaters Purchased'!S17</f>
        <v>87332.257702660921</v>
      </c>
      <c r="T17" s="34">
        <f>+S17-'Water Heaters Retired'!T17+'Water Heaters Purchased'!T17</f>
        <v>89802.914938185131</v>
      </c>
      <c r="U17" s="34">
        <f>+T17-'Water Heaters Retired'!U17+'Water Heaters Purchased'!U17</f>
        <v>92097.096656886191</v>
      </c>
      <c r="V17" s="34">
        <f>+U17-'Water Heaters Retired'!V17+'Water Heaters Purchased'!V17</f>
        <v>94227.40825282289</v>
      </c>
      <c r="W17" s="34">
        <f>+V17-'Water Heaters Retired'!W17+'Water Heaters Purchased'!W17</f>
        <v>96205.554734764111</v>
      </c>
    </row>
    <row r="18" spans="1:23">
      <c r="A18" s="9" t="str">
        <f>+'Device Energy Use'!A8</f>
        <v>Instant Gas</v>
      </c>
      <c r="B18" s="34">
        <v>0</v>
      </c>
      <c r="C18" s="34">
        <f>+B18-'Water Heaters Retired'!C18+'Water Heaters Purchased'!C18</f>
        <v>0</v>
      </c>
      <c r="D18" s="34">
        <f>+C18-'Water Heaters Retired'!D18+'Water Heaters Purchased'!D18</f>
        <v>0</v>
      </c>
      <c r="E18" s="34">
        <f>+D18-'Water Heaters Retired'!E18+'Water Heaters Purchased'!E18</f>
        <v>0</v>
      </c>
      <c r="F18" s="34">
        <f>+E18-'Water Heaters Retired'!F18+'Water Heaters Purchased'!F18</f>
        <v>0</v>
      </c>
      <c r="G18" s="34">
        <f>+F18-'Water Heaters Retired'!G18+'Water Heaters Purchased'!G18</f>
        <v>0</v>
      </c>
      <c r="H18" s="34">
        <f>+G18-'Water Heaters Retired'!H18+'Water Heaters Purchased'!H18</f>
        <v>0</v>
      </c>
      <c r="I18" s="34">
        <f>+H18-'Water Heaters Retired'!I18+'Water Heaters Purchased'!I18</f>
        <v>0</v>
      </c>
      <c r="J18" s="34">
        <f>+I18-'Water Heaters Retired'!J18+'Water Heaters Purchased'!J18</f>
        <v>0</v>
      </c>
      <c r="K18" s="34">
        <f>+J18-'Water Heaters Retired'!K18+'Water Heaters Purchased'!K18</f>
        <v>0</v>
      </c>
      <c r="L18" s="34">
        <f>+K18-'Water Heaters Retired'!L18+'Water Heaters Purchased'!L18</f>
        <v>0</v>
      </c>
      <c r="M18" s="34">
        <f>+L18-'Water Heaters Retired'!M18+'Water Heaters Purchased'!M18</f>
        <v>0</v>
      </c>
      <c r="N18" s="34">
        <f>+M18-'Water Heaters Retired'!N18+'Water Heaters Purchased'!N18</f>
        <v>0</v>
      </c>
      <c r="O18" s="34">
        <f>+N18-'Water Heaters Retired'!O18+'Water Heaters Purchased'!O18</f>
        <v>0</v>
      </c>
      <c r="P18" s="34">
        <f>+O18-'Water Heaters Retired'!P18+'Water Heaters Purchased'!P18</f>
        <v>0</v>
      </c>
      <c r="Q18" s="34">
        <f>+P18-'Water Heaters Retired'!Q18+'Water Heaters Purchased'!Q18</f>
        <v>0</v>
      </c>
      <c r="R18" s="34">
        <f>+Q18-'Water Heaters Retired'!R18+'Water Heaters Purchased'!R18</f>
        <v>0</v>
      </c>
      <c r="S18" s="34">
        <f>+R18-'Water Heaters Retired'!S18+'Water Heaters Purchased'!S18</f>
        <v>0</v>
      </c>
      <c r="T18" s="34">
        <f>+S18-'Water Heaters Retired'!T18+'Water Heaters Purchased'!T18</f>
        <v>0</v>
      </c>
      <c r="U18" s="34">
        <f>+T18-'Water Heaters Retired'!U18+'Water Heaters Purchased'!U18</f>
        <v>0</v>
      </c>
      <c r="V18" s="34">
        <f>+U18-'Water Heaters Retired'!V18+'Water Heaters Purchased'!V18</f>
        <v>0</v>
      </c>
      <c r="W18" s="34">
        <f>+V18-'Water Heaters Retired'!W18+'Water Heaters Purchased'!W18</f>
        <v>0</v>
      </c>
    </row>
    <row r="19" spans="1:23">
      <c r="A19" s="9" t="str">
        <f>+'Device Energy Use'!A9</f>
        <v>Condensing Gas</v>
      </c>
      <c r="B19" s="34">
        <v>0</v>
      </c>
      <c r="C19" s="34">
        <f>+B19-'Water Heaters Retired'!C19+'Water Heaters Purchased'!C19</f>
        <v>0</v>
      </c>
      <c r="D19" s="34">
        <f>+C19-'Water Heaters Retired'!D19+'Water Heaters Purchased'!D19</f>
        <v>0</v>
      </c>
      <c r="E19" s="34">
        <f>+D19-'Water Heaters Retired'!E19+'Water Heaters Purchased'!E19</f>
        <v>0</v>
      </c>
      <c r="F19" s="34">
        <f>+E19-'Water Heaters Retired'!F19+'Water Heaters Purchased'!F19</f>
        <v>0</v>
      </c>
      <c r="G19" s="34">
        <f>+F19-'Water Heaters Retired'!G19+'Water Heaters Purchased'!G19</f>
        <v>0</v>
      </c>
      <c r="H19" s="34">
        <f>+G19-'Water Heaters Retired'!H19+'Water Heaters Purchased'!H19</f>
        <v>0</v>
      </c>
      <c r="I19" s="34">
        <f>+H19-'Water Heaters Retired'!I19+'Water Heaters Purchased'!I19</f>
        <v>0</v>
      </c>
      <c r="J19" s="34">
        <f>+I19-'Water Heaters Retired'!J19+'Water Heaters Purchased'!J19</f>
        <v>0</v>
      </c>
      <c r="K19" s="34">
        <f>+J19-'Water Heaters Retired'!K19+'Water Heaters Purchased'!K19</f>
        <v>0</v>
      </c>
      <c r="L19" s="34">
        <f>+K19-'Water Heaters Retired'!L19+'Water Heaters Purchased'!L19</f>
        <v>0</v>
      </c>
      <c r="M19" s="34">
        <f>+L19-'Water Heaters Retired'!M19+'Water Heaters Purchased'!M19</f>
        <v>0</v>
      </c>
      <c r="N19" s="34">
        <f>+M19-'Water Heaters Retired'!N19+'Water Heaters Purchased'!N19</f>
        <v>0</v>
      </c>
      <c r="O19" s="34">
        <f>+N19-'Water Heaters Retired'!O19+'Water Heaters Purchased'!O19</f>
        <v>0</v>
      </c>
      <c r="P19" s="34">
        <f>+O19-'Water Heaters Retired'!P19+'Water Heaters Purchased'!P19</f>
        <v>0</v>
      </c>
      <c r="Q19" s="34">
        <f>+P19-'Water Heaters Retired'!Q19+'Water Heaters Purchased'!Q19</f>
        <v>0</v>
      </c>
      <c r="R19" s="34">
        <f>+Q19-'Water Heaters Retired'!R19+'Water Heaters Purchased'!R19</f>
        <v>0</v>
      </c>
      <c r="S19" s="34">
        <f>+R19-'Water Heaters Retired'!S19+'Water Heaters Purchased'!S19</f>
        <v>0</v>
      </c>
      <c r="T19" s="34">
        <f>+S19-'Water Heaters Retired'!T19+'Water Heaters Purchased'!T19</f>
        <v>0</v>
      </c>
      <c r="U19" s="34">
        <f>+T19-'Water Heaters Retired'!U19+'Water Heaters Purchased'!U19</f>
        <v>0</v>
      </c>
      <c r="V19" s="34">
        <f>+U19-'Water Heaters Retired'!V19+'Water Heaters Purchased'!V19</f>
        <v>0</v>
      </c>
      <c r="W19" s="34">
        <f>+V19-'Water Heaters Retired'!W19+'Water Heaters Purchased'!W19</f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W19"/>
  <sheetViews>
    <sheetView workbookViewId="0"/>
  </sheetViews>
  <sheetFormatPr defaultColWidth="9.140625" defaultRowHeight="15.75"/>
  <cols>
    <col min="1" max="1" width="20.7109375" style="9" customWidth="1"/>
    <col min="2" max="10" width="9.7109375" style="9" customWidth="1"/>
    <col min="11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>
      <c r="A3" s="12" t="s">
        <v>109</v>
      </c>
      <c r="D3" s="12"/>
    </row>
    <row r="4" spans="1:23">
      <c r="A4" s="39" t="str">
        <f>'Device Energy Use'!A4</f>
        <v>Water Heat Ending</v>
      </c>
      <c r="B4" s="40">
        <f>'Water Heater Stock'!B4</f>
        <v>2014</v>
      </c>
      <c r="C4" s="40">
        <f>'Water Heater Stock'!C4</f>
        <v>2015</v>
      </c>
      <c r="D4" s="40">
        <f>'Water Heater Stock'!D4</f>
        <v>2016</v>
      </c>
      <c r="E4" s="40">
        <f>'Water Heater Stock'!E4</f>
        <v>2017</v>
      </c>
      <c r="F4" s="40">
        <f>'Water Heater Stock'!F4</f>
        <v>2018</v>
      </c>
      <c r="G4" s="40">
        <f>'Water Heater Stock'!G4</f>
        <v>2019</v>
      </c>
      <c r="H4" s="40">
        <f>'Water Heater Stock'!H4</f>
        <v>2020</v>
      </c>
      <c r="I4" s="40">
        <f>'Water Heater Stock'!I4</f>
        <v>2021</v>
      </c>
      <c r="J4" s="40">
        <f>'Water Heater Stock'!J4</f>
        <v>2022</v>
      </c>
      <c r="K4" s="40">
        <f>'Water Heater Stock'!K4</f>
        <v>2023</v>
      </c>
      <c r="L4" s="40">
        <f>'Water Heater Stock'!L4</f>
        <v>2024</v>
      </c>
      <c r="M4" s="40">
        <f>'Water Heater Stock'!M4</f>
        <v>2025</v>
      </c>
      <c r="N4" s="40">
        <f>'Water Heater Stock'!N4</f>
        <v>2026</v>
      </c>
      <c r="O4" s="40">
        <f>'Water Heater Stock'!O4</f>
        <v>2027</v>
      </c>
      <c r="P4" s="40">
        <f>'Water Heater Stock'!P4</f>
        <v>2028</v>
      </c>
      <c r="Q4" s="40">
        <f>'Water Heater Stock'!Q4</f>
        <v>2029</v>
      </c>
      <c r="R4" s="40">
        <f>'Water Heater Stock'!R4</f>
        <v>2030</v>
      </c>
      <c r="S4" s="40">
        <f>'Water Heater Stock'!S4</f>
        <v>2031</v>
      </c>
      <c r="T4" s="40">
        <f>'Water Heater Stock'!T4</f>
        <v>2032</v>
      </c>
      <c r="U4" s="40">
        <f>'Water Heater Stock'!U4</f>
        <v>2033</v>
      </c>
      <c r="V4" s="40">
        <f>'Water Heater Stock'!V4</f>
        <v>2034</v>
      </c>
      <c r="W4" s="40">
        <f>'Water Heater Stock'!W4</f>
        <v>2035</v>
      </c>
    </row>
    <row r="5" spans="1:23" ht="16.5" thickBot="1">
      <c r="A5" s="49" t="s">
        <v>48</v>
      </c>
      <c r="B5" s="50">
        <f t="shared" ref="B5:W5" si="0">SUM(B6:B10)</f>
        <v>0</v>
      </c>
      <c r="C5" s="50">
        <f t="shared" si="0"/>
        <v>8708.6756428571443</v>
      </c>
      <c r="D5" s="50">
        <f t="shared" si="0"/>
        <v>8708.6756428571462</v>
      </c>
      <c r="E5" s="50">
        <f t="shared" si="0"/>
        <v>8708.675642857148</v>
      </c>
      <c r="F5" s="50">
        <f t="shared" si="0"/>
        <v>8708.6756428571443</v>
      </c>
      <c r="G5" s="50">
        <f t="shared" si="0"/>
        <v>8708.6756428571443</v>
      </c>
      <c r="H5" s="50">
        <f t="shared" si="0"/>
        <v>8708.6756428571462</v>
      </c>
      <c r="I5" s="50">
        <f t="shared" si="0"/>
        <v>8708.6756428571443</v>
      </c>
      <c r="J5" s="50">
        <f t="shared" si="0"/>
        <v>8708.6756428571462</v>
      </c>
      <c r="K5" s="50">
        <f t="shared" si="0"/>
        <v>8708.6756428571462</v>
      </c>
      <c r="L5" s="50">
        <f t="shared" si="0"/>
        <v>8708.6756428571462</v>
      </c>
      <c r="M5" s="50">
        <f t="shared" si="0"/>
        <v>8708.6756428571462</v>
      </c>
      <c r="N5" s="50">
        <f t="shared" si="0"/>
        <v>8708.675642857148</v>
      </c>
      <c r="O5" s="50">
        <f t="shared" si="0"/>
        <v>8708.6756428571462</v>
      </c>
      <c r="P5" s="50">
        <f t="shared" si="0"/>
        <v>8708.6756428571462</v>
      </c>
      <c r="Q5" s="50">
        <f t="shared" si="0"/>
        <v>8708.675642857148</v>
      </c>
      <c r="R5" s="50">
        <f t="shared" si="0"/>
        <v>8708.675642857148</v>
      </c>
      <c r="S5" s="50">
        <f t="shared" si="0"/>
        <v>8708.675642857148</v>
      </c>
      <c r="T5" s="50">
        <f t="shared" si="0"/>
        <v>8708.6756428571462</v>
      </c>
      <c r="U5" s="50">
        <f t="shared" si="0"/>
        <v>8708.675642857148</v>
      </c>
      <c r="V5" s="50">
        <f t="shared" si="0"/>
        <v>8708.6756428571462</v>
      </c>
      <c r="W5" s="50">
        <f t="shared" si="0"/>
        <v>8708.6756428571462</v>
      </c>
    </row>
    <row r="6" spans="1:23" ht="16.5" thickTop="1">
      <c r="A6" s="9" t="str">
        <f>+'Water Heater Stock'!A6</f>
        <v>Electric Resistance</v>
      </c>
      <c r="B6" s="34">
        <v>0</v>
      </c>
      <c r="C6" s="34">
        <f>'Water Heater Stock'!B6/Lifetime</f>
        <v>8708.6756428571443</v>
      </c>
      <c r="D6" s="34">
        <f>'Water Heater Stock'!C6/Lifetime</f>
        <v>8565.3719871132253</v>
      </c>
      <c r="E6" s="34">
        <f>'Water Heater Stock'!D6/Lifetime</f>
        <v>8432.0340747010086</v>
      </c>
      <c r="F6" s="34">
        <f>'Water Heater Stock'!E6/Lifetime</f>
        <v>8307.853951609497</v>
      </c>
      <c r="G6" s="34">
        <f>'Water Heater Stock'!F6/Lifetime</f>
        <v>8192.0185822634776</v>
      </c>
      <c r="H6" s="34">
        <f>'Water Heater Stock'!G6/Lifetime</f>
        <v>8083.6842122695871</v>
      </c>
      <c r="I6" s="34">
        <f>'Water Heater Stock'!H6/Lifetime</f>
        <v>7981.948279342665</v>
      </c>
      <c r="J6" s="34">
        <f>'Water Heater Stock'!I6/Lifetime</f>
        <v>7885.8213056042632</v>
      </c>
      <c r="K6" s="34">
        <f>'Water Heater Stock'!J6/Lifetime</f>
        <v>7794.2024385619834</v>
      </c>
      <c r="L6" s="34">
        <f>'Water Heater Stock'!K6/Lifetime</f>
        <v>7705.8633511383714</v>
      </c>
      <c r="M6" s="34">
        <f>'Water Heater Stock'!L6/Lifetime</f>
        <v>7619.4457116506592</v>
      </c>
      <c r="N6" s="34">
        <f>'Water Heater Stock'!M6/Lifetime</f>
        <v>7533.4769926409399</v>
      </c>
      <c r="O6" s="34">
        <f>'Water Heater Stock'!N6/Lifetime</f>
        <v>7446.4076744765071</v>
      </c>
      <c r="P6" s="34">
        <f>'Water Heater Stock'!O6/Lifetime</f>
        <v>7356.6698458511719</v>
      </c>
      <c r="Q6" s="34">
        <f>'Water Heater Stock'!P6/Lifetime</f>
        <v>7262.7531851481308</v>
      </c>
      <c r="R6" s="34">
        <f>'Water Heater Stock'!Q6/Lifetime</f>
        <v>7163.2902086328422</v>
      </c>
      <c r="S6" s="34">
        <f>'Water Heater Stock'!R6/Lifetime</f>
        <v>7057.1397010640985</v>
      </c>
      <c r="T6" s="34">
        <f>'Water Heater Stock'!S6/Lifetime</f>
        <v>6943.4564944202402</v>
      </c>
      <c r="U6" s="34">
        <f>'Water Heater Stock'!T6/Lifetime</f>
        <v>6821.7377001839313</v>
      </c>
      <c r="V6" s="34">
        <f>'Water Heater Stock'!U6/Lifetime</f>
        <v>6691.8396883176711</v>
      </c>
      <c r="W6" s="34">
        <f>'Water Heater Stock'!V6/Lifetime</f>
        <v>6553.9653289722246</v>
      </c>
    </row>
    <row r="7" spans="1:23">
      <c r="A7" s="9" t="str">
        <f>+'Water Heater Stock'!A7</f>
        <v>HPWH</v>
      </c>
      <c r="B7" s="34">
        <v>0</v>
      </c>
      <c r="C7" s="34">
        <f>'Water Heater Stock'!B7/Lifetime</f>
        <v>0</v>
      </c>
      <c r="D7" s="34">
        <f>'Water Heater Stock'!C7/Lifetime</f>
        <v>7.0805639259026859E-2</v>
      </c>
      <c r="E7" s="34">
        <f>'Water Heater Stock'!D7/Lifetime</f>
        <v>0.20728487264064627</v>
      </c>
      <c r="F7" s="34">
        <f>'Water Heater Stock'!E7/Lifetime</f>
        <v>0.46145472822434541</v>
      </c>
      <c r="G7" s="34">
        <f>'Water Heater Stock'!F7/Lifetime</f>
        <v>0.91619397950016646</v>
      </c>
      <c r="H7" s="34">
        <f>'Water Heater Stock'!G7/Lifetime</f>
        <v>1.6971958169586308</v>
      </c>
      <c r="I7" s="34">
        <f>'Water Heater Stock'!H7/Lifetime</f>
        <v>2.9862990314051601</v>
      </c>
      <c r="J7" s="34">
        <f>'Water Heater Stock'!I7/Lifetime</f>
        <v>5.0348231617613468</v>
      </c>
      <c r="K7" s="34">
        <f>'Water Heater Stock'!J7/Lifetime</f>
        <v>8.1748714592671394</v>
      </c>
      <c r="L7" s="34">
        <f>'Water Heater Stock'!K7/Lifetime</f>
        <v>12.82602005995942</v>
      </c>
      <c r="M7" s="34">
        <f>'Water Heater Stock'!L7/Lifetime</f>
        <v>19.494573828210672</v>
      </c>
      <c r="N7" s="34">
        <f>'Water Heater Stock'!M7/Lifetime</f>
        <v>28.762853079169712</v>
      </c>
      <c r="O7" s="34">
        <f>'Water Heater Stock'!N7/Lifetime</f>
        <v>41.266951346253848</v>
      </c>
      <c r="P7" s="34">
        <f>'Water Heater Stock'!O7/Lifetime</f>
        <v>57.663098108486913</v>
      </c>
      <c r="Q7" s="34">
        <f>'Water Heater Stock'!P7/Lifetime</f>
        <v>78.584953324385353</v>
      </c>
      <c r="R7" s="34">
        <f>'Water Heater Stock'!Q7/Lifetime</f>
        <v>104.59636164465668</v>
      </c>
      <c r="S7" s="34">
        <f>'Water Heater Stock'!R7/Lifetime</f>
        <v>136.14564647934168</v>
      </c>
      <c r="T7" s="34">
        <f>'Water Heater Stock'!S7/Lifetime</f>
        <v>173.52784617335797</v>
      </c>
      <c r="U7" s="34">
        <f>'Water Heater Stock'!T7/Lifetime</f>
        <v>216.86015433448424</v>
      </c>
      <c r="V7" s="34">
        <f>'Water Heater Stock'!U7/Lifetime</f>
        <v>266.07348880053394</v>
      </c>
      <c r="W7" s="34">
        <f>'Water Heater Stock'!V7/Lifetime</f>
        <v>320.92025451577382</v>
      </c>
    </row>
    <row r="8" spans="1:23">
      <c r="A8" s="9" t="str">
        <f>+'Water Heater Stock'!A8</f>
        <v>Gas Tank</v>
      </c>
      <c r="B8" s="34">
        <v>0</v>
      </c>
      <c r="C8" s="34">
        <f>'Water Heater Stock'!B8/Lifetime</f>
        <v>0</v>
      </c>
      <c r="D8" s="34">
        <f>'Water Heater Stock'!C8/Lifetime</f>
        <v>143.13913447357291</v>
      </c>
      <c r="E8" s="34">
        <f>'Water Heater Stock'!D8/Lifetime</f>
        <v>276.15921154695167</v>
      </c>
      <c r="F8" s="34">
        <f>'Water Heater Stock'!E8/Lifetime</f>
        <v>399.74607880271867</v>
      </c>
      <c r="G8" s="34">
        <f>'Water Heater Stock'!F8/Lifetime</f>
        <v>514.51765483228155</v>
      </c>
      <c r="H8" s="34">
        <f>'Water Heater Stock'!G8/Lifetime</f>
        <v>621.02089677721415</v>
      </c>
      <c r="I8" s="34">
        <f>'Water Heater Stock'!H8/Lifetime</f>
        <v>719.72766476337961</v>
      </c>
      <c r="J8" s="34">
        <f>'Water Heater Stock'!I8/Lifetime</f>
        <v>811.03024045857944</v>
      </c>
      <c r="K8" s="34">
        <f>'Water Heater Stock'!J8/Lifetime</f>
        <v>895.23763323050048</v>
      </c>
      <c r="L8" s="34">
        <f>'Water Heater Stock'!K8/Lifetime</f>
        <v>972.57412772371208</v>
      </c>
      <c r="M8" s="34">
        <f>'Water Heater Stock'!L8/Lifetime</f>
        <v>1043.1816838055706</v>
      </c>
      <c r="N8" s="34">
        <f>'Water Heater Stock'!M8/Lifetime</f>
        <v>1107.127671068173</v>
      </c>
      <c r="O8" s="34">
        <f>'Water Heater Stock'!N8/Lifetime</f>
        <v>1164.4189038729683</v>
      </c>
      <c r="P8" s="34">
        <f>'Water Heater Stock'!O8/Lifetime</f>
        <v>1215.0220160054548</v>
      </c>
      <c r="Q8" s="34">
        <f>'Water Heater Stock'!P8/Lifetime</f>
        <v>1258.8889890087355</v>
      </c>
      <c r="R8" s="34">
        <f>'Water Heater Stock'!Q8/Lifetime</f>
        <v>1295.9853934139417</v>
      </c>
      <c r="S8" s="34">
        <f>'Water Heater Stock'!R8/Lifetime</f>
        <v>1326.3179855982012</v>
      </c>
      <c r="T8" s="34">
        <f>'Water Heater Stock'!S8/Lifetime</f>
        <v>1349.9580601471632</v>
      </c>
      <c r="U8" s="34">
        <f>'Water Heater Stock'!T8/Lifetime</f>
        <v>1367.0575349996598</v>
      </c>
      <c r="V8" s="34">
        <f>'Water Heater Stock'!U8/Lifetime</f>
        <v>1377.8560134124034</v>
      </c>
      <c r="W8" s="34">
        <f>'Water Heater Stock'!V8/Lifetime</f>
        <v>1382.6786555755748</v>
      </c>
    </row>
    <row r="9" spans="1:23">
      <c r="A9" s="9" t="str">
        <f>+'Water Heater Stock'!A9</f>
        <v>Instant Gas</v>
      </c>
      <c r="B9" s="34">
        <v>0</v>
      </c>
      <c r="C9" s="34">
        <f>'Water Heater Stock'!B9/Lifetime</f>
        <v>0</v>
      </c>
      <c r="D9" s="34">
        <f>'Water Heater Stock'!C9/Lifetime</f>
        <v>1.9190885542623496E-2</v>
      </c>
      <c r="E9" s="34">
        <f>'Water Heater Stock'!D9/Lifetime</f>
        <v>5.6397787088969364E-2</v>
      </c>
      <c r="F9" s="34">
        <f>'Water Heater Stock'!E9/Lifetime</f>
        <v>0.12609512356552363</v>
      </c>
      <c r="G9" s="34">
        <f>'Water Heater Stock'!F9/Lifetime</f>
        <v>0.25151855801664852</v>
      </c>
      <c r="H9" s="34">
        <f>'Water Heater Stock'!G9/Lifetime</f>
        <v>0.46818060157668712</v>
      </c>
      <c r="I9" s="34">
        <f>'Water Heater Stock'!H9/Lifetime</f>
        <v>0.82787029071444895</v>
      </c>
      <c r="J9" s="34">
        <f>'Water Heater Stock'!I9/Lifetime</f>
        <v>1.4027671361117977</v>
      </c>
      <c r="K9" s="34">
        <f>'Water Heater Stock'!J9/Lifetime</f>
        <v>2.2890979827923537</v>
      </c>
      <c r="L9" s="34">
        <f>'Water Heater Stock'!K9/Lifetime</f>
        <v>3.6095878886900183</v>
      </c>
      <c r="M9" s="34">
        <f>'Water Heater Stock'!L9/Lifetime</f>
        <v>5.513858636574402</v>
      </c>
      <c r="N9" s="34">
        <f>'Water Heater Stock'!M9/Lifetime</f>
        <v>8.1759767207568039</v>
      </c>
      <c r="O9" s="34">
        <f>'Water Heater Stock'!N9/Lifetime</f>
        <v>11.788603304014925</v>
      </c>
      <c r="P9" s="34">
        <f>'Water Heater Stock'!O9/Lifetime</f>
        <v>16.553669395196945</v>
      </c>
      <c r="Q9" s="34">
        <f>'Water Heater Stock'!P9/Lifetime</f>
        <v>22.670137539452792</v>
      </c>
      <c r="R9" s="34">
        <f>'Water Heater Stock'!Q9/Lifetime</f>
        <v>30.320080646846197</v>
      </c>
      <c r="S9" s="34">
        <f>'Water Heater Stock'!R9/Lifetime</f>
        <v>39.654816467788201</v>
      </c>
      <c r="T9" s="34">
        <f>'Water Heater Stock'!S9/Lifetime</f>
        <v>50.783001368135032</v>
      </c>
      <c r="U9" s="34">
        <f>'Water Heater Stock'!T9/Lifetime</f>
        <v>63.76232240923953</v>
      </c>
      <c r="V9" s="34">
        <f>'Water Heater Stock'!U9/Lifetime</f>
        <v>78.595789840853641</v>
      </c>
      <c r="W9" s="34">
        <f>'Water Heater Stock'!V9/Lifetime</f>
        <v>95.232808146467278</v>
      </c>
    </row>
    <row r="10" spans="1:23">
      <c r="A10" s="9" t="str">
        <f>+'Water Heater Stock'!A10</f>
        <v>Condensing Gas</v>
      </c>
      <c r="B10" s="34">
        <v>0</v>
      </c>
      <c r="C10" s="34">
        <f>'Water Heater Stock'!B10/Lifetime</f>
        <v>0</v>
      </c>
      <c r="D10" s="34">
        <f>'Water Heater Stock'!C10/Lifetime</f>
        <v>7.4524745546099475E-2</v>
      </c>
      <c r="E10" s="34">
        <f>'Water Heater Stock'!D10/Lifetime</f>
        <v>0.21867394945639182</v>
      </c>
      <c r="F10" s="34">
        <f>'Water Heater Stock'!E10/Lifetime</f>
        <v>0.48806259314049799</v>
      </c>
      <c r="G10" s="34">
        <f>'Water Heater Stock'!F10/Lifetime</f>
        <v>0.97169322386905577</v>
      </c>
      <c r="H10" s="34">
        <f>'Water Heater Stock'!G10/Lifetime</f>
        <v>1.8051573918092128</v>
      </c>
      <c r="I10" s="34">
        <f>'Water Heater Stock'!H10/Lifetime</f>
        <v>3.1855294289814142</v>
      </c>
      <c r="J10" s="34">
        <f>'Water Heater Stock'!I10/Lifetime</f>
        <v>5.3865064964309637</v>
      </c>
      <c r="K10" s="34">
        <f>'Water Heater Stock'!J10/Lifetime</f>
        <v>8.7716016226032529</v>
      </c>
      <c r="L10" s="34">
        <f>'Water Heater Stock'!K10/Lifetime</f>
        <v>13.802556046414358</v>
      </c>
      <c r="M10" s="34">
        <f>'Water Heater Stock'!L10/Lifetime</f>
        <v>21.039814936132171</v>
      </c>
      <c r="N10" s="34">
        <f>'Water Heater Stock'!M10/Lifetime</f>
        <v>31.132149348107866</v>
      </c>
      <c r="O10" s="34">
        <f>'Water Heater Stock'!N10/Lifetime</f>
        <v>44.793509857402675</v>
      </c>
      <c r="P10" s="34">
        <f>'Water Heater Stock'!O10/Lifetime</f>
        <v>62.767013496836547</v>
      </c>
      <c r="Q10" s="34">
        <f>'Water Heater Stock'!P10/Lifetime</f>
        <v>85.778377836442843</v>
      </c>
      <c r="R10" s="34">
        <f>'Water Heater Stock'!Q10/Lifetime</f>
        <v>114.48359851885935</v>
      </c>
      <c r="S10" s="34">
        <f>'Water Heater Stock'!R10/Lifetime</f>
        <v>149.41749324771737</v>
      </c>
      <c r="T10" s="34">
        <f>'Water Heater Stock'!S10/Lifetime</f>
        <v>190.95024074825091</v>
      </c>
      <c r="U10" s="34">
        <f>'Water Heater Stock'!T10/Lifetime</f>
        <v>239.25793092983204</v>
      </c>
      <c r="V10" s="34">
        <f>'Water Heater Stock'!U10/Lifetime</f>
        <v>294.31066248568419</v>
      </c>
      <c r="W10" s="34">
        <f>'Water Heater Stock'!V10/Lifetime</f>
        <v>355.87859564710624</v>
      </c>
    </row>
    <row r="12" spans="1:23">
      <c r="A12" s="12" t="s">
        <v>110</v>
      </c>
      <c r="D12" s="12"/>
    </row>
    <row r="13" spans="1:23">
      <c r="A13" s="39" t="str">
        <f>'Device Energy Use'!A4</f>
        <v>Water Heat Ending</v>
      </c>
      <c r="B13" s="40">
        <f>+'Water Heater Stock'!B13</f>
        <v>2014</v>
      </c>
      <c r="C13" s="40">
        <f>+'Water Heater Stock'!C13</f>
        <v>2015</v>
      </c>
      <c r="D13" s="40">
        <f>+'Water Heater Stock'!D13</f>
        <v>2016</v>
      </c>
      <c r="E13" s="40">
        <f>+'Water Heater Stock'!E13</f>
        <v>2017</v>
      </c>
      <c r="F13" s="40">
        <f>+'Water Heater Stock'!F13</f>
        <v>2018</v>
      </c>
      <c r="G13" s="40">
        <f>+'Water Heater Stock'!G13</f>
        <v>2019</v>
      </c>
      <c r="H13" s="40">
        <f>+'Water Heater Stock'!H13</f>
        <v>2020</v>
      </c>
      <c r="I13" s="40">
        <f>+'Water Heater Stock'!I13</f>
        <v>2021</v>
      </c>
      <c r="J13" s="40">
        <f>+'Water Heater Stock'!J13</f>
        <v>2022</v>
      </c>
      <c r="K13" s="40">
        <f>+'Water Heater Stock'!K13</f>
        <v>2023</v>
      </c>
      <c r="L13" s="40">
        <f>+'Water Heater Stock'!L13</f>
        <v>2024</v>
      </c>
      <c r="M13" s="40">
        <f>+'Water Heater Stock'!M13</f>
        <v>2025</v>
      </c>
      <c r="N13" s="40">
        <f>+'Water Heater Stock'!N13</f>
        <v>2026</v>
      </c>
      <c r="O13" s="40">
        <f>+'Water Heater Stock'!O13</f>
        <v>2027</v>
      </c>
      <c r="P13" s="40">
        <f>+'Water Heater Stock'!P13</f>
        <v>2028</v>
      </c>
      <c r="Q13" s="40">
        <f>+'Water Heater Stock'!Q13</f>
        <v>2029</v>
      </c>
      <c r="R13" s="40">
        <f>+'Water Heater Stock'!R13</f>
        <v>2030</v>
      </c>
      <c r="S13" s="40">
        <f>+'Water Heater Stock'!S13</f>
        <v>2031</v>
      </c>
      <c r="T13" s="40">
        <f>+'Water Heater Stock'!T13</f>
        <v>2032</v>
      </c>
      <c r="U13" s="40">
        <f>+'Water Heater Stock'!U13</f>
        <v>2033</v>
      </c>
      <c r="V13" s="40">
        <f>+'Water Heater Stock'!V13</f>
        <v>2034</v>
      </c>
      <c r="W13" s="40">
        <f>+'Water Heater Stock'!W13</f>
        <v>2035</v>
      </c>
    </row>
    <row r="14" spans="1:23" ht="16.5" thickBot="1">
      <c r="A14" s="49" t="s">
        <v>48</v>
      </c>
      <c r="B14" s="50">
        <f t="shared" ref="B14:W14" si="1">SUM(B15:B19)</f>
        <v>0</v>
      </c>
      <c r="C14" s="50">
        <f t="shared" si="1"/>
        <v>8708.6756428571443</v>
      </c>
      <c r="D14" s="50">
        <f t="shared" si="1"/>
        <v>8708.6756428571462</v>
      </c>
      <c r="E14" s="50">
        <f t="shared" si="1"/>
        <v>8708.6756428571443</v>
      </c>
      <c r="F14" s="50">
        <f t="shared" si="1"/>
        <v>8708.6756428571443</v>
      </c>
      <c r="G14" s="50">
        <f t="shared" si="1"/>
        <v>8708.6756428571462</v>
      </c>
      <c r="H14" s="50">
        <f t="shared" si="1"/>
        <v>8708.6756428571462</v>
      </c>
      <c r="I14" s="50">
        <f t="shared" si="1"/>
        <v>8708.6756428571462</v>
      </c>
      <c r="J14" s="50">
        <f t="shared" si="1"/>
        <v>8708.6756428571462</v>
      </c>
      <c r="K14" s="50">
        <f t="shared" si="1"/>
        <v>8708.6756428571462</v>
      </c>
      <c r="L14" s="50">
        <f t="shared" si="1"/>
        <v>8708.6756428571462</v>
      </c>
      <c r="M14" s="50">
        <f t="shared" si="1"/>
        <v>8708.6756428571462</v>
      </c>
      <c r="N14" s="50">
        <f t="shared" si="1"/>
        <v>8708.6756428571462</v>
      </c>
      <c r="O14" s="50">
        <f t="shared" si="1"/>
        <v>8708.6756428571462</v>
      </c>
      <c r="P14" s="50">
        <f t="shared" si="1"/>
        <v>8708.6756428571462</v>
      </c>
      <c r="Q14" s="50">
        <f t="shared" si="1"/>
        <v>8708.6756428571462</v>
      </c>
      <c r="R14" s="50">
        <f t="shared" si="1"/>
        <v>8708.6756428571462</v>
      </c>
      <c r="S14" s="50">
        <f t="shared" si="1"/>
        <v>8708.6756428571462</v>
      </c>
      <c r="T14" s="50">
        <f t="shared" si="1"/>
        <v>8708.6756428571462</v>
      </c>
      <c r="U14" s="50">
        <f t="shared" si="1"/>
        <v>8708.6756428571443</v>
      </c>
      <c r="V14" s="50">
        <f t="shared" si="1"/>
        <v>8708.6756428571443</v>
      </c>
      <c r="W14" s="50">
        <f t="shared" si="1"/>
        <v>8708.6756428571443</v>
      </c>
    </row>
    <row r="15" spans="1:23" ht="16.5" thickTop="1">
      <c r="A15" s="9" t="str">
        <f>+'Water Heater Stock'!A15</f>
        <v>Electric Resistance</v>
      </c>
      <c r="B15" s="34">
        <v>0</v>
      </c>
      <c r="C15" s="34">
        <f>'Water Heater Stock'!B15/Lifetime</f>
        <v>8708.6756428571443</v>
      </c>
      <c r="D15" s="34">
        <f>'Water Heater Stock'!C15/Lifetime</f>
        <v>8086.6273826530642</v>
      </c>
      <c r="E15" s="34">
        <f>'Water Heater Stock'!D15/Lifetime</f>
        <v>7509.0111410349873</v>
      </c>
      <c r="F15" s="34">
        <f>'Water Heater Stock'!E15/Lifetime</f>
        <v>6972.6532023896307</v>
      </c>
      <c r="G15" s="34">
        <f>'Water Heater Stock'!F15/Lifetime</f>
        <v>6474.6065450760861</v>
      </c>
      <c r="H15" s="34">
        <f>'Water Heater Stock'!G15/Lifetime</f>
        <v>6012.1346489992229</v>
      </c>
      <c r="I15" s="34">
        <f>'Water Heater Stock'!H15/Lifetime</f>
        <v>5582.6964597849928</v>
      </c>
      <c r="J15" s="34">
        <f>'Water Heater Stock'!I15/Lifetime</f>
        <v>5183.9324269432082</v>
      </c>
      <c r="K15" s="34">
        <f>'Water Heater Stock'!J15/Lifetime</f>
        <v>4813.6515393044074</v>
      </c>
      <c r="L15" s="34">
        <f>'Water Heater Stock'!K15/Lifetime</f>
        <v>4469.8192864969487</v>
      </c>
      <c r="M15" s="34">
        <f>'Water Heater Stock'!L15/Lifetime</f>
        <v>4150.546480318596</v>
      </c>
      <c r="N15" s="34">
        <f>'Water Heater Stock'!M15/Lifetime</f>
        <v>3854.078874581553</v>
      </c>
      <c r="O15" s="34">
        <f>'Water Heater Stock'!N15/Lifetime</f>
        <v>3578.7875263971569</v>
      </c>
      <c r="P15" s="34">
        <f>'Water Heater Stock'!O15/Lifetime</f>
        <v>3323.1598459402167</v>
      </c>
      <c r="Q15" s="34">
        <f>'Water Heater Stock'!P15/Lifetime</f>
        <v>3085.7912855159157</v>
      </c>
      <c r="R15" s="34">
        <f>'Water Heater Stock'!Q15/Lifetime</f>
        <v>2865.3776222647789</v>
      </c>
      <c r="S15" s="34">
        <f>'Water Heater Stock'!R15/Lifetime</f>
        <v>2660.7077921030091</v>
      </c>
      <c r="T15" s="34">
        <f>'Water Heater Stock'!S15/Lifetime</f>
        <v>2470.6572355242229</v>
      </c>
      <c r="U15" s="34">
        <f>'Water Heater Stock'!T15/Lifetime</f>
        <v>2294.1817187010638</v>
      </c>
      <c r="V15" s="34">
        <f>'Water Heater Stock'!U15/Lifetime</f>
        <v>2130.3115959367019</v>
      </c>
      <c r="W15" s="34">
        <f>'Water Heater Stock'!V15/Lifetime</f>
        <v>1978.1464819412233</v>
      </c>
    </row>
    <row r="16" spans="1:23">
      <c r="A16" s="9" t="str">
        <f>+'Water Heater Stock'!A16</f>
        <v>HPWH</v>
      </c>
      <c r="B16" s="34">
        <v>0</v>
      </c>
      <c r="C16" s="34">
        <f>'Water Heater Stock'!B16/Lifetime</f>
        <v>0</v>
      </c>
      <c r="D16" s="34">
        <f>'Water Heater Stock'!C16/Lifetime</f>
        <v>0</v>
      </c>
      <c r="E16" s="34">
        <f>'Water Heater Stock'!D16/Lifetime</f>
        <v>0</v>
      </c>
      <c r="F16" s="34">
        <f>'Water Heater Stock'!E16/Lifetime</f>
        <v>0</v>
      </c>
      <c r="G16" s="34">
        <f>'Water Heater Stock'!F16/Lifetime</f>
        <v>0</v>
      </c>
      <c r="H16" s="34">
        <f>'Water Heater Stock'!G16/Lifetime</f>
        <v>0</v>
      </c>
      <c r="I16" s="34">
        <f>'Water Heater Stock'!H16/Lifetime</f>
        <v>0</v>
      </c>
      <c r="J16" s="34">
        <f>'Water Heater Stock'!I16/Lifetime</f>
        <v>0</v>
      </c>
      <c r="K16" s="34">
        <f>'Water Heater Stock'!J16/Lifetime</f>
        <v>0</v>
      </c>
      <c r="L16" s="34">
        <f>'Water Heater Stock'!K16/Lifetime</f>
        <v>0</v>
      </c>
      <c r="M16" s="34">
        <f>'Water Heater Stock'!L16/Lifetime</f>
        <v>0</v>
      </c>
      <c r="N16" s="34">
        <f>'Water Heater Stock'!M16/Lifetime</f>
        <v>0</v>
      </c>
      <c r="O16" s="34">
        <f>'Water Heater Stock'!N16/Lifetime</f>
        <v>0</v>
      </c>
      <c r="P16" s="34">
        <f>'Water Heater Stock'!O16/Lifetime</f>
        <v>0</v>
      </c>
      <c r="Q16" s="34">
        <f>'Water Heater Stock'!P16/Lifetime</f>
        <v>0</v>
      </c>
      <c r="R16" s="34">
        <f>'Water Heater Stock'!Q16/Lifetime</f>
        <v>0</v>
      </c>
      <c r="S16" s="34">
        <f>'Water Heater Stock'!R16/Lifetime</f>
        <v>0</v>
      </c>
      <c r="T16" s="34">
        <f>'Water Heater Stock'!S16/Lifetime</f>
        <v>0</v>
      </c>
      <c r="U16" s="34">
        <f>'Water Heater Stock'!T16/Lifetime</f>
        <v>0</v>
      </c>
      <c r="V16" s="34">
        <f>'Water Heater Stock'!U16/Lifetime</f>
        <v>0</v>
      </c>
      <c r="W16" s="34">
        <f>'Water Heater Stock'!V16/Lifetime</f>
        <v>0</v>
      </c>
    </row>
    <row r="17" spans="1:23">
      <c r="A17" s="9" t="str">
        <f>+'Water Heater Stock'!A17</f>
        <v>Gas Tank</v>
      </c>
      <c r="B17" s="34">
        <v>0</v>
      </c>
      <c r="C17" s="34">
        <f>'Water Heater Stock'!B17/Lifetime</f>
        <v>0</v>
      </c>
      <c r="D17" s="34">
        <f>'Water Heater Stock'!C17/Lifetime</f>
        <v>622.04826020408177</v>
      </c>
      <c r="E17" s="34">
        <f>'Water Heater Stock'!D17/Lifetime</f>
        <v>1199.6645018221577</v>
      </c>
      <c r="F17" s="34">
        <f>'Water Heater Stock'!E17/Lifetime</f>
        <v>1736.0224404675141</v>
      </c>
      <c r="G17" s="34">
        <f>'Water Heater Stock'!F17/Lifetime</f>
        <v>2234.0690977810591</v>
      </c>
      <c r="H17" s="34">
        <f>'Water Heater Stock'!G17/Lifetime</f>
        <v>2696.5409938579223</v>
      </c>
      <c r="I17" s="34">
        <f>'Water Heater Stock'!H17/Lifetime</f>
        <v>3125.9791830721524</v>
      </c>
      <c r="J17" s="34">
        <f>'Water Heater Stock'!I17/Lifetime</f>
        <v>3524.743215913938</v>
      </c>
      <c r="K17" s="34">
        <f>'Water Heater Stock'!J17/Lifetime</f>
        <v>3895.0241035527388</v>
      </c>
      <c r="L17" s="34">
        <f>'Water Heater Stock'!K17/Lifetime</f>
        <v>4238.8563563601965</v>
      </c>
      <c r="M17" s="34">
        <f>'Water Heater Stock'!L17/Lifetime</f>
        <v>4558.1291625385502</v>
      </c>
      <c r="N17" s="34">
        <f>'Water Heater Stock'!M17/Lifetime</f>
        <v>4854.5967682755927</v>
      </c>
      <c r="O17" s="34">
        <f>'Water Heater Stock'!N17/Lifetime</f>
        <v>5129.8881164599889</v>
      </c>
      <c r="P17" s="34">
        <f>'Water Heater Stock'!O17/Lifetime</f>
        <v>5385.5157969169295</v>
      </c>
      <c r="Q17" s="34">
        <f>'Water Heater Stock'!P17/Lifetime</f>
        <v>5622.8843573412305</v>
      </c>
      <c r="R17" s="34">
        <f>'Water Heater Stock'!Q17/Lifetime</f>
        <v>5843.2980205923668</v>
      </c>
      <c r="S17" s="34">
        <f>'Water Heater Stock'!R17/Lifetime</f>
        <v>6047.9678507541375</v>
      </c>
      <c r="T17" s="34">
        <f>'Water Heater Stock'!S17/Lifetime</f>
        <v>6238.0184073329228</v>
      </c>
      <c r="U17" s="34">
        <f>'Water Heater Stock'!T17/Lifetime</f>
        <v>6414.4939241560805</v>
      </c>
      <c r="V17" s="34">
        <f>'Water Heater Stock'!U17/Lifetime</f>
        <v>6578.364046920442</v>
      </c>
      <c r="W17" s="34">
        <f>'Water Heater Stock'!V17/Lifetime</f>
        <v>6730.5291609159203</v>
      </c>
    </row>
    <row r="18" spans="1:23">
      <c r="A18" s="9" t="str">
        <f>+'Water Heater Stock'!A18</f>
        <v>Instant Gas</v>
      </c>
      <c r="B18" s="34">
        <v>0</v>
      </c>
      <c r="C18" s="34">
        <f>'Water Heater Stock'!B18/Lifetime</f>
        <v>0</v>
      </c>
      <c r="D18" s="34">
        <f>'Water Heater Stock'!C18/Lifetime</f>
        <v>0</v>
      </c>
      <c r="E18" s="34">
        <f>'Water Heater Stock'!D18/Lifetime</f>
        <v>0</v>
      </c>
      <c r="F18" s="34">
        <f>'Water Heater Stock'!E18/Lifetime</f>
        <v>0</v>
      </c>
      <c r="G18" s="34">
        <f>'Water Heater Stock'!F18/Lifetime</f>
        <v>0</v>
      </c>
      <c r="H18" s="34">
        <f>'Water Heater Stock'!G18/Lifetime</f>
        <v>0</v>
      </c>
      <c r="I18" s="34">
        <f>'Water Heater Stock'!H18/Lifetime</f>
        <v>0</v>
      </c>
      <c r="J18" s="34">
        <f>'Water Heater Stock'!I18/Lifetime</f>
        <v>0</v>
      </c>
      <c r="K18" s="34">
        <f>'Water Heater Stock'!J18/Lifetime</f>
        <v>0</v>
      </c>
      <c r="L18" s="34">
        <f>'Water Heater Stock'!K18/Lifetime</f>
        <v>0</v>
      </c>
      <c r="M18" s="34">
        <f>'Water Heater Stock'!L18/Lifetime</f>
        <v>0</v>
      </c>
      <c r="N18" s="34">
        <f>'Water Heater Stock'!M18/Lifetime</f>
        <v>0</v>
      </c>
      <c r="O18" s="34">
        <f>'Water Heater Stock'!N18/Lifetime</f>
        <v>0</v>
      </c>
      <c r="P18" s="34">
        <f>'Water Heater Stock'!O18/Lifetime</f>
        <v>0</v>
      </c>
      <c r="Q18" s="34">
        <f>'Water Heater Stock'!P18/Lifetime</f>
        <v>0</v>
      </c>
      <c r="R18" s="34">
        <f>'Water Heater Stock'!Q18/Lifetime</f>
        <v>0</v>
      </c>
      <c r="S18" s="34">
        <f>'Water Heater Stock'!R18/Lifetime</f>
        <v>0</v>
      </c>
      <c r="T18" s="34">
        <f>'Water Heater Stock'!S18/Lifetime</f>
        <v>0</v>
      </c>
      <c r="U18" s="34">
        <f>'Water Heater Stock'!T18/Lifetime</f>
        <v>0</v>
      </c>
      <c r="V18" s="34">
        <f>'Water Heater Stock'!U18/Lifetime</f>
        <v>0</v>
      </c>
      <c r="W18" s="34">
        <f>'Water Heater Stock'!V18/Lifetime</f>
        <v>0</v>
      </c>
    </row>
    <row r="19" spans="1:23">
      <c r="A19" s="9" t="str">
        <f>+'Water Heater Stock'!A19</f>
        <v>Condensing Gas</v>
      </c>
      <c r="B19" s="34">
        <v>0</v>
      </c>
      <c r="C19" s="34">
        <f>'Water Heater Stock'!B19/Lifetime</f>
        <v>0</v>
      </c>
      <c r="D19" s="34">
        <f>'Water Heater Stock'!C19/Lifetime</f>
        <v>0</v>
      </c>
      <c r="E19" s="34">
        <f>'Water Heater Stock'!D19/Lifetime</f>
        <v>0</v>
      </c>
      <c r="F19" s="34">
        <f>'Water Heater Stock'!E19/Lifetime</f>
        <v>0</v>
      </c>
      <c r="G19" s="34">
        <f>'Water Heater Stock'!F19/Lifetime</f>
        <v>0</v>
      </c>
      <c r="H19" s="34">
        <f>'Water Heater Stock'!G19/Lifetime</f>
        <v>0</v>
      </c>
      <c r="I19" s="34">
        <f>'Water Heater Stock'!H19/Lifetime</f>
        <v>0</v>
      </c>
      <c r="J19" s="34">
        <f>'Water Heater Stock'!I19/Lifetime</f>
        <v>0</v>
      </c>
      <c r="K19" s="34">
        <f>'Water Heater Stock'!J19/Lifetime</f>
        <v>0</v>
      </c>
      <c r="L19" s="34">
        <f>'Water Heater Stock'!K19/Lifetime</f>
        <v>0</v>
      </c>
      <c r="M19" s="34">
        <f>'Water Heater Stock'!L19/Lifetime</f>
        <v>0</v>
      </c>
      <c r="N19" s="34">
        <f>'Water Heater Stock'!M19/Lifetime</f>
        <v>0</v>
      </c>
      <c r="O19" s="34">
        <f>'Water Heater Stock'!N19/Lifetime</f>
        <v>0</v>
      </c>
      <c r="P19" s="34">
        <f>'Water Heater Stock'!O19/Lifetime</f>
        <v>0</v>
      </c>
      <c r="Q19" s="34">
        <f>'Water Heater Stock'!P19/Lifetime</f>
        <v>0</v>
      </c>
      <c r="R19" s="34">
        <f>'Water Heater Stock'!Q19/Lifetime</f>
        <v>0</v>
      </c>
      <c r="S19" s="34">
        <f>'Water Heater Stock'!R19/Lifetime</f>
        <v>0</v>
      </c>
      <c r="T19" s="34">
        <f>'Water Heater Stock'!S19/Lifetime</f>
        <v>0</v>
      </c>
      <c r="U19" s="34">
        <f>'Water Heater Stock'!T19/Lifetime</f>
        <v>0</v>
      </c>
      <c r="V19" s="34">
        <f>'Water Heater Stock'!U19/Lifetime</f>
        <v>0</v>
      </c>
      <c r="W19" s="34">
        <f>'Water Heater Stock'!V19/Lifetime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W19"/>
  <sheetViews>
    <sheetView workbookViewId="0"/>
  </sheetViews>
  <sheetFormatPr defaultColWidth="9.140625" defaultRowHeight="15.75"/>
  <cols>
    <col min="1" max="1" width="20.7109375" style="9" customWidth="1"/>
    <col min="2" max="13" width="9.7109375" style="9" customWidth="1"/>
    <col min="14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>
      <c r="A3" s="12" t="s">
        <v>107</v>
      </c>
    </row>
    <row r="4" spans="1:23">
      <c r="A4" s="39" t="str">
        <f>'Device Energy Use'!A4</f>
        <v>Water Heat Ending</v>
      </c>
      <c r="B4" s="40">
        <f>+'Water Heater Stock'!B4</f>
        <v>2014</v>
      </c>
      <c r="C4" s="40">
        <f>+'Water Heater Stock'!C4</f>
        <v>2015</v>
      </c>
      <c r="D4" s="40">
        <f>+'Water Heater Stock'!D4</f>
        <v>2016</v>
      </c>
      <c r="E4" s="40">
        <f>+'Water Heater Stock'!E4</f>
        <v>2017</v>
      </c>
      <c r="F4" s="40">
        <f>+'Water Heater Stock'!F4</f>
        <v>2018</v>
      </c>
      <c r="G4" s="40">
        <f>+'Water Heater Stock'!G4</f>
        <v>2019</v>
      </c>
      <c r="H4" s="40">
        <f>+'Water Heater Stock'!H4</f>
        <v>2020</v>
      </c>
      <c r="I4" s="40">
        <f>+'Water Heater Stock'!I4</f>
        <v>2021</v>
      </c>
      <c r="J4" s="40">
        <f>+'Water Heater Stock'!J4</f>
        <v>2022</v>
      </c>
      <c r="K4" s="40">
        <f>+'Water Heater Stock'!K4</f>
        <v>2023</v>
      </c>
      <c r="L4" s="40">
        <f>+'Water Heater Stock'!L4</f>
        <v>2024</v>
      </c>
      <c r="M4" s="40">
        <f>+'Water Heater Stock'!M4</f>
        <v>2025</v>
      </c>
      <c r="N4" s="40">
        <f>+'Water Heater Stock'!N4</f>
        <v>2026</v>
      </c>
      <c r="O4" s="40">
        <f>+'Water Heater Stock'!O4</f>
        <v>2027</v>
      </c>
      <c r="P4" s="40">
        <f>+'Water Heater Stock'!P4</f>
        <v>2028</v>
      </c>
      <c r="Q4" s="40">
        <f>+'Water Heater Stock'!Q4</f>
        <v>2029</v>
      </c>
      <c r="R4" s="40">
        <f>+'Water Heater Stock'!R4</f>
        <v>2030</v>
      </c>
      <c r="S4" s="40">
        <f>+'Water Heater Stock'!S4</f>
        <v>2031</v>
      </c>
      <c r="T4" s="40">
        <f>+'Water Heater Stock'!T4</f>
        <v>2032</v>
      </c>
      <c r="U4" s="40">
        <f>+'Water Heater Stock'!U4</f>
        <v>2033</v>
      </c>
      <c r="V4" s="40">
        <f>+'Water Heater Stock'!V4</f>
        <v>2034</v>
      </c>
      <c r="W4" s="40">
        <f>+'Water Heater Stock'!W4</f>
        <v>2035</v>
      </c>
    </row>
    <row r="5" spans="1:23" s="29" customFormat="1" ht="16.5" thickBot="1">
      <c r="A5" s="49" t="s">
        <v>48</v>
      </c>
      <c r="B5" s="50">
        <f t="shared" ref="B5:W5" si="0">SUM(B6:B10)</f>
        <v>0</v>
      </c>
      <c r="C5" s="50">
        <f t="shared" ref="C5" si="1">SUM(C6:C10)</f>
        <v>8708.6756428571462</v>
      </c>
      <c r="D5" s="50">
        <f t="shared" si="0"/>
        <v>8708.675642857148</v>
      </c>
      <c r="E5" s="50">
        <f t="shared" si="0"/>
        <v>8708.6756428571462</v>
      </c>
      <c r="F5" s="50">
        <f t="shared" si="0"/>
        <v>8708.6756428571425</v>
      </c>
      <c r="G5" s="50">
        <f t="shared" si="0"/>
        <v>8708.6756428571443</v>
      </c>
      <c r="H5" s="50">
        <f t="shared" si="0"/>
        <v>8708.675642857148</v>
      </c>
      <c r="I5" s="50">
        <f t="shared" si="0"/>
        <v>8708.6756428571443</v>
      </c>
      <c r="J5" s="50">
        <f t="shared" si="0"/>
        <v>8708.6756428571462</v>
      </c>
      <c r="K5" s="50">
        <f t="shared" si="0"/>
        <v>8708.6756428571462</v>
      </c>
      <c r="L5" s="50">
        <f t="shared" si="0"/>
        <v>8708.6756428571462</v>
      </c>
      <c r="M5" s="50">
        <f t="shared" si="0"/>
        <v>8708.675642857148</v>
      </c>
      <c r="N5" s="50">
        <f t="shared" si="0"/>
        <v>8708.6756428571462</v>
      </c>
      <c r="O5" s="50">
        <f t="shared" si="0"/>
        <v>8708.6756428571462</v>
      </c>
      <c r="P5" s="50">
        <f t="shared" si="0"/>
        <v>8708.6756428571462</v>
      </c>
      <c r="Q5" s="50">
        <f t="shared" si="0"/>
        <v>8708.6756428571498</v>
      </c>
      <c r="R5" s="50">
        <f t="shared" si="0"/>
        <v>8708.675642857148</v>
      </c>
      <c r="S5" s="50">
        <f t="shared" si="0"/>
        <v>8708.6756428571498</v>
      </c>
      <c r="T5" s="50">
        <f t="shared" si="0"/>
        <v>8708.6756428571462</v>
      </c>
      <c r="U5" s="50">
        <f t="shared" si="0"/>
        <v>8708.675642857148</v>
      </c>
      <c r="V5" s="50">
        <f t="shared" si="0"/>
        <v>8708.6756428571462</v>
      </c>
      <c r="W5" s="50">
        <f t="shared" si="0"/>
        <v>8708.6756428571462</v>
      </c>
    </row>
    <row r="6" spans="1:23" ht="16.5" thickTop="1">
      <c r="A6" s="9" t="str">
        <f>+'Water Heater Stock'!A6</f>
        <v>Electric Resistance</v>
      </c>
      <c r="B6" s="34">
        <v>0</v>
      </c>
      <c r="C6" s="34">
        <f>SUM('Water Heaters Retired'!C$6:C$10)*'Marginal Market Share'!C5</f>
        <v>6702.4244624422563</v>
      </c>
      <c r="D6" s="34">
        <f>SUM('Water Heaters Retired'!D$6:D$10)*'Marginal Market Share'!D5</f>
        <v>6698.6412133421873</v>
      </c>
      <c r="E6" s="34">
        <f>SUM('Water Heaters Retired'!E$6:E$10)*'Marginal Market Share'!E5</f>
        <v>6693.5123514198513</v>
      </c>
      <c r="F6" s="34">
        <f>SUM('Water Heaters Retired'!F$6:F$10)*'Marginal Market Share'!F5</f>
        <v>6686.1587807652377</v>
      </c>
      <c r="G6" s="34">
        <f>SUM('Water Heaters Retired'!G$6:G$10)*'Marginal Market Share'!G5</f>
        <v>6675.3374023489978</v>
      </c>
      <c r="H6" s="34">
        <f>SUM('Water Heaters Retired'!H$6:H$10)*'Marginal Market Share'!H5</f>
        <v>6659.3811512926823</v>
      </c>
      <c r="I6" s="34">
        <f>SUM('Water Heaters Retired'!I$6:I$10)*'Marginal Market Share'!I5</f>
        <v>6636.1706470050221</v>
      </c>
      <c r="J6" s="34">
        <f>SUM('Water Heaters Retired'!J$6:J$10)*'Marginal Market Share'!J5</f>
        <v>6603.1571670123476</v>
      </c>
      <c r="K6" s="34">
        <f>SUM('Water Heaters Retired'!K$6:K$10)*'Marginal Market Share'!K5</f>
        <v>6557.4552146314063</v>
      </c>
      <c r="L6" s="34">
        <f>SUM('Water Heaters Retired'!L$6:L$10)*'Marginal Market Share'!L5</f>
        <v>6496.016398310403</v>
      </c>
      <c r="M6" s="34">
        <f>SUM('Water Heaters Retired'!M$6:M$10)*'Marginal Market Share'!M5</f>
        <v>6415.8836455145838</v>
      </c>
      <c r="N6" s="34">
        <f>SUM('Water Heaters Retired'!N$6:N$10)*'Marginal Market Share'!N5</f>
        <v>6314.5065383388883</v>
      </c>
      <c r="O6" s="34">
        <f>SUM('Water Heaters Retired'!O$6:O$10)*'Marginal Market Share'!O5</f>
        <v>6190.0780737218065</v>
      </c>
      <c r="P6" s="34">
        <f>SUM('Water Heaters Retired'!P$6:P$10)*'Marginal Market Share'!P5</f>
        <v>6041.8365960085976</v>
      </c>
      <c r="Q6" s="34">
        <f>SUM('Water Heaters Retired'!Q$6:Q$10)*'Marginal Market Share'!Q5</f>
        <v>5870.2715139341044</v>
      </c>
      <c r="R6" s="34">
        <f>SUM('Water Heaters Retired'!R$6:R$10)*'Marginal Market Share'!R5</f>
        <v>5677.1831026704212</v>
      </c>
      <c r="S6" s="34">
        <f>SUM('Water Heaters Retired'!S$6:S$10)*'Marginal Market Share'!S5</f>
        <v>5465.5748080500771</v>
      </c>
      <c r="T6" s="34">
        <f>SUM('Water Heaters Retired'!T$6:T$10)*'Marginal Market Share'!T5</f>
        <v>5239.3933751119221</v>
      </c>
      <c r="U6" s="34">
        <f>SUM('Water Heaters Retired'!U$6:U$10)*'Marginal Market Share'!U5</f>
        <v>5003.1655340562957</v>
      </c>
      <c r="V6" s="34">
        <f>SUM('Water Heaters Retired'!V$6:V$10)*'Marginal Market Share'!V5</f>
        <v>4761.5986574814151</v>
      </c>
      <c r="W6" s="34">
        <f>SUM('Water Heaters Retired'!W$6:W$10)*'Marginal Market Share'!W5</f>
        <v>4519.2118952056117</v>
      </c>
    </row>
    <row r="7" spans="1:23">
      <c r="A7" s="9" t="str">
        <f>+'Water Heater Stock'!A7</f>
        <v>HPWH</v>
      </c>
      <c r="B7" s="34">
        <v>0</v>
      </c>
      <c r="C7" s="34">
        <f>SUM('Water Heaters Retired'!C$6:C$10)*'Marginal Market Share'!C6</f>
        <v>0.99127894962637597</v>
      </c>
      <c r="D7" s="34">
        <f>SUM('Water Heaters Retired'!D$6:D$10)*'Marginal Market Share'!D6</f>
        <v>1.9815149066016988</v>
      </c>
      <c r="E7" s="34">
        <f>SUM('Water Heaters Retired'!E$6:E$10)*'Marginal Market Share'!E6</f>
        <v>3.7656628508124341</v>
      </c>
      <c r="F7" s="34">
        <f>SUM('Water Heaters Retired'!F$6:F$10)*'Marginal Market Share'!F6</f>
        <v>6.827804246085841</v>
      </c>
      <c r="G7" s="34">
        <f>SUM('Water Heaters Retired'!G$6:G$10)*'Marginal Market Share'!G6</f>
        <v>11.850219703918665</v>
      </c>
      <c r="H7" s="34">
        <f>SUM('Water Heaters Retired'!H$6:H$10)*'Marginal Market Share'!H6</f>
        <v>19.744640819210037</v>
      </c>
      <c r="I7" s="34">
        <f>SUM('Water Heaters Retired'!I$6:I$10)*'Marginal Market Share'!I6</f>
        <v>31.665636856391778</v>
      </c>
      <c r="J7" s="34">
        <f>SUM('Water Heaters Retired'!J$6:J$10)*'Marginal Market Share'!J6</f>
        <v>48.995499326842442</v>
      </c>
      <c r="K7" s="34">
        <f>SUM('Water Heaters Retired'!K$6:K$10)*'Marginal Market Share'!K6</f>
        <v>73.290951868959084</v>
      </c>
      <c r="L7" s="34">
        <f>SUM('Water Heaters Retired'!L$6:L$10)*'Marginal Market Share'!L6</f>
        <v>106.18577281547699</v>
      </c>
      <c r="M7" s="34">
        <f>SUM('Water Heaters Retired'!M$6:M$10)*'Marginal Market Share'!M6</f>
        <v>149.25048334163722</v>
      </c>
      <c r="N7" s="34">
        <f>SUM('Water Heaters Retired'!N$6:N$10)*'Marginal Market Share'!N6</f>
        <v>203.82022881834757</v>
      </c>
      <c r="O7" s="34">
        <f>SUM('Water Heaters Retired'!O$6:O$10)*'Marginal Market Share'!O6</f>
        <v>270.81300601751684</v>
      </c>
      <c r="P7" s="34">
        <f>SUM('Water Heaters Retired'!P$6:P$10)*'Marginal Market Share'!P6</f>
        <v>350.56907113106519</v>
      </c>
      <c r="Q7" s="34">
        <f>SUM('Water Heaters Retired'!Q$6:Q$10)*'Marginal Market Share'!Q6</f>
        <v>442.7446698081838</v>
      </c>
      <c r="R7" s="34">
        <f>SUM('Water Heaters Retired'!R$6:R$10)*'Marginal Market Share'!R6</f>
        <v>546.28634933024659</v>
      </c>
      <c r="S7" s="34">
        <f>SUM('Water Heaters Retired'!S$6:S$10)*'Marginal Market Share'!S6</f>
        <v>659.4964421955699</v>
      </c>
      <c r="T7" s="34">
        <f>SUM('Water Heaters Retired'!T$6:T$10)*'Marginal Market Share'!T6</f>
        <v>780.18016042912598</v>
      </c>
      <c r="U7" s="34">
        <f>SUM('Water Heaters Retired'!U$6:U$10)*'Marginal Market Share'!U6</f>
        <v>905.84683685918037</v>
      </c>
      <c r="V7" s="34">
        <f>SUM('Water Heaters Retired'!V$6:V$10)*'Marginal Market Share'!V6</f>
        <v>1033.9282088138923</v>
      </c>
      <c r="W7" s="34">
        <f>SUM('Water Heaters Retired'!W$6:W$10)*'Marginal Market Share'!W6</f>
        <v>1161.9777132612057</v>
      </c>
    </row>
    <row r="8" spans="1:23">
      <c r="A8" s="9" t="str">
        <f>+'Water Heater Stock'!A8</f>
        <v>Gas Tank</v>
      </c>
      <c r="B8" s="34">
        <v>0</v>
      </c>
      <c r="C8" s="34">
        <f>SUM('Water Heaters Retired'!C$6:C$10)*'Marginal Market Share'!C7</f>
        <v>2003.9478826300208</v>
      </c>
      <c r="D8" s="34">
        <f>SUM('Water Heaters Retired'!D$6:D$10)*'Marginal Market Share'!D7</f>
        <v>2005.4202135008757</v>
      </c>
      <c r="E8" s="34">
        <f>SUM('Water Heaters Retired'!E$6:E$10)*'Marginal Market Share'!E7</f>
        <v>2006.3753531276896</v>
      </c>
      <c r="F8" s="34">
        <f>SUM('Water Heaters Retired'!F$6:F$10)*'Marginal Market Share'!F7</f>
        <v>2006.5481432165986</v>
      </c>
      <c r="G8" s="34">
        <f>SUM('Water Heaters Retired'!G$6:G$10)*'Marginal Market Share'!G7</f>
        <v>2005.5630420613388</v>
      </c>
      <c r="H8" s="34">
        <f>SUM('Water Heaters Retired'!H$6:H$10)*'Marginal Market Share'!H7</f>
        <v>2002.9156485835297</v>
      </c>
      <c r="I8" s="34">
        <f>SUM('Water Heaters Retired'!I$6:I$10)*'Marginal Market Share'!I7</f>
        <v>1997.963724496178</v>
      </c>
      <c r="J8" s="34">
        <f>SUM('Water Heaters Retired'!J$6:J$10)*'Marginal Market Share'!J7</f>
        <v>1989.9337392654745</v>
      </c>
      <c r="K8" s="34">
        <f>SUM('Water Heaters Retired'!K$6:K$10)*'Marginal Market Share'!K7</f>
        <v>1977.9485561354622</v>
      </c>
      <c r="L8" s="34">
        <f>SUM('Water Heaters Retired'!L$6:L$10)*'Marginal Market Share'!L7</f>
        <v>1961.0799128697315</v>
      </c>
      <c r="M8" s="34">
        <f>SUM('Water Heaters Retired'!M$6:M$10)*'Marginal Market Share'!M7</f>
        <v>1938.4255054820064</v>
      </c>
      <c r="N8" s="34">
        <f>SUM('Water Heaters Retired'!N$6:N$10)*'Marginal Market Share'!N7</f>
        <v>1909.2049303353049</v>
      </c>
      <c r="O8" s="34">
        <f>SUM('Water Heaters Retired'!O$6:O$10)*'Marginal Market Share'!O7</f>
        <v>1872.8624737277826</v>
      </c>
      <c r="P8" s="34">
        <f>SUM('Water Heaters Retired'!P$6:P$10)*'Marginal Market Share'!P7</f>
        <v>1829.1596380513804</v>
      </c>
      <c r="Q8" s="34">
        <f>SUM('Water Heaters Retired'!Q$6:Q$10)*'Marginal Market Share'!Q7</f>
        <v>1778.2386506816254</v>
      </c>
      <c r="R8" s="34">
        <f>SUM('Water Heaters Retired'!R$6:R$10)*'Marginal Market Share'!R7</f>
        <v>1720.641683993575</v>
      </c>
      <c r="S8" s="34">
        <f>SUM('Water Heaters Retired'!S$6:S$10)*'Marginal Market Share'!S7</f>
        <v>1657.2790292836717</v>
      </c>
      <c r="T8" s="34">
        <f>SUM('Water Heaters Retired'!T$6:T$10)*'Marginal Market Share'!T7</f>
        <v>1589.3507080821137</v>
      </c>
      <c r="U8" s="34">
        <f>SUM('Water Heaters Retired'!U$6:U$10)*'Marginal Market Share'!U7</f>
        <v>1518.2362327780727</v>
      </c>
      <c r="V8" s="34">
        <f>SUM('Water Heaters Retired'!V$6:V$10)*'Marginal Market Share'!V7</f>
        <v>1445.3730036968007</v>
      </c>
      <c r="W8" s="34">
        <f>SUM('Water Heaters Retired'!W$6:W$10)*'Marginal Market Share'!W7</f>
        <v>1372.1436412901928</v>
      </c>
    </row>
    <row r="9" spans="1:23">
      <c r="A9" s="9" t="str">
        <f>+'Water Heater Stock'!A9</f>
        <v>Instant Gas</v>
      </c>
      <c r="B9" s="34">
        <v>0</v>
      </c>
      <c r="C9" s="34">
        <f>SUM('Water Heaters Retired'!C$6:C$10)*'Marginal Market Share'!C8</f>
        <v>0.26867239759672895</v>
      </c>
      <c r="D9" s="34">
        <f>SUM('Water Heaters Retired'!D$6:D$10)*'Marginal Market Share'!D8</f>
        <v>0.5400875071914657</v>
      </c>
      <c r="E9" s="34">
        <f>SUM('Water Heaters Retired'!E$6:E$10)*'Marginal Market Share'!E8</f>
        <v>1.0321604977607293</v>
      </c>
      <c r="F9" s="34">
        <f>SUM('Water Heaters Retired'!F$6:F$10)*'Marginal Market Share'!F8</f>
        <v>1.882023205881272</v>
      </c>
      <c r="G9" s="34">
        <f>SUM('Water Heaters Retired'!G$6:G$10)*'Marginal Market Share'!G8</f>
        <v>3.2847871678571883</v>
      </c>
      <c r="H9" s="34">
        <f>SUM('Water Heaters Retired'!H$6:H$10)*'Marginal Market Share'!H8</f>
        <v>5.503836249505353</v>
      </c>
      <c r="I9" s="34">
        <f>SUM('Water Heaters Retired'!I$6:I$10)*'Marginal Market Share'!I8</f>
        <v>8.8764261262773303</v>
      </c>
      <c r="J9" s="34">
        <f>SUM('Water Heaters Retired'!J$6:J$10)*'Marginal Market Share'!J8</f>
        <v>13.811398989639581</v>
      </c>
      <c r="K9" s="34">
        <f>SUM('Water Heaters Retired'!K$6:K$10)*'Marginal Market Share'!K8</f>
        <v>20.775956665359658</v>
      </c>
      <c r="L9" s="34">
        <f>SUM('Water Heaters Retired'!L$6:L$10)*'Marginal Market Share'!L8</f>
        <v>30.269378359071375</v>
      </c>
      <c r="M9" s="34">
        <f>SUM('Water Heaters Retired'!M$6:M$10)*'Marginal Market Share'!M8</f>
        <v>42.783511815128037</v>
      </c>
      <c r="N9" s="34">
        <f>SUM('Water Heaters Retired'!N$6:N$10)*'Marginal Market Share'!N8</f>
        <v>58.752748886370512</v>
      </c>
      <c r="O9" s="34">
        <f>SUM('Water Heaters Retired'!O$6:O$10)*'Marginal Market Share'!O8</f>
        <v>78.499528580563194</v>
      </c>
      <c r="P9" s="34">
        <f>SUM('Water Heaters Retired'!P$6:P$10)*'Marginal Market Share'!P8</f>
        <v>102.18422341477887</v>
      </c>
      <c r="Q9" s="34">
        <f>SUM('Water Heaters Retired'!Q$6:Q$10)*'Marginal Market Share'!Q8</f>
        <v>129.76934104296046</v>
      </c>
      <c r="R9" s="34">
        <f>SUM('Water Heaters Retired'!R$6:R$10)*'Marginal Market Share'!R8</f>
        <v>161.00638214003436</v>
      </c>
      <c r="S9" s="34">
        <f>SUM('Water Heaters Retired'!S$6:S$10)*'Marginal Market Share'!S8</f>
        <v>195.44940507264386</v>
      </c>
      <c r="T9" s="34">
        <f>SUM('Water Heaters Retired'!T$6:T$10)*'Marginal Market Share'!T8</f>
        <v>232.49349594359808</v>
      </c>
      <c r="U9" s="34">
        <f>SUM('Water Heaters Retired'!U$6:U$10)*'Marginal Market Share'!U8</f>
        <v>271.43086645183723</v>
      </c>
      <c r="V9" s="34">
        <f>SUM('Water Heaters Retired'!V$6:V$10)*'Marginal Market Share'!V8</f>
        <v>311.51404611944463</v>
      </c>
      <c r="W9" s="34">
        <f>SUM('Water Heaters Retired'!W$6:W$10)*'Marginal Market Share'!W8</f>
        <v>352.015475526491</v>
      </c>
    </row>
    <row r="10" spans="1:23">
      <c r="A10" s="9" t="str">
        <f>+'Water Heater Stock'!A10</f>
        <v>Condensing Gas</v>
      </c>
      <c r="B10" s="34">
        <v>0</v>
      </c>
      <c r="C10" s="34">
        <f>SUM('Water Heaters Retired'!C$6:C$10)*'Marginal Market Share'!C9</f>
        <v>1.0433464376453927</v>
      </c>
      <c r="D10" s="34">
        <f>SUM('Water Heaters Retired'!D$6:D$10)*'Marginal Market Share'!D9</f>
        <v>2.0926136002901923</v>
      </c>
      <c r="E10" s="34">
        <f>SUM('Water Heaters Retired'!E$6:E$10)*'Marginal Market Share'!E9</f>
        <v>3.9901149610338784</v>
      </c>
      <c r="F10" s="34">
        <f>SUM('Water Heaters Retired'!F$6:F$10)*'Marginal Market Share'!F9</f>
        <v>7.2588914233403052</v>
      </c>
      <c r="G10" s="34">
        <f>SUM('Water Heaters Retired'!G$6:G$10)*'Marginal Market Share'!G9</f>
        <v>12.640191575031256</v>
      </c>
      <c r="H10" s="34">
        <f>SUM('Water Heaters Retired'!H$6:H$10)*'Marginal Market Share'!H9</f>
        <v>21.130365912220036</v>
      </c>
      <c r="I10" s="34">
        <f>SUM('Water Heaters Retired'!I$6:I$10)*'Marginal Market Share'!I9</f>
        <v>33.999208373275117</v>
      </c>
      <c r="J10" s="34">
        <f>SUM('Water Heaters Retired'!J$6:J$10)*'Marginal Market Share'!J9</f>
        <v>52.777838262843012</v>
      </c>
      <c r="K10" s="34">
        <f>SUM('Water Heaters Retired'!K$6:K$10)*'Marginal Market Share'!K9</f>
        <v>79.204963555958727</v>
      </c>
      <c r="L10" s="34">
        <f>SUM('Water Heaters Retired'!L$6:L$10)*'Marginal Market Share'!L9</f>
        <v>115.12418050246374</v>
      </c>
      <c r="M10" s="34">
        <f>SUM('Water Heaters Retired'!M$6:M$10)*'Marginal Market Share'!M9</f>
        <v>162.33249670379189</v>
      </c>
      <c r="N10" s="34">
        <f>SUM('Water Heaters Retired'!N$6:N$10)*'Marginal Market Share'!N9</f>
        <v>222.39119647823523</v>
      </c>
      <c r="O10" s="34">
        <f>SUM('Water Heaters Retired'!O$6:O$10)*'Marginal Market Share'!O9</f>
        <v>296.42256080947686</v>
      </c>
      <c r="P10" s="34">
        <f>SUM('Water Heaters Retired'!P$6:P$10)*'Marginal Market Share'!P9</f>
        <v>384.92611425132486</v>
      </c>
      <c r="Q10" s="34">
        <f>SUM('Water Heaters Retired'!Q$6:Q$10)*'Marginal Market Share'!Q9</f>
        <v>487.65146739027387</v>
      </c>
      <c r="R10" s="34">
        <f>SUM('Water Heaters Retired'!R$6:R$10)*'Marginal Market Share'!R9</f>
        <v>603.55812472287153</v>
      </c>
      <c r="S10" s="34">
        <f>SUM('Water Heaters Retired'!S$6:S$10)*'Marginal Market Share'!S9</f>
        <v>730.87595825518656</v>
      </c>
      <c r="T10" s="34">
        <f>SUM('Water Heaters Retired'!T$6:T$10)*'Marginal Market Share'!T9</f>
        <v>867.25790329038671</v>
      </c>
      <c r="U10" s="34">
        <f>SUM('Water Heaters Retired'!U$6:U$10)*'Marginal Market Share'!U9</f>
        <v>1009.9961727117621</v>
      </c>
      <c r="V10" s="34">
        <f>SUM('Water Heaters Retired'!V$6:V$10)*'Marginal Market Share'!V9</f>
        <v>1156.2617267455935</v>
      </c>
      <c r="W10" s="34">
        <f>SUM('Water Heaters Retired'!W$6:W$10)*'Marginal Market Share'!W9</f>
        <v>1303.3269175736448</v>
      </c>
    </row>
    <row r="11" spans="1:23">
      <c r="D11" s="12"/>
    </row>
    <row r="12" spans="1:23">
      <c r="A12" s="12" t="s">
        <v>108</v>
      </c>
    </row>
    <row r="13" spans="1:23">
      <c r="A13" s="39" t="str">
        <f>'Device Energy Use'!A4</f>
        <v>Water Heat Ending</v>
      </c>
      <c r="B13" s="40">
        <f>+'Water Heater Stock'!B13</f>
        <v>2014</v>
      </c>
      <c r="C13" s="40">
        <f>+'Water Heater Stock'!C13</f>
        <v>2015</v>
      </c>
      <c r="D13" s="40">
        <f>+'Water Heater Stock'!D13</f>
        <v>2016</v>
      </c>
      <c r="E13" s="40">
        <f>+'Water Heater Stock'!E13</f>
        <v>2017</v>
      </c>
      <c r="F13" s="40">
        <f>+'Water Heater Stock'!F13</f>
        <v>2018</v>
      </c>
      <c r="G13" s="40">
        <f>+'Water Heater Stock'!G13</f>
        <v>2019</v>
      </c>
      <c r="H13" s="40">
        <f>+'Water Heater Stock'!H13</f>
        <v>2020</v>
      </c>
      <c r="I13" s="40">
        <f>+'Water Heater Stock'!I13</f>
        <v>2021</v>
      </c>
      <c r="J13" s="40">
        <f>+'Water Heater Stock'!J13</f>
        <v>2022</v>
      </c>
      <c r="K13" s="40">
        <f>+'Water Heater Stock'!K13</f>
        <v>2023</v>
      </c>
      <c r="L13" s="40">
        <f>+'Water Heater Stock'!L13</f>
        <v>2024</v>
      </c>
      <c r="M13" s="40">
        <f>+'Water Heater Stock'!M13</f>
        <v>2025</v>
      </c>
      <c r="N13" s="40">
        <f>+'Water Heater Stock'!N13</f>
        <v>2026</v>
      </c>
      <c r="O13" s="40">
        <f>+'Water Heater Stock'!O13</f>
        <v>2027</v>
      </c>
      <c r="P13" s="40">
        <f>+'Water Heater Stock'!P13</f>
        <v>2028</v>
      </c>
      <c r="Q13" s="40">
        <f>+'Water Heater Stock'!Q13</f>
        <v>2029</v>
      </c>
      <c r="R13" s="40">
        <f>+'Water Heater Stock'!R13</f>
        <v>2030</v>
      </c>
      <c r="S13" s="40">
        <f>+'Water Heater Stock'!S13</f>
        <v>2031</v>
      </c>
      <c r="T13" s="40">
        <f>+'Water Heater Stock'!T13</f>
        <v>2032</v>
      </c>
      <c r="U13" s="40">
        <f>+'Water Heater Stock'!U13</f>
        <v>2033</v>
      </c>
      <c r="V13" s="40">
        <f>+'Water Heater Stock'!V13</f>
        <v>2034</v>
      </c>
      <c r="W13" s="40">
        <f>+'Water Heater Stock'!W13</f>
        <v>2035</v>
      </c>
    </row>
    <row r="14" spans="1:23" ht="16.5" thickBot="1">
      <c r="A14" s="49" t="s">
        <v>48</v>
      </c>
      <c r="B14" s="50">
        <f t="shared" ref="B14:W14" si="2">SUM(B15:B19)</f>
        <v>0</v>
      </c>
      <c r="C14" s="50">
        <f t="shared" ref="C14" si="3">SUM(C15:C19)</f>
        <v>8708.6756428571443</v>
      </c>
      <c r="D14" s="50">
        <f t="shared" si="2"/>
        <v>8708.6756428571462</v>
      </c>
      <c r="E14" s="50">
        <f t="shared" si="2"/>
        <v>8708.6756428571443</v>
      </c>
      <c r="F14" s="50">
        <f t="shared" si="2"/>
        <v>8708.6756428571443</v>
      </c>
      <c r="G14" s="50">
        <f t="shared" si="2"/>
        <v>8708.6756428571462</v>
      </c>
      <c r="H14" s="50">
        <f t="shared" si="2"/>
        <v>8708.6756428571462</v>
      </c>
      <c r="I14" s="50">
        <f t="shared" si="2"/>
        <v>8708.6756428571462</v>
      </c>
      <c r="J14" s="50">
        <f t="shared" si="2"/>
        <v>8708.6756428571462</v>
      </c>
      <c r="K14" s="50">
        <f t="shared" si="2"/>
        <v>8708.6756428571462</v>
      </c>
      <c r="L14" s="50">
        <f t="shared" si="2"/>
        <v>8708.6756428571462</v>
      </c>
      <c r="M14" s="50">
        <f t="shared" si="2"/>
        <v>8708.6756428571462</v>
      </c>
      <c r="N14" s="50">
        <f t="shared" si="2"/>
        <v>8708.6756428571462</v>
      </c>
      <c r="O14" s="50">
        <f t="shared" si="2"/>
        <v>8708.6756428571462</v>
      </c>
      <c r="P14" s="50">
        <f t="shared" si="2"/>
        <v>8708.6756428571462</v>
      </c>
      <c r="Q14" s="50">
        <f t="shared" si="2"/>
        <v>8708.6756428571462</v>
      </c>
      <c r="R14" s="50">
        <f t="shared" si="2"/>
        <v>8708.6756428571462</v>
      </c>
      <c r="S14" s="50">
        <f t="shared" si="2"/>
        <v>8708.6756428571462</v>
      </c>
      <c r="T14" s="50">
        <f t="shared" si="2"/>
        <v>8708.6756428571462</v>
      </c>
      <c r="U14" s="50">
        <f t="shared" si="2"/>
        <v>8708.6756428571443</v>
      </c>
      <c r="V14" s="50">
        <f t="shared" si="2"/>
        <v>8708.6756428571443</v>
      </c>
      <c r="W14" s="50">
        <f t="shared" si="2"/>
        <v>8708.6756428571443</v>
      </c>
    </row>
    <row r="15" spans="1:23" ht="16.5" thickTop="1">
      <c r="A15" s="9" t="str">
        <f>+'Water Heater Stock'!A15</f>
        <v>Electric Resistance</v>
      </c>
      <c r="B15" s="34">
        <v>0</v>
      </c>
      <c r="C15" s="34">
        <f>SUM('Water Heaters Retired'!C$15:C$19)*'Marginal Market Share'!C13</f>
        <v>0</v>
      </c>
      <c r="D15" s="34">
        <f>SUM('Water Heaters Retired'!D$15:D$19)*'Marginal Market Share'!D13</f>
        <v>0</v>
      </c>
      <c r="E15" s="34">
        <f>SUM('Water Heaters Retired'!E$15:E$19)*'Marginal Market Share'!E13</f>
        <v>0</v>
      </c>
      <c r="F15" s="34">
        <f>SUM('Water Heaters Retired'!F$15:F$19)*'Marginal Market Share'!F13</f>
        <v>0</v>
      </c>
      <c r="G15" s="34">
        <f>SUM('Water Heaters Retired'!G$15:G$19)*'Marginal Market Share'!G13</f>
        <v>0</v>
      </c>
      <c r="H15" s="34">
        <f>SUM('Water Heaters Retired'!H$15:H$19)*'Marginal Market Share'!H13</f>
        <v>0</v>
      </c>
      <c r="I15" s="34">
        <f>SUM('Water Heaters Retired'!I$15:I$19)*'Marginal Market Share'!I13</f>
        <v>0</v>
      </c>
      <c r="J15" s="34">
        <f>SUM('Water Heaters Retired'!J$15:J$19)*'Marginal Market Share'!J13</f>
        <v>0</v>
      </c>
      <c r="K15" s="34">
        <f>SUM('Water Heaters Retired'!K$15:K$19)*'Marginal Market Share'!K13</f>
        <v>0</v>
      </c>
      <c r="L15" s="34">
        <f>SUM('Water Heaters Retired'!L$15:L$19)*'Marginal Market Share'!L13</f>
        <v>0</v>
      </c>
      <c r="M15" s="34">
        <f>SUM('Water Heaters Retired'!M$15:M$19)*'Marginal Market Share'!M13</f>
        <v>0</v>
      </c>
      <c r="N15" s="34">
        <f>SUM('Water Heaters Retired'!N$15:N$19)*'Marginal Market Share'!N13</f>
        <v>0</v>
      </c>
      <c r="O15" s="34">
        <f>SUM('Water Heaters Retired'!O$15:O$19)*'Marginal Market Share'!O13</f>
        <v>0</v>
      </c>
      <c r="P15" s="34">
        <f>SUM('Water Heaters Retired'!P$15:P$19)*'Marginal Market Share'!P13</f>
        <v>0</v>
      </c>
      <c r="Q15" s="34">
        <f>SUM('Water Heaters Retired'!Q$15:Q$19)*'Marginal Market Share'!Q13</f>
        <v>0</v>
      </c>
      <c r="R15" s="34">
        <f>SUM('Water Heaters Retired'!R$15:R$19)*'Marginal Market Share'!R13</f>
        <v>0</v>
      </c>
      <c r="S15" s="34">
        <f>SUM('Water Heaters Retired'!S$15:S$19)*'Marginal Market Share'!S13</f>
        <v>0</v>
      </c>
      <c r="T15" s="34">
        <f>SUM('Water Heaters Retired'!T$15:T$19)*'Marginal Market Share'!T13</f>
        <v>0</v>
      </c>
      <c r="U15" s="34">
        <f>SUM('Water Heaters Retired'!U$15:U$19)*'Marginal Market Share'!U13</f>
        <v>0</v>
      </c>
      <c r="V15" s="34">
        <f>SUM('Water Heaters Retired'!V$15:V$19)*'Marginal Market Share'!V13</f>
        <v>0</v>
      </c>
      <c r="W15" s="34">
        <f>SUM('Water Heaters Retired'!W$15:W$19)*'Marginal Market Share'!W13</f>
        <v>0</v>
      </c>
    </row>
    <row r="16" spans="1:23">
      <c r="A16" s="9" t="str">
        <f>+'Water Heater Stock'!A16</f>
        <v>HPWH</v>
      </c>
      <c r="B16" s="34">
        <v>0</v>
      </c>
      <c r="C16" s="34">
        <f>SUM('Water Heaters Retired'!C$15:C$19)*'Marginal Market Share'!C14</f>
        <v>0</v>
      </c>
      <c r="D16" s="34">
        <f>SUM('Water Heaters Retired'!D$15:D$19)*'Marginal Market Share'!D14</f>
        <v>0</v>
      </c>
      <c r="E16" s="34">
        <f>SUM('Water Heaters Retired'!E$15:E$19)*'Marginal Market Share'!E14</f>
        <v>0</v>
      </c>
      <c r="F16" s="34">
        <f>SUM('Water Heaters Retired'!F$15:F$19)*'Marginal Market Share'!F14</f>
        <v>0</v>
      </c>
      <c r="G16" s="34">
        <f>SUM('Water Heaters Retired'!G$15:G$19)*'Marginal Market Share'!G14</f>
        <v>0</v>
      </c>
      <c r="H16" s="34">
        <f>SUM('Water Heaters Retired'!H$15:H$19)*'Marginal Market Share'!H14</f>
        <v>0</v>
      </c>
      <c r="I16" s="34">
        <f>SUM('Water Heaters Retired'!I$15:I$19)*'Marginal Market Share'!I14</f>
        <v>0</v>
      </c>
      <c r="J16" s="34">
        <f>SUM('Water Heaters Retired'!J$15:J$19)*'Marginal Market Share'!J14</f>
        <v>0</v>
      </c>
      <c r="K16" s="34">
        <f>SUM('Water Heaters Retired'!K$15:K$19)*'Marginal Market Share'!K14</f>
        <v>0</v>
      </c>
      <c r="L16" s="34">
        <f>SUM('Water Heaters Retired'!L$15:L$19)*'Marginal Market Share'!L14</f>
        <v>0</v>
      </c>
      <c r="M16" s="34">
        <f>SUM('Water Heaters Retired'!M$15:M$19)*'Marginal Market Share'!M14</f>
        <v>0</v>
      </c>
      <c r="N16" s="34">
        <f>SUM('Water Heaters Retired'!N$15:N$19)*'Marginal Market Share'!N14</f>
        <v>0</v>
      </c>
      <c r="O16" s="34">
        <f>SUM('Water Heaters Retired'!O$15:O$19)*'Marginal Market Share'!O14</f>
        <v>0</v>
      </c>
      <c r="P16" s="34">
        <f>SUM('Water Heaters Retired'!P$15:P$19)*'Marginal Market Share'!P14</f>
        <v>0</v>
      </c>
      <c r="Q16" s="34">
        <f>SUM('Water Heaters Retired'!Q$15:Q$19)*'Marginal Market Share'!Q14</f>
        <v>0</v>
      </c>
      <c r="R16" s="34">
        <f>SUM('Water Heaters Retired'!R$15:R$19)*'Marginal Market Share'!R14</f>
        <v>0</v>
      </c>
      <c r="S16" s="34">
        <f>SUM('Water Heaters Retired'!S$15:S$19)*'Marginal Market Share'!S14</f>
        <v>0</v>
      </c>
      <c r="T16" s="34">
        <f>SUM('Water Heaters Retired'!T$15:T$19)*'Marginal Market Share'!T14</f>
        <v>0</v>
      </c>
      <c r="U16" s="34">
        <f>SUM('Water Heaters Retired'!U$15:U$19)*'Marginal Market Share'!U14</f>
        <v>0</v>
      </c>
      <c r="V16" s="34">
        <f>SUM('Water Heaters Retired'!V$15:V$19)*'Marginal Market Share'!V14</f>
        <v>0</v>
      </c>
      <c r="W16" s="34">
        <f>SUM('Water Heaters Retired'!W$15:W$19)*'Marginal Market Share'!W14</f>
        <v>0</v>
      </c>
    </row>
    <row r="17" spans="1:23">
      <c r="A17" s="9" t="str">
        <f>+'Water Heater Stock'!A17</f>
        <v>Gas Tank</v>
      </c>
      <c r="B17" s="34">
        <v>0</v>
      </c>
      <c r="C17" s="34">
        <f>SUM('Water Heaters Retired'!C$15:C$19)*'Marginal Market Share'!C15</f>
        <v>8708.6756428571443</v>
      </c>
      <c r="D17" s="34">
        <f>SUM('Water Heaters Retired'!D$15:D$19)*'Marginal Market Share'!D15</f>
        <v>8708.6756428571462</v>
      </c>
      <c r="E17" s="34">
        <f>SUM('Water Heaters Retired'!E$15:E$19)*'Marginal Market Share'!E15</f>
        <v>8708.6756428571443</v>
      </c>
      <c r="F17" s="34">
        <f>SUM('Water Heaters Retired'!F$15:F$19)*'Marginal Market Share'!F15</f>
        <v>8708.6756428571443</v>
      </c>
      <c r="G17" s="34">
        <f>SUM('Water Heaters Retired'!G$15:G$19)*'Marginal Market Share'!G15</f>
        <v>8708.6756428571462</v>
      </c>
      <c r="H17" s="34">
        <f>SUM('Water Heaters Retired'!H$15:H$19)*'Marginal Market Share'!H15</f>
        <v>8708.6756428571462</v>
      </c>
      <c r="I17" s="34">
        <f>SUM('Water Heaters Retired'!I$15:I$19)*'Marginal Market Share'!I15</f>
        <v>8708.6756428571462</v>
      </c>
      <c r="J17" s="34">
        <f>SUM('Water Heaters Retired'!J$15:J$19)*'Marginal Market Share'!J15</f>
        <v>8708.6756428571462</v>
      </c>
      <c r="K17" s="34">
        <f>SUM('Water Heaters Retired'!K$15:K$19)*'Marginal Market Share'!K15</f>
        <v>8708.6756428571462</v>
      </c>
      <c r="L17" s="34">
        <f>SUM('Water Heaters Retired'!L$15:L$19)*'Marginal Market Share'!L15</f>
        <v>8708.6756428571462</v>
      </c>
      <c r="M17" s="34">
        <f>SUM('Water Heaters Retired'!M$15:M$19)*'Marginal Market Share'!M15</f>
        <v>8708.6756428571462</v>
      </c>
      <c r="N17" s="34">
        <f>SUM('Water Heaters Retired'!N$15:N$19)*'Marginal Market Share'!N15</f>
        <v>8708.6756428571462</v>
      </c>
      <c r="O17" s="34">
        <f>SUM('Water Heaters Retired'!O$15:O$19)*'Marginal Market Share'!O15</f>
        <v>8708.6756428571462</v>
      </c>
      <c r="P17" s="34">
        <f>SUM('Water Heaters Retired'!P$15:P$19)*'Marginal Market Share'!P15</f>
        <v>8708.6756428571462</v>
      </c>
      <c r="Q17" s="34">
        <f>SUM('Water Heaters Retired'!Q$15:Q$19)*'Marginal Market Share'!Q15</f>
        <v>8708.6756428571462</v>
      </c>
      <c r="R17" s="34">
        <f>SUM('Water Heaters Retired'!R$15:R$19)*'Marginal Market Share'!R15</f>
        <v>8708.6756428571462</v>
      </c>
      <c r="S17" s="34">
        <f>SUM('Water Heaters Retired'!S$15:S$19)*'Marginal Market Share'!S15</f>
        <v>8708.6756428571462</v>
      </c>
      <c r="T17" s="34">
        <f>SUM('Water Heaters Retired'!T$15:T$19)*'Marginal Market Share'!T15</f>
        <v>8708.6756428571462</v>
      </c>
      <c r="U17" s="34">
        <f>SUM('Water Heaters Retired'!U$15:U$19)*'Marginal Market Share'!U15</f>
        <v>8708.6756428571443</v>
      </c>
      <c r="V17" s="34">
        <f>SUM('Water Heaters Retired'!V$15:V$19)*'Marginal Market Share'!V15</f>
        <v>8708.6756428571443</v>
      </c>
      <c r="W17" s="34">
        <f>SUM('Water Heaters Retired'!W$15:W$19)*'Marginal Market Share'!W15</f>
        <v>8708.6756428571443</v>
      </c>
    </row>
    <row r="18" spans="1:23">
      <c r="A18" s="9" t="str">
        <f>+'Water Heater Stock'!A18</f>
        <v>Instant Gas</v>
      </c>
      <c r="B18" s="34">
        <v>0</v>
      </c>
      <c r="C18" s="34">
        <f>SUM('Water Heaters Retired'!C$15:C$19)*'Marginal Market Share'!C16</f>
        <v>0</v>
      </c>
      <c r="D18" s="34">
        <f>SUM('Water Heaters Retired'!D$15:D$19)*'Marginal Market Share'!D16</f>
        <v>0</v>
      </c>
      <c r="E18" s="34">
        <f>SUM('Water Heaters Retired'!E$15:E$19)*'Marginal Market Share'!E16</f>
        <v>0</v>
      </c>
      <c r="F18" s="34">
        <f>SUM('Water Heaters Retired'!F$15:F$19)*'Marginal Market Share'!F16</f>
        <v>0</v>
      </c>
      <c r="G18" s="34">
        <f>SUM('Water Heaters Retired'!G$15:G$19)*'Marginal Market Share'!G16</f>
        <v>0</v>
      </c>
      <c r="H18" s="34">
        <f>SUM('Water Heaters Retired'!H$15:H$19)*'Marginal Market Share'!H16</f>
        <v>0</v>
      </c>
      <c r="I18" s="34">
        <f>SUM('Water Heaters Retired'!I$15:I$19)*'Marginal Market Share'!I16</f>
        <v>0</v>
      </c>
      <c r="J18" s="34">
        <f>SUM('Water Heaters Retired'!J$15:J$19)*'Marginal Market Share'!J16</f>
        <v>0</v>
      </c>
      <c r="K18" s="34">
        <f>SUM('Water Heaters Retired'!K$15:K$19)*'Marginal Market Share'!K16</f>
        <v>0</v>
      </c>
      <c r="L18" s="34">
        <f>SUM('Water Heaters Retired'!L$15:L$19)*'Marginal Market Share'!L16</f>
        <v>0</v>
      </c>
      <c r="M18" s="34">
        <f>SUM('Water Heaters Retired'!M$15:M$19)*'Marginal Market Share'!M16</f>
        <v>0</v>
      </c>
      <c r="N18" s="34">
        <f>SUM('Water Heaters Retired'!N$15:N$19)*'Marginal Market Share'!N16</f>
        <v>0</v>
      </c>
      <c r="O18" s="34">
        <f>SUM('Water Heaters Retired'!O$15:O$19)*'Marginal Market Share'!O16</f>
        <v>0</v>
      </c>
      <c r="P18" s="34">
        <f>SUM('Water Heaters Retired'!P$15:P$19)*'Marginal Market Share'!P16</f>
        <v>0</v>
      </c>
      <c r="Q18" s="34">
        <f>SUM('Water Heaters Retired'!Q$15:Q$19)*'Marginal Market Share'!Q16</f>
        <v>0</v>
      </c>
      <c r="R18" s="34">
        <f>SUM('Water Heaters Retired'!R$15:R$19)*'Marginal Market Share'!R16</f>
        <v>0</v>
      </c>
      <c r="S18" s="34">
        <f>SUM('Water Heaters Retired'!S$15:S$19)*'Marginal Market Share'!S16</f>
        <v>0</v>
      </c>
      <c r="T18" s="34">
        <f>SUM('Water Heaters Retired'!T$15:T$19)*'Marginal Market Share'!T16</f>
        <v>0</v>
      </c>
      <c r="U18" s="34">
        <f>SUM('Water Heaters Retired'!U$15:U$19)*'Marginal Market Share'!U16</f>
        <v>0</v>
      </c>
      <c r="V18" s="34">
        <f>SUM('Water Heaters Retired'!V$15:V$19)*'Marginal Market Share'!V16</f>
        <v>0</v>
      </c>
      <c r="W18" s="34">
        <f>SUM('Water Heaters Retired'!W$15:W$19)*'Marginal Market Share'!W16</f>
        <v>0</v>
      </c>
    </row>
    <row r="19" spans="1:23">
      <c r="A19" s="9" t="str">
        <f>+'Water Heater Stock'!A19</f>
        <v>Condensing Gas</v>
      </c>
      <c r="B19" s="34">
        <v>0</v>
      </c>
      <c r="C19" s="34">
        <f>SUM('Water Heaters Retired'!C$15:C$19)*'Marginal Market Share'!C17</f>
        <v>0</v>
      </c>
      <c r="D19" s="34">
        <f>SUM('Water Heaters Retired'!D$15:D$19)*'Marginal Market Share'!D17</f>
        <v>0</v>
      </c>
      <c r="E19" s="34">
        <f>SUM('Water Heaters Retired'!E$15:E$19)*'Marginal Market Share'!E17</f>
        <v>0</v>
      </c>
      <c r="F19" s="34">
        <f>SUM('Water Heaters Retired'!F$15:F$19)*'Marginal Market Share'!F17</f>
        <v>0</v>
      </c>
      <c r="G19" s="34">
        <f>SUM('Water Heaters Retired'!G$15:G$19)*'Marginal Market Share'!G17</f>
        <v>0</v>
      </c>
      <c r="H19" s="34">
        <f>SUM('Water Heaters Retired'!H$15:H$19)*'Marginal Market Share'!H17</f>
        <v>0</v>
      </c>
      <c r="I19" s="34">
        <f>SUM('Water Heaters Retired'!I$15:I$19)*'Marginal Market Share'!I17</f>
        <v>0</v>
      </c>
      <c r="J19" s="34">
        <f>SUM('Water Heaters Retired'!J$15:J$19)*'Marginal Market Share'!J17</f>
        <v>0</v>
      </c>
      <c r="K19" s="34">
        <f>SUM('Water Heaters Retired'!K$15:K$19)*'Marginal Market Share'!K17</f>
        <v>0</v>
      </c>
      <c r="L19" s="34">
        <f>SUM('Water Heaters Retired'!L$15:L$19)*'Marginal Market Share'!L17</f>
        <v>0</v>
      </c>
      <c r="M19" s="34">
        <f>SUM('Water Heaters Retired'!M$15:M$19)*'Marginal Market Share'!M17</f>
        <v>0</v>
      </c>
      <c r="N19" s="34">
        <f>SUM('Water Heaters Retired'!N$15:N$19)*'Marginal Market Share'!N17</f>
        <v>0</v>
      </c>
      <c r="O19" s="34">
        <f>SUM('Water Heaters Retired'!O$15:O$19)*'Marginal Market Share'!O17</f>
        <v>0</v>
      </c>
      <c r="P19" s="34">
        <f>SUM('Water Heaters Retired'!P$15:P$19)*'Marginal Market Share'!P17</f>
        <v>0</v>
      </c>
      <c r="Q19" s="34">
        <f>SUM('Water Heaters Retired'!Q$15:Q$19)*'Marginal Market Share'!Q17</f>
        <v>0</v>
      </c>
      <c r="R19" s="34">
        <f>SUM('Water Heaters Retired'!R$15:R$19)*'Marginal Market Share'!R17</f>
        <v>0</v>
      </c>
      <c r="S19" s="34">
        <f>SUM('Water Heaters Retired'!S$15:S$19)*'Marginal Market Share'!S17</f>
        <v>0</v>
      </c>
      <c r="T19" s="34">
        <f>SUM('Water Heaters Retired'!T$15:T$19)*'Marginal Market Share'!T17</f>
        <v>0</v>
      </c>
      <c r="U19" s="34">
        <f>SUM('Water Heaters Retired'!U$15:U$19)*'Marginal Market Share'!U17</f>
        <v>0</v>
      </c>
      <c r="V19" s="34">
        <f>SUM('Water Heaters Retired'!V$15:V$19)*'Marginal Market Share'!V17</f>
        <v>0</v>
      </c>
      <c r="W19" s="34">
        <f>SUM('Water Heaters Retired'!W$15:W$19)*'Marginal Market Share'!W17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W17"/>
  <sheetViews>
    <sheetView workbookViewId="0"/>
  </sheetViews>
  <sheetFormatPr defaultColWidth="9.140625" defaultRowHeight="15.75"/>
  <cols>
    <col min="1" max="1" width="20.7109375" style="9" customWidth="1"/>
    <col min="2" max="9" width="9.7109375" style="9" customWidth="1"/>
    <col min="10" max="29" width="8.42578125" style="9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 ht="18" customHeight="1">
      <c r="A3" s="43" t="s">
        <v>113</v>
      </c>
    </row>
    <row r="4" spans="1:23" s="23" customFormat="1">
      <c r="A4" s="41" t="str">
        <f>+'Device Energy Use'!A4</f>
        <v>Water Heat Ending</v>
      </c>
      <c r="B4" s="40">
        <f>'Marginal Allocation Weight'!B4</f>
        <v>2014</v>
      </c>
      <c r="C4" s="40">
        <f>'Marginal Allocation Weight'!C4</f>
        <v>2015</v>
      </c>
      <c r="D4" s="40">
        <f>'Marginal Allocation Weight'!D4</f>
        <v>2016</v>
      </c>
      <c r="E4" s="40">
        <f>'Marginal Allocation Weight'!E4</f>
        <v>2017</v>
      </c>
      <c r="F4" s="40">
        <f>'Marginal Allocation Weight'!F4</f>
        <v>2018</v>
      </c>
      <c r="G4" s="40">
        <f>'Marginal Allocation Weight'!G4</f>
        <v>2019</v>
      </c>
      <c r="H4" s="40">
        <f>'Marginal Allocation Weight'!H4</f>
        <v>2020</v>
      </c>
      <c r="I4" s="40">
        <f>'Marginal Allocation Weight'!I4</f>
        <v>2021</v>
      </c>
      <c r="J4" s="40">
        <f>'Marginal Allocation Weight'!J4</f>
        <v>2022</v>
      </c>
      <c r="K4" s="40">
        <f>'Marginal Allocation Weight'!K4</f>
        <v>2023</v>
      </c>
      <c r="L4" s="40">
        <f>'Marginal Allocation Weight'!L4</f>
        <v>2024</v>
      </c>
      <c r="M4" s="40">
        <f>'Marginal Allocation Weight'!M4</f>
        <v>2025</v>
      </c>
      <c r="N4" s="40">
        <f>'Marginal Allocation Weight'!N4</f>
        <v>2026</v>
      </c>
      <c r="O4" s="40">
        <f>'Marginal Allocation Weight'!O4</f>
        <v>2027</v>
      </c>
      <c r="P4" s="40">
        <f>'Marginal Allocation Weight'!P4</f>
        <v>2028</v>
      </c>
      <c r="Q4" s="40">
        <f>'Marginal Allocation Weight'!Q4</f>
        <v>2029</v>
      </c>
      <c r="R4" s="40">
        <f>'Marginal Allocation Weight'!R4</f>
        <v>2030</v>
      </c>
      <c r="S4" s="40">
        <f>'Marginal Allocation Weight'!S4</f>
        <v>2031</v>
      </c>
      <c r="T4" s="40">
        <f>'Marginal Allocation Weight'!T4</f>
        <v>2032</v>
      </c>
      <c r="U4" s="40">
        <f>'Marginal Allocation Weight'!U4</f>
        <v>2033</v>
      </c>
      <c r="V4" s="40">
        <f>'Marginal Allocation Weight'!V4</f>
        <v>2034</v>
      </c>
      <c r="W4" s="40">
        <f>'Marginal Allocation Weight'!W4</f>
        <v>2035</v>
      </c>
    </row>
    <row r="5" spans="1:23">
      <c r="A5" s="9" t="str">
        <f>+'Device Energy Use'!A5</f>
        <v>Electric Resistance</v>
      </c>
      <c r="B5" s="33">
        <f>'Water Heater Stock'!B6/'Water Heater Stock'!B$5</f>
        <v>1</v>
      </c>
      <c r="C5" s="33">
        <f>'Water Heater Stock'!C6/'Water Heater Stock'!C$5</f>
        <v>0.98354472463772857</v>
      </c>
      <c r="D5" s="33">
        <f>'Water Heater Stock'!D6/'Water Heater Stock'!D$5</f>
        <v>0.96823379587193148</v>
      </c>
      <c r="E5" s="33">
        <f>'Water Heater Stock'!E6/'Water Heater Stock'!E$5</f>
        <v>0.95397443794150238</v>
      </c>
      <c r="F5" s="33">
        <f>'Water Heater Stock'!F6/'Water Heater Stock'!F$5</f>
        <v>0.94067329157936541</v>
      </c>
      <c r="G5" s="33">
        <f>'Water Heater Stock'!G6/'Water Heater Stock'!G$5</f>
        <v>0.92823347013731339</v>
      </c>
      <c r="H5" s="33">
        <f>'Water Heater Stock'!H6/'Water Heater Stock'!H$5</f>
        <v>0.91655133417323442</v>
      </c>
      <c r="I5" s="33">
        <f>'Water Heater Stock'!I6/'Water Heater Stock'!I$5</f>
        <v>0.90551326389934061</v>
      </c>
      <c r="J5" s="33">
        <f>'Water Heater Stock'!J6/'Water Heater Stock'!J$5</f>
        <v>0.89499285060120315</v>
      </c>
      <c r="K5" s="33">
        <f>'Water Heater Stock'!K6/'Water Heater Stock'!K$5</f>
        <v>0.88484904790991015</v>
      </c>
      <c r="L5" s="33">
        <f>'Water Heater Stock'!L6/'Water Heater Stock'!L$5</f>
        <v>0.87492588128484572</v>
      </c>
      <c r="M5" s="33">
        <f>'Water Heater Stock'!M6/'Water Heater Stock'!M$5</f>
        <v>0.86505426331039148</v>
      </c>
      <c r="N5" s="33">
        <f>'Water Heater Stock'!N6/'Water Heater Stock'!N$5</f>
        <v>0.85505626571177307</v>
      </c>
      <c r="O5" s="33">
        <f>'Water Heater Stock'!O6/'Water Heater Stock'!O$5</f>
        <v>0.84475184833472461</v>
      </c>
      <c r="P5" s="33">
        <f>'Water Heater Stock'!P6/'Water Heater Stock'!P$5</f>
        <v>0.83396758393511172</v>
      </c>
      <c r="Q5" s="33">
        <f>'Water Heater Stock'!Q6/'Water Heater Stock'!Q$5</f>
        <v>0.82254644706031421</v>
      </c>
      <c r="R5" s="33">
        <f>'Water Heater Stock'!R6/'Water Heater Stock'!R$5</f>
        <v>0.81035739422128594</v>
      </c>
      <c r="S5" s="33">
        <f>'Water Heater Stock'!S6/'Water Heater Stock'!S$5</f>
        <v>0.79730337644567817</v>
      </c>
      <c r="T5" s="33">
        <f>'Water Heater Stock'!T6/'Water Heater Stock'!T$5</f>
        <v>0.78332664803966134</v>
      </c>
      <c r="U5" s="33">
        <f>'Water Heater Stock'!U6/'Water Heater Stock'!U$5</f>
        <v>0.76841071625010138</v>
      </c>
      <c r="V5" s="33">
        <f>'Water Heater Stock'!V6/'Water Heater Stock'!V$5</f>
        <v>0.75257887625517261</v>
      </c>
      <c r="W5" s="33">
        <f>'Water Heater Stock'!W6/'Water Heater Stock'!W$5</f>
        <v>0.73588982536572578</v>
      </c>
    </row>
    <row r="6" spans="1:23">
      <c r="A6" s="9" t="str">
        <f>+'Device Energy Use'!A6</f>
        <v>HPWH</v>
      </c>
      <c r="B6" s="33">
        <f>'Water Heater Stock'!B7/'Water Heater Stock'!B$5</f>
        <v>0</v>
      </c>
      <c r="C6" s="33">
        <f>'Water Heater Stock'!C7/'Water Heater Stock'!C$5</f>
        <v>8.1304715163093296E-6</v>
      </c>
      <c r="D6" s="33">
        <f>'Water Heater Stock'!D7/'Water Heater Stock'!D$5</f>
        <v>2.3802111956099925E-5</v>
      </c>
      <c r="E6" s="33">
        <f>'Water Heater Stock'!E7/'Water Heater Stock'!E$5</f>
        <v>5.2987933774158933E-5</v>
      </c>
      <c r="F6" s="33">
        <f>'Water Heater Stock'!F7/'Water Heater Stock'!F$5</f>
        <v>1.0520474261222814E-4</v>
      </c>
      <c r="G6" s="33">
        <f>'Water Heater Stock'!G7/'Water Heater Stock'!G$5</f>
        <v>1.9488563893761164E-4</v>
      </c>
      <c r="H6" s="33">
        <f>'Water Heater Stock'!H7/'Water Heater Stock'!H$5</f>
        <v>3.4291081145667912E-4</v>
      </c>
      <c r="I6" s="33">
        <f>'Water Heater Stock'!I7/'Water Heater Stock'!I$5</f>
        <v>5.7813878576255253E-4</v>
      </c>
      <c r="J6" s="33">
        <f>'Water Heater Stock'!J7/'Water Heater Stock'!J$5</f>
        <v>9.3870432135937526E-4</v>
      </c>
      <c r="K6" s="33">
        <f>'Water Heater Stock'!K7/'Water Heater Stock'!K$5</f>
        <v>1.472786516108143E-3</v>
      </c>
      <c r="L6" s="33">
        <f>'Water Heater Stock'!L7/'Water Heater Stock'!L$5</f>
        <v>2.2385233562120456E-3</v>
      </c>
      <c r="M6" s="33">
        <f>'Water Heater Stock'!M7/'Water Heater Stock'!M$5</f>
        <v>3.3027815317431181E-3</v>
      </c>
      <c r="N6" s="33">
        <f>'Water Heater Stock'!N7/'Water Heater Stock'!N$5</f>
        <v>4.7386024050741849E-3</v>
      </c>
      <c r="O6" s="33">
        <f>'Water Heater Stock'!O7/'Water Heater Stock'!O$5</f>
        <v>6.6213395093870754E-3</v>
      </c>
      <c r="P6" s="33">
        <f>'Water Heater Stock'!P7/'Water Heater Stock'!P$5</f>
        <v>9.0237547644618863E-3</v>
      </c>
      <c r="Q6" s="33">
        <f>'Water Heater Stock'!Q7/'Water Heater Stock'!Q$5</f>
        <v>1.2010593336364136E-2</v>
      </c>
      <c r="R6" s="33">
        <f>'Water Heater Stock'!R7/'Water Heater Stock'!R$5</f>
        <v>1.5633335315572157E-2</v>
      </c>
      <c r="S6" s="33">
        <f>'Water Heater Stock'!S7/'Water Heater Stock'!S$5</f>
        <v>1.9925859371704293E-2</v>
      </c>
      <c r="T6" s="33">
        <f>'Water Heater Stock'!T7/'Water Heater Stock'!T$5</f>
        <v>2.4901622614955571E-2</v>
      </c>
      <c r="U6" s="33">
        <f>'Water Heater Stock'!U7/'Water Heater Stock'!U$5</f>
        <v>3.055269247727321E-2</v>
      </c>
      <c r="V6" s="33">
        <f>'Water Heater Stock'!V7/'Water Heater Stock'!V$5</f>
        <v>3.6850638108102303E-2</v>
      </c>
      <c r="W6" s="33">
        <f>'Water Heater Stock'!W7/'Water Heater Stock'!W$5</f>
        <v>4.3748992718060105E-2</v>
      </c>
    </row>
    <row r="7" spans="1:23">
      <c r="A7" s="9" t="str">
        <f>+'Device Energy Use'!A7</f>
        <v>Gas Tank</v>
      </c>
      <c r="B7" s="33">
        <f>'Water Heater Stock'!B8/'Water Heater Stock'!B$5</f>
        <v>0</v>
      </c>
      <c r="C7" s="33">
        <f>'Water Heater Stock'!C8/'Water Heater Stock'!C$5</f>
        <v>1.6436383710188542E-2</v>
      </c>
      <c r="D7" s="33">
        <f>'Water Heater Stock'!D8/'Water Heater Stock'!D$5</f>
        <v>3.1710816072643304E-2</v>
      </c>
      <c r="E7" s="33">
        <f>'Water Heater Stock'!E8/'Water Heater Stock'!E$5</f>
        <v>4.5902051608798906E-2</v>
      </c>
      <c r="F7" s="33">
        <f>'Water Heater Stock'!F8/'Water Heater Stock'!F$5</f>
        <v>5.9081044688383683E-2</v>
      </c>
      <c r="G7" s="33">
        <f>'Water Heater Stock'!G8/'Water Heater Stock'!G$5</f>
        <v>7.1310601318189559E-2</v>
      </c>
      <c r="H7" s="33">
        <f>'Water Heater Stock'!H8/'Water Heater Stock'!H$5</f>
        <v>8.2644904263221727E-2</v>
      </c>
      <c r="I7" s="33">
        <f>'Water Heater Stock'!I8/'Water Heater Stock'!I$5</f>
        <v>9.3128998451536812E-2</v>
      </c>
      <c r="J7" s="33">
        <f>'Water Heater Stock'!J8/'Water Heater Stock'!J$5</f>
        <v>0.1027983668176658</v>
      </c>
      <c r="K7" s="33">
        <f>'Water Heater Stock'!K8/'Water Heater Stock'!K$5</f>
        <v>0.11167876352375312</v>
      </c>
      <c r="L7" s="33">
        <f>'Water Heater Stock'!L8/'Water Heater Stock'!L$5</f>
        <v>0.11978648954059828</v>
      </c>
      <c r="M7" s="33">
        <f>'Water Heater Stock'!M8/'Water Heater Stock'!M$5</f>
        <v>0.12712928078521776</v>
      </c>
      <c r="N7" s="33">
        <f>'Water Heater Stock'!N8/'Water Heater Stock'!N$5</f>
        <v>0.13370791973725926</v>
      </c>
      <c r="O7" s="33">
        <f>'Water Heater Stock'!O8/'Water Heater Stock'!O$5</f>
        <v>0.13951857502030351</v>
      </c>
      <c r="P7" s="33">
        <f>'Water Heater Stock'!P8/'Water Heater Stock'!P$5</f>
        <v>0.14455573276991615</v>
      </c>
      <c r="Q7" s="33">
        <f>'Water Heater Stock'!Q8/'Water Heater Stock'!Q$5</f>
        <v>0.14881543951828186</v>
      </c>
      <c r="R7" s="33">
        <f>'Water Heater Stock'!R8/'Water Heater Stock'!R$5</f>
        <v>0.15229847108682329</v>
      </c>
      <c r="S7" s="33">
        <f>'Water Heater Stock'!S8/'Water Heater Stock'!S$5</f>
        <v>0.15501301409180379</v>
      </c>
      <c r="T7" s="33">
        <f>'Water Heater Stock'!T8/'Water Heater Stock'!T$5</f>
        <v>0.15697651296967524</v>
      </c>
      <c r="U7" s="33">
        <f>'Water Heater Stock'!U8/'Water Heater Stock'!U$5</f>
        <v>0.15821648088851725</v>
      </c>
      <c r="V7" s="33">
        <f>'Water Heater Stock'!V8/'Water Heater Stock'!V$5</f>
        <v>0.15877025534986453</v>
      </c>
      <c r="W7" s="33">
        <f>'Water Heater Stock'!W8/'Water Heater Stock'!W$5</f>
        <v>0.15868384714599468</v>
      </c>
    </row>
    <row r="8" spans="1:23">
      <c r="A8" s="9" t="str">
        <f>+'Device Energy Use'!A8</f>
        <v>Instant Gas</v>
      </c>
      <c r="B8" s="33">
        <f>'Water Heater Stock'!B9/'Water Heater Stock'!B$5</f>
        <v>0</v>
      </c>
      <c r="C8" s="33">
        <f>'Water Heater Stock'!C9/'Water Heater Stock'!C$5</f>
        <v>2.2036514310145261E-6</v>
      </c>
      <c r="D8" s="33">
        <f>'Water Heater Stock'!D9/'Water Heater Stock'!D$5</f>
        <v>6.4760463475553622E-6</v>
      </c>
      <c r="E8" s="33">
        <f>'Water Heater Stock'!E9/'Water Heater Stock'!E$5</f>
        <v>1.4479253647361049E-5</v>
      </c>
      <c r="F8" s="33">
        <f>'Water Heater Stock'!F9/'Water Heater Stock'!F$5</f>
        <v>2.8881378562186319E-5</v>
      </c>
      <c r="G8" s="33">
        <f>'Water Heater Stock'!G9/'Water Heater Stock'!G$5</f>
        <v>5.3760252508736936E-5</v>
      </c>
      <c r="H8" s="33">
        <f>'Water Heater Stock'!H9/'Water Heater Stock'!H$5</f>
        <v>9.5062708116069083E-5</v>
      </c>
      <c r="I8" s="33">
        <f>'Water Heater Stock'!I9/'Water Heater Stock'!I$5</f>
        <v>1.6107697583872549E-4</v>
      </c>
      <c r="J8" s="33">
        <f>'Water Heater Stock'!J9/'Water Heater Stock'!J$5</f>
        <v>2.6285259397275536E-4</v>
      </c>
      <c r="K8" s="33">
        <f>'Water Heater Stock'!K9/'Water Heater Stock'!K$5</f>
        <v>4.1448183819437585E-4</v>
      </c>
      <c r="L8" s="33">
        <f>'Water Heater Stock'!L9/'Water Heater Stock'!L$5</f>
        <v>6.3314548189619016E-4</v>
      </c>
      <c r="M8" s="33">
        <f>'Water Heater Stock'!M9/'Water Heater Stock'!M$5</f>
        <v>9.3883123635024092E-4</v>
      </c>
      <c r="N8" s="33">
        <f>'Water Heater Stock'!N9/'Water Heater Stock'!N$5</f>
        <v>1.3536620018319242E-3</v>
      </c>
      <c r="O8" s="33">
        <f>'Water Heater Stock'!O9/'Water Heater Stock'!O$5</f>
        <v>1.9008251167069539E-3</v>
      </c>
      <c r="P8" s="33">
        <f>'Water Heater Stock'!P9/'Water Heater Stock'!P$5</f>
        <v>2.6031670565256192E-3</v>
      </c>
      <c r="Q8" s="33">
        <f>'Water Heater Stock'!Q9/'Water Heater Stock'!Q$5</f>
        <v>3.4815948934456783E-3</v>
      </c>
      <c r="R8" s="33">
        <f>'Water Heater Stock'!R9/'Water Heater Stock'!R$5</f>
        <v>4.5534841454697057E-3</v>
      </c>
      <c r="S8" s="33">
        <f>'Water Heater Stock'!S9/'Water Heater Stock'!S$5</f>
        <v>5.8313116081877775E-3</v>
      </c>
      <c r="T8" s="33">
        <f>'Water Heater Stock'!T9/'Water Heater Stock'!T$5</f>
        <v>7.3217013727612393E-3</v>
      </c>
      <c r="U8" s="33">
        <f>'Water Heater Stock'!U9/'Water Heater Stock'!U$5</f>
        <v>9.0249991002154147E-3</v>
      </c>
      <c r="V8" s="33">
        <f>'Water Heater Stock'!V9/'Water Heater Stock'!V$5</f>
        <v>1.0935395007457558E-2</v>
      </c>
      <c r="W8" s="33">
        <f>'Water Heater Stock'!W9/'Water Heater Stock'!W$5</f>
        <v>1.3041526852385887E-2</v>
      </c>
    </row>
    <row r="9" spans="1:23">
      <c r="A9" s="9" t="str">
        <f>+'Device Energy Use'!A9</f>
        <v>Condensing Gas</v>
      </c>
      <c r="B9" s="33">
        <f>'Water Heater Stock'!B10/'Water Heater Stock'!B$5</f>
        <v>0</v>
      </c>
      <c r="C9" s="33">
        <f>'Water Heater Stock'!C10/'Water Heater Stock'!C$5</f>
        <v>8.5575291355838557E-6</v>
      </c>
      <c r="D9" s="33">
        <f>'Water Heater Stock'!D10/'Water Heater Stock'!D$5</f>
        <v>2.5109897121469685E-5</v>
      </c>
      <c r="E9" s="33">
        <f>'Water Heater Stock'!E10/'Water Heater Stock'!E$5</f>
        <v>5.6043262277290908E-5</v>
      </c>
      <c r="F9" s="33">
        <f>'Water Heater Stock'!F10/'Water Heater Stock'!F$5</f>
        <v>1.1157761107637972E-4</v>
      </c>
      <c r="G9" s="33">
        <f>'Water Heater Stock'!G10/'Water Heater Stock'!G$5</f>
        <v>2.0728265305067396E-4</v>
      </c>
      <c r="H9" s="33">
        <f>'Water Heater Stock'!H10/'Water Heater Stock'!H$5</f>
        <v>3.6578804397132249E-4</v>
      </c>
      <c r="I9" s="33">
        <f>'Water Heater Stock'!I10/'Water Heater Stock'!I$5</f>
        <v>6.1852188752132197E-4</v>
      </c>
      <c r="J9" s="33">
        <f>'Water Heater Stock'!J10/'Water Heater Stock'!J$5</f>
        <v>1.0072256657988768E-3</v>
      </c>
      <c r="K9" s="33">
        <f>'Water Heater Stock'!K10/'Water Heater Stock'!K$5</f>
        <v>1.5849202120342156E-3</v>
      </c>
      <c r="L9" s="33">
        <f>'Water Heater Stock'!L10/'Water Heater Stock'!L$5</f>
        <v>2.4159603364478301E-3</v>
      </c>
      <c r="M9" s="33">
        <f>'Water Heater Stock'!M10/'Water Heater Stock'!M$5</f>
        <v>3.5748431362973591E-3</v>
      </c>
      <c r="N9" s="33">
        <f>'Water Heater Stock'!N10/'Water Heater Stock'!N$5</f>
        <v>5.1435501440614904E-3</v>
      </c>
      <c r="O9" s="33">
        <f>'Water Heater Stock'!O10/'Water Heater Stock'!O$5</f>
        <v>7.2074120188777534E-3</v>
      </c>
      <c r="P9" s="33">
        <f>'Water Heater Stock'!P10/'Water Heater Stock'!P$5</f>
        <v>9.8497614739846522E-3</v>
      </c>
      <c r="Q9" s="33">
        <f>'Water Heater Stock'!Q10/'Water Heater Stock'!Q$5</f>
        <v>1.3145925191594292E-2</v>
      </c>
      <c r="R9" s="33">
        <f>'Water Heater Stock'!R10/'Water Heater Stock'!R$5</f>
        <v>1.7157315230849089E-2</v>
      </c>
      <c r="S9" s="33">
        <f>'Water Heater Stock'!S10/'Water Heater Stock'!S$5</f>
        <v>2.1926438482626029E-2</v>
      </c>
      <c r="T9" s="33">
        <f>'Water Heater Stock'!T10/'Water Heater Stock'!T$5</f>
        <v>2.7473515002946668E-2</v>
      </c>
      <c r="U9" s="33">
        <f>'Water Heater Stock'!U10/'Water Heater Stock'!U$5</f>
        <v>3.3795111283892829E-2</v>
      </c>
      <c r="V9" s="33">
        <f>'Water Heater Stock'!V10/'Water Heater Stock'!V$5</f>
        <v>4.0864835279402996E-2</v>
      </c>
      <c r="W9" s="33">
        <f>'Water Heater Stock'!W10/'Water Heater Stock'!W$5</f>
        <v>4.8635807917833597E-2</v>
      </c>
    </row>
    <row r="11" spans="1:23">
      <c r="A11" s="43" t="s">
        <v>114</v>
      </c>
    </row>
    <row r="12" spans="1:23" s="23" customFormat="1">
      <c r="A12" s="41" t="str">
        <f>+'Device Energy Use'!A4</f>
        <v>Water Heat Ending</v>
      </c>
      <c r="B12" s="40">
        <f>'Levelized Costs'!B4</f>
        <v>2014</v>
      </c>
      <c r="C12" s="40">
        <f>'Levelized Costs'!C4</f>
        <v>2015</v>
      </c>
      <c r="D12" s="40">
        <f>'Levelized Costs'!D4</f>
        <v>2016</v>
      </c>
      <c r="E12" s="40">
        <f>'Levelized Costs'!E4</f>
        <v>2017</v>
      </c>
      <c r="F12" s="40">
        <f>'Levelized Costs'!F4</f>
        <v>2018</v>
      </c>
      <c r="G12" s="40">
        <f>'Levelized Costs'!G4</f>
        <v>2019</v>
      </c>
      <c r="H12" s="40">
        <f>'Levelized Costs'!H4</f>
        <v>2020</v>
      </c>
      <c r="I12" s="40">
        <f>'Levelized Costs'!I4</f>
        <v>2021</v>
      </c>
      <c r="J12" s="40">
        <f>'Levelized Costs'!J4</f>
        <v>2022</v>
      </c>
      <c r="K12" s="40">
        <f>'Levelized Costs'!K4</f>
        <v>2023</v>
      </c>
      <c r="L12" s="40">
        <f>'Levelized Costs'!L4</f>
        <v>2024</v>
      </c>
      <c r="M12" s="40">
        <f>'Levelized Costs'!M4</f>
        <v>2025</v>
      </c>
      <c r="N12" s="40">
        <f>'Levelized Costs'!N4</f>
        <v>2026</v>
      </c>
      <c r="O12" s="40">
        <f>'Levelized Costs'!O4</f>
        <v>2027</v>
      </c>
      <c r="P12" s="40">
        <f>'Levelized Costs'!P4</f>
        <v>2028</v>
      </c>
      <c r="Q12" s="40">
        <f>'Levelized Costs'!Q4</f>
        <v>2029</v>
      </c>
      <c r="R12" s="40">
        <f>'Levelized Costs'!R4</f>
        <v>2030</v>
      </c>
      <c r="S12" s="40">
        <f>'Levelized Costs'!S4</f>
        <v>2031</v>
      </c>
      <c r="T12" s="40">
        <f>'Levelized Costs'!T4</f>
        <v>2032</v>
      </c>
      <c r="U12" s="40">
        <f>'Levelized Costs'!U4</f>
        <v>2033</v>
      </c>
      <c r="V12" s="40">
        <f>'Levelized Costs'!V4</f>
        <v>2034</v>
      </c>
      <c r="W12" s="40">
        <f>'Levelized Costs'!W4</f>
        <v>2035</v>
      </c>
    </row>
    <row r="13" spans="1:23">
      <c r="A13" s="9" t="str">
        <f>+'Device Energy Use'!A5</f>
        <v>Electric Resistance</v>
      </c>
      <c r="B13" s="33">
        <f>'Water Heater Stock'!B15/'Water Heater Stock'!B$14</f>
        <v>1</v>
      </c>
      <c r="C13" s="33">
        <f>'Water Heater Stock'!C15/'Water Heater Stock'!C$14</f>
        <v>0.9285714285714286</v>
      </c>
      <c r="D13" s="33">
        <f>'Water Heater Stock'!D15/'Water Heater Stock'!D$14</f>
        <v>0.86224489795918369</v>
      </c>
      <c r="E13" s="33">
        <f>'Water Heater Stock'!E15/'Water Heater Stock'!E$14</f>
        <v>0.80065597667638477</v>
      </c>
      <c r="F13" s="33">
        <f>'Water Heater Stock'!F15/'Water Heater Stock'!F$14</f>
        <v>0.74346626405664307</v>
      </c>
      <c r="G13" s="33">
        <f>'Water Heater Stock'!G15/'Water Heater Stock'!G$14</f>
        <v>0.69036153090974006</v>
      </c>
      <c r="H13" s="33">
        <f>'Water Heater Stock'!H15/'Water Heater Stock'!H$14</f>
        <v>0.64104999298761567</v>
      </c>
      <c r="I13" s="33">
        <f>'Water Heater Stock'!I15/'Water Heater Stock'!I$14</f>
        <v>0.59526070777421458</v>
      </c>
      <c r="J13" s="33">
        <f>'Water Heater Stock'!J15/'Water Heater Stock'!J$14</f>
        <v>0.55274208579034212</v>
      </c>
      <c r="K13" s="33">
        <f>'Water Heater Stock'!K15/'Water Heater Stock'!K$14</f>
        <v>0.51326050823388913</v>
      </c>
      <c r="L13" s="33">
        <f>'Water Heater Stock'!L15/'Water Heater Stock'!L$14</f>
        <v>0.47659904336003989</v>
      </c>
      <c r="M13" s="33">
        <f>'Water Heater Stock'!M15/'Water Heater Stock'!M$14</f>
        <v>0.44255625454860847</v>
      </c>
      <c r="N13" s="33">
        <f>'Water Heater Stock'!N15/'Water Heater Stock'!N$14</f>
        <v>0.41094509350942215</v>
      </c>
      <c r="O13" s="33">
        <f>'Water Heater Stock'!O15/'Water Heater Stock'!O$14</f>
        <v>0.38159187254446336</v>
      </c>
      <c r="P13" s="33">
        <f>'Water Heater Stock'!P15/'Water Heater Stock'!P$14</f>
        <v>0.35433531021985887</v>
      </c>
      <c r="Q13" s="33">
        <f>'Water Heater Stock'!Q15/'Water Heater Stock'!Q$14</f>
        <v>0.32902564520415467</v>
      </c>
      <c r="R13" s="33">
        <f>'Water Heater Stock'!R15/'Water Heater Stock'!R$14</f>
        <v>0.30552381340385787</v>
      </c>
      <c r="S13" s="33">
        <f>'Water Heater Stock'!S15/'Water Heater Stock'!S$14</f>
        <v>0.28370068387501096</v>
      </c>
      <c r="T13" s="33">
        <f>'Water Heater Stock'!T15/'Water Heater Stock'!T$14</f>
        <v>0.26343634931251014</v>
      </c>
      <c r="U13" s="33">
        <f>'Water Heater Stock'!U15/'Water Heater Stock'!U$14</f>
        <v>0.24461946721875946</v>
      </c>
      <c r="V13" s="33">
        <f>'Water Heater Stock'!V15/'Water Heater Stock'!V$14</f>
        <v>0.22714664813170521</v>
      </c>
      <c r="W13" s="33">
        <f>'Water Heater Stock'!W15/'Water Heater Stock'!W$14</f>
        <v>0.2109218875508691</v>
      </c>
    </row>
    <row r="14" spans="1:23">
      <c r="A14" s="9" t="str">
        <f>+'Device Energy Use'!A6</f>
        <v>HPWH</v>
      </c>
      <c r="B14" s="33">
        <f>'Water Heater Stock'!B16/'Water Heater Stock'!B$14</f>
        <v>0</v>
      </c>
      <c r="C14" s="33">
        <f>'Water Heater Stock'!C16/'Water Heater Stock'!C$14</f>
        <v>0</v>
      </c>
      <c r="D14" s="33">
        <f>'Water Heater Stock'!D16/'Water Heater Stock'!D$14</f>
        <v>0</v>
      </c>
      <c r="E14" s="33">
        <f>'Water Heater Stock'!E16/'Water Heater Stock'!E$14</f>
        <v>0</v>
      </c>
      <c r="F14" s="33">
        <f>'Water Heater Stock'!F16/'Water Heater Stock'!F$14</f>
        <v>0</v>
      </c>
      <c r="G14" s="33">
        <f>'Water Heater Stock'!G16/'Water Heater Stock'!G$14</f>
        <v>0</v>
      </c>
      <c r="H14" s="33">
        <f>'Water Heater Stock'!H16/'Water Heater Stock'!H$14</f>
        <v>0</v>
      </c>
      <c r="I14" s="33">
        <f>'Water Heater Stock'!I16/'Water Heater Stock'!I$14</f>
        <v>0</v>
      </c>
      <c r="J14" s="33">
        <f>'Water Heater Stock'!J16/'Water Heater Stock'!J$14</f>
        <v>0</v>
      </c>
      <c r="K14" s="33">
        <f>'Water Heater Stock'!K16/'Water Heater Stock'!K$14</f>
        <v>0</v>
      </c>
      <c r="L14" s="33">
        <f>'Water Heater Stock'!L16/'Water Heater Stock'!L$14</f>
        <v>0</v>
      </c>
      <c r="M14" s="33">
        <f>'Water Heater Stock'!M16/'Water Heater Stock'!M$14</f>
        <v>0</v>
      </c>
      <c r="N14" s="33">
        <f>'Water Heater Stock'!N16/'Water Heater Stock'!N$14</f>
        <v>0</v>
      </c>
      <c r="O14" s="33">
        <f>'Water Heater Stock'!O16/'Water Heater Stock'!O$14</f>
        <v>0</v>
      </c>
      <c r="P14" s="33">
        <f>'Water Heater Stock'!P16/'Water Heater Stock'!P$14</f>
        <v>0</v>
      </c>
      <c r="Q14" s="33">
        <f>'Water Heater Stock'!Q16/'Water Heater Stock'!Q$14</f>
        <v>0</v>
      </c>
      <c r="R14" s="33">
        <f>'Water Heater Stock'!R16/'Water Heater Stock'!R$14</f>
        <v>0</v>
      </c>
      <c r="S14" s="33">
        <f>'Water Heater Stock'!S16/'Water Heater Stock'!S$14</f>
        <v>0</v>
      </c>
      <c r="T14" s="33">
        <f>'Water Heater Stock'!T16/'Water Heater Stock'!T$14</f>
        <v>0</v>
      </c>
      <c r="U14" s="33">
        <f>'Water Heater Stock'!U16/'Water Heater Stock'!U$14</f>
        <v>0</v>
      </c>
      <c r="V14" s="33">
        <f>'Water Heater Stock'!V16/'Water Heater Stock'!V$14</f>
        <v>0</v>
      </c>
      <c r="W14" s="33">
        <f>'Water Heater Stock'!W16/'Water Heater Stock'!W$14</f>
        <v>0</v>
      </c>
    </row>
    <row r="15" spans="1:23">
      <c r="A15" s="9" t="str">
        <f>+'Device Energy Use'!A7</f>
        <v>Gas Tank</v>
      </c>
      <c r="B15" s="33">
        <f>'Water Heater Stock'!B17/'Water Heater Stock'!B$14</f>
        <v>0</v>
      </c>
      <c r="C15" s="33">
        <f>'Water Heater Stock'!C17/'Water Heater Stock'!C$14</f>
        <v>7.1428571428571425E-2</v>
      </c>
      <c r="D15" s="33">
        <f>'Water Heater Stock'!D17/'Water Heater Stock'!D$14</f>
        <v>0.13775510204081634</v>
      </c>
      <c r="E15" s="33">
        <f>'Water Heater Stock'!E17/'Water Heater Stock'!E$14</f>
        <v>0.19934402332361517</v>
      </c>
      <c r="F15" s="33">
        <f>'Water Heater Stock'!F17/'Water Heater Stock'!F$14</f>
        <v>0.25653373594335693</v>
      </c>
      <c r="G15" s="33">
        <f>'Water Heater Stock'!G17/'Water Heater Stock'!G$14</f>
        <v>0.30963846909026005</v>
      </c>
      <c r="H15" s="33">
        <f>'Water Heater Stock'!H17/'Water Heater Stock'!H$14</f>
        <v>0.35895000701238428</v>
      </c>
      <c r="I15" s="33">
        <f>'Water Heater Stock'!I17/'Water Heater Stock'!I$14</f>
        <v>0.40473929222578542</v>
      </c>
      <c r="J15" s="33">
        <f>'Water Heater Stock'!J17/'Water Heater Stock'!J$14</f>
        <v>0.44725791420965794</v>
      </c>
      <c r="K15" s="33">
        <f>'Water Heater Stock'!K17/'Water Heater Stock'!K$14</f>
        <v>0.48673949176611098</v>
      </c>
      <c r="L15" s="33">
        <f>'Water Heater Stock'!L17/'Water Heater Stock'!L$14</f>
        <v>0.52340095663996011</v>
      </c>
      <c r="M15" s="33">
        <f>'Water Heater Stock'!M17/'Water Heater Stock'!M$14</f>
        <v>0.55744374545139164</v>
      </c>
      <c r="N15" s="33">
        <f>'Water Heater Stock'!N17/'Water Heater Stock'!N$14</f>
        <v>0.5890549064905779</v>
      </c>
      <c r="O15" s="33">
        <f>'Water Heater Stock'!O17/'Water Heater Stock'!O$14</f>
        <v>0.61840812745553664</v>
      </c>
      <c r="P15" s="33">
        <f>'Water Heater Stock'!P17/'Water Heater Stock'!P$14</f>
        <v>0.64566468978014113</v>
      </c>
      <c r="Q15" s="33">
        <f>'Water Heater Stock'!Q17/'Water Heater Stock'!Q$14</f>
        <v>0.67097435479584533</v>
      </c>
      <c r="R15" s="33">
        <f>'Water Heater Stock'!R17/'Water Heater Stock'!R$14</f>
        <v>0.69447618659614208</v>
      </c>
      <c r="S15" s="33">
        <f>'Water Heater Stock'!S17/'Water Heater Stock'!S$14</f>
        <v>0.71629931612498909</v>
      </c>
      <c r="T15" s="33">
        <f>'Water Heater Stock'!T17/'Water Heater Stock'!T$14</f>
        <v>0.73656365068748975</v>
      </c>
      <c r="U15" s="33">
        <f>'Water Heater Stock'!U17/'Water Heater Stock'!U$14</f>
        <v>0.75538053278124062</v>
      </c>
      <c r="V15" s="33">
        <f>'Water Heater Stock'!V17/'Water Heater Stock'!V$14</f>
        <v>0.77285335186829485</v>
      </c>
      <c r="W15" s="33">
        <f>'Water Heater Stock'!W17/'Water Heater Stock'!W$14</f>
        <v>0.78907811244913084</v>
      </c>
    </row>
    <row r="16" spans="1:23">
      <c r="A16" s="9" t="str">
        <f>+'Device Energy Use'!A8</f>
        <v>Instant Gas</v>
      </c>
      <c r="B16" s="33">
        <f>'Water Heater Stock'!B18/'Water Heater Stock'!B$14</f>
        <v>0</v>
      </c>
      <c r="C16" s="33">
        <f>'Water Heater Stock'!C18/'Water Heater Stock'!C$14</f>
        <v>0</v>
      </c>
      <c r="D16" s="33">
        <f>'Water Heater Stock'!D18/'Water Heater Stock'!D$14</f>
        <v>0</v>
      </c>
      <c r="E16" s="33">
        <f>'Water Heater Stock'!E18/'Water Heater Stock'!E$14</f>
        <v>0</v>
      </c>
      <c r="F16" s="33">
        <f>'Water Heater Stock'!F18/'Water Heater Stock'!F$14</f>
        <v>0</v>
      </c>
      <c r="G16" s="33">
        <f>'Water Heater Stock'!G18/'Water Heater Stock'!G$14</f>
        <v>0</v>
      </c>
      <c r="H16" s="33">
        <f>'Water Heater Stock'!H18/'Water Heater Stock'!H$14</f>
        <v>0</v>
      </c>
      <c r="I16" s="33">
        <f>'Water Heater Stock'!I18/'Water Heater Stock'!I$14</f>
        <v>0</v>
      </c>
      <c r="J16" s="33">
        <f>'Water Heater Stock'!J18/'Water Heater Stock'!J$14</f>
        <v>0</v>
      </c>
      <c r="K16" s="33">
        <f>'Water Heater Stock'!K18/'Water Heater Stock'!K$14</f>
        <v>0</v>
      </c>
      <c r="L16" s="33">
        <f>'Water Heater Stock'!L18/'Water Heater Stock'!L$14</f>
        <v>0</v>
      </c>
      <c r="M16" s="33">
        <f>'Water Heater Stock'!M18/'Water Heater Stock'!M$14</f>
        <v>0</v>
      </c>
      <c r="N16" s="33">
        <f>'Water Heater Stock'!N18/'Water Heater Stock'!N$14</f>
        <v>0</v>
      </c>
      <c r="O16" s="33">
        <f>'Water Heater Stock'!O18/'Water Heater Stock'!O$14</f>
        <v>0</v>
      </c>
      <c r="P16" s="33">
        <f>'Water Heater Stock'!P18/'Water Heater Stock'!P$14</f>
        <v>0</v>
      </c>
      <c r="Q16" s="33">
        <f>'Water Heater Stock'!Q18/'Water Heater Stock'!Q$14</f>
        <v>0</v>
      </c>
      <c r="R16" s="33">
        <f>'Water Heater Stock'!R18/'Water Heater Stock'!R$14</f>
        <v>0</v>
      </c>
      <c r="S16" s="33">
        <f>'Water Heater Stock'!S18/'Water Heater Stock'!S$14</f>
        <v>0</v>
      </c>
      <c r="T16" s="33">
        <f>'Water Heater Stock'!T18/'Water Heater Stock'!T$14</f>
        <v>0</v>
      </c>
      <c r="U16" s="33">
        <f>'Water Heater Stock'!U18/'Water Heater Stock'!U$14</f>
        <v>0</v>
      </c>
      <c r="V16" s="33">
        <f>'Water Heater Stock'!V18/'Water Heater Stock'!V$14</f>
        <v>0</v>
      </c>
      <c r="W16" s="33">
        <f>'Water Heater Stock'!W18/'Water Heater Stock'!W$14</f>
        <v>0</v>
      </c>
    </row>
    <row r="17" spans="1:23">
      <c r="A17" s="9" t="str">
        <f>+'Device Energy Use'!A9</f>
        <v>Condensing Gas</v>
      </c>
      <c r="B17" s="33">
        <f>'Water Heater Stock'!B19/'Water Heater Stock'!B$14</f>
        <v>0</v>
      </c>
      <c r="C17" s="33">
        <f>'Water Heater Stock'!C19/'Water Heater Stock'!C$14</f>
        <v>0</v>
      </c>
      <c r="D17" s="33">
        <f>'Water Heater Stock'!D19/'Water Heater Stock'!D$14</f>
        <v>0</v>
      </c>
      <c r="E17" s="33">
        <f>'Water Heater Stock'!E19/'Water Heater Stock'!E$14</f>
        <v>0</v>
      </c>
      <c r="F17" s="33">
        <f>'Water Heater Stock'!F19/'Water Heater Stock'!F$14</f>
        <v>0</v>
      </c>
      <c r="G17" s="33">
        <f>'Water Heater Stock'!G19/'Water Heater Stock'!G$14</f>
        <v>0</v>
      </c>
      <c r="H17" s="33">
        <f>'Water Heater Stock'!H19/'Water Heater Stock'!H$14</f>
        <v>0</v>
      </c>
      <c r="I17" s="33">
        <f>'Water Heater Stock'!I19/'Water Heater Stock'!I$14</f>
        <v>0</v>
      </c>
      <c r="J17" s="33">
        <f>'Water Heater Stock'!J19/'Water Heater Stock'!J$14</f>
        <v>0</v>
      </c>
      <c r="K17" s="33">
        <f>'Water Heater Stock'!K19/'Water Heater Stock'!K$14</f>
        <v>0</v>
      </c>
      <c r="L17" s="33">
        <f>'Water Heater Stock'!L19/'Water Heater Stock'!L$14</f>
        <v>0</v>
      </c>
      <c r="M17" s="33">
        <f>'Water Heater Stock'!M19/'Water Heater Stock'!M$14</f>
        <v>0</v>
      </c>
      <c r="N17" s="33">
        <f>'Water Heater Stock'!N19/'Water Heater Stock'!N$14</f>
        <v>0</v>
      </c>
      <c r="O17" s="33">
        <f>'Water Heater Stock'!O19/'Water Heater Stock'!O$14</f>
        <v>0</v>
      </c>
      <c r="P17" s="33">
        <f>'Water Heater Stock'!P19/'Water Heater Stock'!P$14</f>
        <v>0</v>
      </c>
      <c r="Q17" s="33">
        <f>'Water Heater Stock'!Q19/'Water Heater Stock'!Q$14</f>
        <v>0</v>
      </c>
      <c r="R17" s="33">
        <f>'Water Heater Stock'!R19/'Water Heater Stock'!R$14</f>
        <v>0</v>
      </c>
      <c r="S17" s="33">
        <f>'Water Heater Stock'!S19/'Water Heater Stock'!S$14</f>
        <v>0</v>
      </c>
      <c r="T17" s="33">
        <f>'Water Heater Stock'!T19/'Water Heater Stock'!T$14</f>
        <v>0</v>
      </c>
      <c r="U17" s="33">
        <f>'Water Heater Stock'!U19/'Water Heater Stock'!U$14</f>
        <v>0</v>
      </c>
      <c r="V17" s="33">
        <f>'Water Heater Stock'!V19/'Water Heater Stock'!V$14</f>
        <v>0</v>
      </c>
      <c r="W17" s="33">
        <f>'Water Heater Stock'!W19/'Water Heater Stock'!W$14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W17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29" width="8.42578125" style="9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 ht="18" customHeight="1">
      <c r="A3" s="43" t="s">
        <v>94</v>
      </c>
    </row>
    <row r="4" spans="1:23" s="23" customFormat="1">
      <c r="A4" s="41" t="str">
        <f>+'Device Energy Use'!A4</f>
        <v>Water Heat Ending</v>
      </c>
      <c r="B4" s="40">
        <f>'Marginal Allocation Weight'!B4</f>
        <v>2014</v>
      </c>
      <c r="C4" s="40">
        <f>'Marginal Allocation Weight'!C4</f>
        <v>2015</v>
      </c>
      <c r="D4" s="40">
        <f>'Marginal Allocation Weight'!D4</f>
        <v>2016</v>
      </c>
      <c r="E4" s="40">
        <f>'Marginal Allocation Weight'!E4</f>
        <v>2017</v>
      </c>
      <c r="F4" s="40">
        <f>'Marginal Allocation Weight'!F4</f>
        <v>2018</v>
      </c>
      <c r="G4" s="40">
        <f>'Marginal Allocation Weight'!G4</f>
        <v>2019</v>
      </c>
      <c r="H4" s="40">
        <f>'Marginal Allocation Weight'!H4</f>
        <v>2020</v>
      </c>
      <c r="I4" s="40">
        <f>'Marginal Allocation Weight'!I4</f>
        <v>2021</v>
      </c>
      <c r="J4" s="40">
        <f>'Marginal Allocation Weight'!J4</f>
        <v>2022</v>
      </c>
      <c r="K4" s="40">
        <f>'Marginal Allocation Weight'!K4</f>
        <v>2023</v>
      </c>
      <c r="L4" s="40">
        <f>'Marginal Allocation Weight'!L4</f>
        <v>2024</v>
      </c>
      <c r="M4" s="40">
        <f>'Marginal Allocation Weight'!M4</f>
        <v>2025</v>
      </c>
      <c r="N4" s="40">
        <f>'Marginal Allocation Weight'!N4</f>
        <v>2026</v>
      </c>
      <c r="O4" s="40">
        <f>'Marginal Allocation Weight'!O4</f>
        <v>2027</v>
      </c>
      <c r="P4" s="40">
        <f>'Marginal Allocation Weight'!P4</f>
        <v>2028</v>
      </c>
      <c r="Q4" s="40">
        <f>'Marginal Allocation Weight'!Q4</f>
        <v>2029</v>
      </c>
      <c r="R4" s="40">
        <f>'Marginal Allocation Weight'!R4</f>
        <v>2030</v>
      </c>
      <c r="S4" s="40">
        <f>'Marginal Allocation Weight'!S4</f>
        <v>2031</v>
      </c>
      <c r="T4" s="40">
        <f>'Marginal Allocation Weight'!T4</f>
        <v>2032</v>
      </c>
      <c r="U4" s="40">
        <f>'Marginal Allocation Weight'!U4</f>
        <v>2033</v>
      </c>
      <c r="V4" s="40">
        <f>'Marginal Allocation Weight'!V4</f>
        <v>2034</v>
      </c>
      <c r="W4" s="40">
        <f>'Marginal Allocation Weight'!W4</f>
        <v>2035</v>
      </c>
    </row>
    <row r="5" spans="1:23">
      <c r="A5" s="9" t="str">
        <f>+'Device Energy Use'!A5</f>
        <v>Electric Resistance</v>
      </c>
      <c r="B5" s="33">
        <f>'Marginal Allocation Weight'!B5/'Total Allocation Weight'!B5</f>
        <v>0.99998643715123314</v>
      </c>
      <c r="C5" s="33">
        <f>'Marginal Allocation Weight'!C5/'Total Allocation Weight'!C5</f>
        <v>0.76962614492819981</v>
      </c>
      <c r="D5" s="33">
        <f>'Marginal Allocation Weight'!D5/'Total Allocation Weight'!D5</f>
        <v>0.76919172191657081</v>
      </c>
      <c r="E5" s="33">
        <f>'Marginal Allocation Weight'!E5/'Total Allocation Weight'!E5</f>
        <v>0.7686027848459217</v>
      </c>
      <c r="F5" s="33">
        <f>'Marginal Allocation Weight'!F5/'Total Allocation Weight'!F5</f>
        <v>0.76775838887158754</v>
      </c>
      <c r="G5" s="33">
        <f>'Marginal Allocation Weight'!G5/'Total Allocation Weight'!G5</f>
        <v>0.76651579139063575</v>
      </c>
      <c r="H5" s="33">
        <f>'Marginal Allocation Weight'!H5/'Total Allocation Weight'!H5</f>
        <v>0.76468356664020498</v>
      </c>
      <c r="I5" s="33">
        <f>'Marginal Allocation Weight'!I5/'Total Allocation Weight'!I5</f>
        <v>0.76201835033872334</v>
      </c>
      <c r="J5" s="33">
        <f>'Marginal Allocation Weight'!J5/'Total Allocation Weight'!J5</f>
        <v>0.75822747772541688</v>
      </c>
      <c r="K5" s="33">
        <f>'Marginal Allocation Weight'!K5/'Total Allocation Weight'!K5</f>
        <v>0.75297961292310034</v>
      </c>
      <c r="L5" s="33">
        <f>'Marginal Allocation Weight'!L5/'Total Allocation Weight'!L5</f>
        <v>0.74592471515900749</v>
      </c>
      <c r="M5" s="33">
        <f>'Marginal Allocation Weight'!M5/'Total Allocation Weight'!M5</f>
        <v>0.7367232296424876</v>
      </c>
      <c r="N5" s="33">
        <f>'Marginal Allocation Weight'!N5/'Total Allocation Weight'!N5</f>
        <v>0.72508229692973392</v>
      </c>
      <c r="O5" s="33">
        <f>'Marginal Allocation Weight'!O5/'Total Allocation Weight'!O5</f>
        <v>0.71079442243309487</v>
      </c>
      <c r="P5" s="33">
        <f>'Marginal Allocation Weight'!P5/'Total Allocation Weight'!P5</f>
        <v>0.69377214674014309</v>
      </c>
      <c r="Q5" s="33">
        <f>'Marginal Allocation Weight'!Q5/'Total Allocation Weight'!Q5</f>
        <v>0.67407166768794502</v>
      </c>
      <c r="R5" s="33">
        <f>'Marginal Allocation Weight'!R5/'Total Allocation Weight'!R5</f>
        <v>0.651899707313918</v>
      </c>
      <c r="S5" s="33">
        <f>'Marginal Allocation Weight'!S5/'Total Allocation Weight'!S5</f>
        <v>0.62760114536277845</v>
      </c>
      <c r="T5" s="33">
        <f>'Marginal Allocation Weight'!T5/'Total Allocation Weight'!T5</f>
        <v>0.60162917876144251</v>
      </c>
      <c r="U5" s="33">
        <f>'Marginal Allocation Weight'!U5/'Total Allocation Weight'!U5</f>
        <v>0.57450360298582137</v>
      </c>
      <c r="V5" s="33">
        <f>'Marginal Allocation Weight'!V5/'Total Allocation Weight'!V5</f>
        <v>0.5467649563211</v>
      </c>
      <c r="W5" s="33">
        <f>'Marginal Allocation Weight'!W5/'Total Allocation Weight'!W5</f>
        <v>0.51893216380291629</v>
      </c>
    </row>
    <row r="6" spans="1:23">
      <c r="A6" s="9" t="str">
        <f>+'Device Energy Use'!A6</f>
        <v>HPWH</v>
      </c>
      <c r="B6" s="33">
        <f>'Marginal Allocation Weight'!B6/'Total Allocation Weight'!B6</f>
        <v>3.1794961998537285E-9</v>
      </c>
      <c r="C6" s="33">
        <f>'Marginal Allocation Weight'!C6/'Total Allocation Weight'!C6</f>
        <v>1.1382660122833062E-4</v>
      </c>
      <c r="D6" s="33">
        <f>'Marginal Allocation Weight'!D6/'Total Allocation Weight'!D6</f>
        <v>2.2753343767337769E-4</v>
      </c>
      <c r="E6" s="33">
        <f>'Marginal Allocation Weight'!E6/'Total Allocation Weight'!E6</f>
        <v>4.3240361740892589E-4</v>
      </c>
      <c r="F6" s="33">
        <f>'Marginal Allocation Weight'!F6/'Total Allocation Weight'!F6</f>
        <v>7.8402325750712805E-4</v>
      </c>
      <c r="G6" s="33">
        <f>'Marginal Allocation Weight'!G6/'Total Allocation Weight'!G6</f>
        <v>1.3607372911675973E-3</v>
      </c>
      <c r="H6" s="33">
        <f>'Marginal Allocation Weight'!H6/'Total Allocation Weight'!H6</f>
        <v>2.2672380542045549E-3</v>
      </c>
      <c r="I6" s="33">
        <f>'Marginal Allocation Weight'!I6/'Total Allocation Weight'!I6</f>
        <v>3.6361024517389084E-3</v>
      </c>
      <c r="J6" s="33">
        <f>'Marginal Allocation Weight'!J6/'Total Allocation Weight'!J6</f>
        <v>5.6260562841180728E-3</v>
      </c>
      <c r="K6" s="33">
        <f>'Marginal Allocation Weight'!K6/'Total Allocation Weight'!K6</f>
        <v>8.415855047842126E-3</v>
      </c>
      <c r="L6" s="33">
        <f>'Marginal Allocation Weight'!L6/'Total Allocation Weight'!L6</f>
        <v>1.2193102277562783E-2</v>
      </c>
      <c r="M6" s="33">
        <f>'Marginal Allocation Weight'!M6/'Total Allocation Weight'!M6</f>
        <v>1.7138137813647064E-2</v>
      </c>
      <c r="N6" s="33">
        <f>'Marginal Allocation Weight'!N6/'Total Allocation Weight'!N6</f>
        <v>2.3404273758378041E-2</v>
      </c>
      <c r="O6" s="33">
        <f>'Marginal Allocation Weight'!O6/'Total Allocation Weight'!O6</f>
        <v>3.1096921865454662E-2</v>
      </c>
      <c r="P6" s="33">
        <f>'Marginal Allocation Weight'!P6/'Total Allocation Weight'!P6</f>
        <v>4.0255153080434439E-2</v>
      </c>
      <c r="Q6" s="33">
        <f>'Marginal Allocation Weight'!Q6/'Total Allocation Weight'!Q6</f>
        <v>5.0839494771093327E-2</v>
      </c>
      <c r="R6" s="33">
        <f>'Marginal Allocation Weight'!R6/'Total Allocation Weight'!R6</f>
        <v>6.2728981045276438E-2</v>
      </c>
      <c r="S6" s="33">
        <f>'Marginal Allocation Weight'!S6/'Total Allocation Weight'!S6</f>
        <v>7.5728672101422062E-2</v>
      </c>
      <c r="T6" s="33">
        <f>'Marginal Allocation Weight'!T6/'Total Allocation Weight'!T6</f>
        <v>8.9586544777222193E-2</v>
      </c>
      <c r="U6" s="33">
        <f>'Marginal Allocation Weight'!U6/'Total Allocation Weight'!U6</f>
        <v>0.10401660068740251</v>
      </c>
      <c r="V6" s="33">
        <f>'Marginal Allocation Weight'!V6/'Total Allocation Weight'!V6</f>
        <v>0.11872393130888048</v>
      </c>
      <c r="W6" s="33">
        <f>'Marginal Allocation Weight'!W6/'Total Allocation Weight'!W6</f>
        <v>0.13342760264751158</v>
      </c>
    </row>
    <row r="7" spans="1:23">
      <c r="A7" s="9" t="str">
        <f>+'Device Energy Use'!A7</f>
        <v>Gas Tank</v>
      </c>
      <c r="B7" s="33">
        <f>'Marginal Allocation Weight'!B7/'Total Allocation Weight'!B7</f>
        <v>1.3555477113576472E-5</v>
      </c>
      <c r="C7" s="33">
        <f>'Marginal Allocation Weight'!C7/'Total Allocation Weight'!C7</f>
        <v>0.23010937194263961</v>
      </c>
      <c r="D7" s="33">
        <f>'Marginal Allocation Weight'!D7/'Total Allocation Weight'!D7</f>
        <v>0.23027843678455528</v>
      </c>
      <c r="E7" s="33">
        <f>'Marginal Allocation Weight'!E7/'Total Allocation Weight'!E7</f>
        <v>0.23038811357882158</v>
      </c>
      <c r="F7" s="33">
        <f>'Marginal Allocation Weight'!F7/'Total Allocation Weight'!F7</f>
        <v>0.23040795472298586</v>
      </c>
      <c r="G7" s="33">
        <f>'Marginal Allocation Weight'!G7/'Total Allocation Weight'!G7</f>
        <v>0.23029483750566615</v>
      </c>
      <c r="H7" s="33">
        <f>'Marginal Allocation Weight'!H7/'Total Allocation Weight'!H7</f>
        <v>0.2299908425486395</v>
      </c>
      <c r="I7" s="33">
        <f>'Marginal Allocation Weight'!I7/'Total Allocation Weight'!I7</f>
        <v>0.22942222289963318</v>
      </c>
      <c r="J7" s="33">
        <f>'Marginal Allocation Weight'!J7/'Total Allocation Weight'!J7</f>
        <v>0.22850015557734288</v>
      </c>
      <c r="K7" s="33">
        <f>'Marginal Allocation Weight'!K7/'Total Allocation Weight'!K7</f>
        <v>0.22712392070288842</v>
      </c>
      <c r="L7" s="33">
        <f>'Marginal Allocation Weight'!L7/'Total Allocation Weight'!L7</f>
        <v>0.22518692775958521</v>
      </c>
      <c r="M7" s="33">
        <f>'Marginal Allocation Weight'!M7/'Total Allocation Weight'!M7</f>
        <v>0.22258556696527129</v>
      </c>
      <c r="N7" s="33">
        <f>'Marginal Allocation Weight'!N7/'Total Allocation Weight'!N7</f>
        <v>0.21923022611379883</v>
      </c>
      <c r="O7" s="33">
        <f>'Marginal Allocation Weight'!O7/'Total Allocation Weight'!O7</f>
        <v>0.21505709369987891</v>
      </c>
      <c r="P7" s="33">
        <f>'Marginal Allocation Weight'!P7/'Total Allocation Weight'!P7</f>
        <v>0.21003878351487998</v>
      </c>
      <c r="Q7" s="33">
        <f>'Marginal Allocation Weight'!Q7/'Total Allocation Weight'!Q7</f>
        <v>0.20419162724703566</v>
      </c>
      <c r="R7" s="33">
        <f>'Marginal Allocation Weight'!R7/'Total Allocation Weight'!R7</f>
        <v>0.19757788147786221</v>
      </c>
      <c r="S7" s="33">
        <f>'Marginal Allocation Weight'!S7/'Total Allocation Weight'!S7</f>
        <v>0.19030207315655065</v>
      </c>
      <c r="T7" s="33">
        <f>'Marginal Allocation Weight'!T7/'Total Allocation Weight'!T7</f>
        <v>0.18250199838200412</v>
      </c>
      <c r="U7" s="33">
        <f>'Marginal Allocation Weight'!U7/'Total Allocation Weight'!U7</f>
        <v>0.17433606383346351</v>
      </c>
      <c r="V7" s="33">
        <f>'Marginal Allocation Weight'!V7/'Total Allocation Weight'!V7</f>
        <v>0.16596932334737891</v>
      </c>
      <c r="W7" s="33">
        <f>'Marginal Allocation Weight'!W7/'Total Allocation Weight'!W7</f>
        <v>0.1575605404956866</v>
      </c>
    </row>
    <row r="8" spans="1:23">
      <c r="A8" s="9" t="str">
        <f>+'Device Energy Use'!A8</f>
        <v>Instant Gas</v>
      </c>
      <c r="B8" s="33">
        <f>'Marginal Allocation Weight'!B8/'Total Allocation Weight'!B8</f>
        <v>8.5693037405876635E-10</v>
      </c>
      <c r="C8" s="33">
        <f>'Marginal Allocation Weight'!C8/'Total Allocation Weight'!C8</f>
        <v>3.0851120034203368E-5</v>
      </c>
      <c r="D8" s="33">
        <f>'Marginal Allocation Weight'!D8/'Total Allocation Weight'!D8</f>
        <v>6.2017180262586229E-5</v>
      </c>
      <c r="E8" s="33">
        <f>'Marginal Allocation Weight'!E8/'Total Allocation Weight'!E8</f>
        <v>1.1852094854483492E-4</v>
      </c>
      <c r="F8" s="33">
        <f>'Marginal Allocation Weight'!F8/'Total Allocation Weight'!F8</f>
        <v>2.1610900245491488E-4</v>
      </c>
      <c r="G8" s="33">
        <f>'Marginal Allocation Weight'!G8/'Total Allocation Weight'!G8</f>
        <v>3.7718561381389494E-4</v>
      </c>
      <c r="H8" s="33">
        <f>'Marginal Allocation Weight'!H8/'Total Allocation Weight'!H8</f>
        <v>6.3199463101138668E-4</v>
      </c>
      <c r="I8" s="33">
        <f>'Marginal Allocation Weight'!I8/'Total Allocation Weight'!I8</f>
        <v>1.0192624562332592E-3</v>
      </c>
      <c r="J8" s="33">
        <f>'Marginal Allocation Weight'!J8/'Total Allocation Weight'!J8</f>
        <v>1.5859356297151437E-3</v>
      </c>
      <c r="K8" s="33">
        <f>'Marginal Allocation Weight'!K8/'Total Allocation Weight'!K8</f>
        <v>2.3856620130754433E-3</v>
      </c>
      <c r="L8" s="33">
        <f>'Marginal Allocation Weight'!L8/'Total Allocation Weight'!L8</f>
        <v>3.4757728500197744E-3</v>
      </c>
      <c r="M8" s="33">
        <f>'Marginal Allocation Weight'!M8/'Total Allocation Weight'!M8</f>
        <v>4.9127460442529016E-3</v>
      </c>
      <c r="N8" s="33">
        <f>'Marginal Allocation Weight'!N8/'Total Allocation Weight'!N8</f>
        <v>6.7464619530938083E-3</v>
      </c>
      <c r="O8" s="33">
        <f>'Marginal Allocation Weight'!O8/'Total Allocation Weight'!O8</f>
        <v>9.0139456100823429E-3</v>
      </c>
      <c r="P8" s="33">
        <f>'Marginal Allocation Weight'!P8/'Total Allocation Weight'!P8</f>
        <v>1.1733612274168271E-2</v>
      </c>
      <c r="Q8" s="33">
        <f>'Marginal Allocation Weight'!Q8/'Total Allocation Weight'!Q8</f>
        <v>1.4901156773406438E-2</v>
      </c>
      <c r="R8" s="33">
        <f>'Marginal Allocation Weight'!R8/'Total Allocation Weight'!R8</f>
        <v>1.8488044421782056E-2</v>
      </c>
      <c r="S8" s="33">
        <f>'Marginal Allocation Weight'!S8/'Total Allocation Weight'!S8</f>
        <v>2.2443068623522727E-2</v>
      </c>
      <c r="T8" s="33">
        <f>'Marginal Allocation Weight'!T8/'Total Allocation Weight'!T8</f>
        <v>2.6696768312216242E-2</v>
      </c>
      <c r="U8" s="33">
        <f>'Marginal Allocation Weight'!U8/'Total Allocation Weight'!U8</f>
        <v>3.1167869557119709E-2</v>
      </c>
      <c r="V8" s="33">
        <f>'Marginal Allocation Weight'!V8/'Total Allocation Weight'!V8</f>
        <v>3.5770541801605438E-2</v>
      </c>
      <c r="W8" s="33">
        <f>'Marginal Allocation Weight'!W8/'Total Allocation Weight'!W8</f>
        <v>4.0421240836454167E-2</v>
      </c>
    </row>
    <row r="9" spans="1:23">
      <c r="A9" s="9" t="str">
        <f>+'Device Energy Use'!A9</f>
        <v>Condensing Gas</v>
      </c>
      <c r="B9" s="33">
        <f>'Marginal Allocation Weight'!B9/'Total Allocation Weight'!B9</f>
        <v>3.3352269080818244E-9</v>
      </c>
      <c r="C9" s="33">
        <f>'Marginal Allocation Weight'!C9/'Total Allocation Weight'!C9</f>
        <v>1.1980540789817397E-4</v>
      </c>
      <c r="D9" s="33">
        <f>'Marginal Allocation Weight'!D9/'Total Allocation Weight'!D9</f>
        <v>2.4029068093798549E-4</v>
      </c>
      <c r="E9" s="33">
        <f>'Marginal Allocation Weight'!E9/'Total Allocation Weight'!E9</f>
        <v>4.5817700930296664E-4</v>
      </c>
      <c r="F9" s="33">
        <f>'Marginal Allocation Weight'!F9/'Total Allocation Weight'!F9</f>
        <v>8.3352414546453428E-4</v>
      </c>
      <c r="G9" s="33">
        <f>'Marginal Allocation Weight'!G9/'Total Allocation Weight'!G9</f>
        <v>1.4514481987164996E-3</v>
      </c>
      <c r="H9" s="33">
        <f>'Marginal Allocation Weight'!H9/'Total Allocation Weight'!H9</f>
        <v>2.4263581259397525E-3</v>
      </c>
      <c r="I9" s="33">
        <f>'Marginal Allocation Weight'!I9/'Total Allocation Weight'!I9</f>
        <v>3.904061853671318E-3</v>
      </c>
      <c r="J9" s="33">
        <f>'Marginal Allocation Weight'!J9/'Total Allocation Weight'!J9</f>
        <v>6.0603747834070939E-3</v>
      </c>
      <c r="K9" s="33">
        <f>'Marginal Allocation Weight'!K9/'Total Allocation Weight'!K9</f>
        <v>9.0949493130936185E-3</v>
      </c>
      <c r="L9" s="33">
        <f>'Marginal Allocation Weight'!L9/'Total Allocation Weight'!L9</f>
        <v>1.3219481953824812E-2</v>
      </c>
      <c r="M9" s="33">
        <f>'Marginal Allocation Weight'!M9/'Total Allocation Weight'!M9</f>
        <v>1.8640319534341247E-2</v>
      </c>
      <c r="N9" s="33">
        <f>'Marginal Allocation Weight'!N9/'Total Allocation Weight'!N9</f>
        <v>2.5536741244995203E-2</v>
      </c>
      <c r="O9" s="33">
        <f>'Marginal Allocation Weight'!O9/'Total Allocation Weight'!O9</f>
        <v>3.4037616391489167E-2</v>
      </c>
      <c r="P9" s="33">
        <f>'Marginal Allocation Weight'!P9/'Total Allocation Weight'!P9</f>
        <v>4.4200304390374347E-2</v>
      </c>
      <c r="Q9" s="33">
        <f>'Marginal Allocation Weight'!Q9/'Total Allocation Weight'!Q9</f>
        <v>5.5996053520519548E-2</v>
      </c>
      <c r="R9" s="33">
        <f>'Marginal Allocation Weight'!R9/'Total Allocation Weight'!R9</f>
        <v>6.9305385741161421E-2</v>
      </c>
      <c r="S9" s="33">
        <f>'Marginal Allocation Weight'!S9/'Total Allocation Weight'!S9</f>
        <v>8.3925040755726238E-2</v>
      </c>
      <c r="T9" s="33">
        <f>'Marginal Allocation Weight'!T9/'Total Allocation Weight'!T9</f>
        <v>9.9585509767114985E-2</v>
      </c>
      <c r="U9" s="33">
        <f>'Marginal Allocation Weight'!U9/'Total Allocation Weight'!U9</f>
        <v>0.1159758629361929</v>
      </c>
      <c r="V9" s="33">
        <f>'Marginal Allocation Weight'!V9/'Total Allocation Weight'!V9</f>
        <v>0.13277124722103517</v>
      </c>
      <c r="W9" s="33">
        <f>'Marginal Allocation Weight'!W9/'Total Allocation Weight'!W9</f>
        <v>0.14965845221743138</v>
      </c>
    </row>
    <row r="11" spans="1:23">
      <c r="A11" s="43" t="s">
        <v>142</v>
      </c>
    </row>
    <row r="12" spans="1:23" s="23" customFormat="1">
      <c r="A12" s="41" t="str">
        <f>+'Device Energy Use'!A4</f>
        <v>Water Heat Ending</v>
      </c>
      <c r="B12" s="40">
        <f>'Levelized Costs'!B4</f>
        <v>2014</v>
      </c>
      <c r="C12" s="40">
        <f>'Levelized Costs'!C4</f>
        <v>2015</v>
      </c>
      <c r="D12" s="40">
        <f>'Levelized Costs'!D4</f>
        <v>2016</v>
      </c>
      <c r="E12" s="40">
        <f>'Levelized Costs'!E4</f>
        <v>2017</v>
      </c>
      <c r="F12" s="40">
        <f>'Levelized Costs'!F4</f>
        <v>2018</v>
      </c>
      <c r="G12" s="40">
        <f>'Levelized Costs'!G4</f>
        <v>2019</v>
      </c>
      <c r="H12" s="40">
        <f>'Levelized Costs'!H4</f>
        <v>2020</v>
      </c>
      <c r="I12" s="40">
        <f>'Levelized Costs'!I4</f>
        <v>2021</v>
      </c>
      <c r="J12" s="40">
        <f>'Levelized Costs'!J4</f>
        <v>2022</v>
      </c>
      <c r="K12" s="40">
        <f>'Levelized Costs'!K4</f>
        <v>2023</v>
      </c>
      <c r="L12" s="40">
        <f>'Levelized Costs'!L4</f>
        <v>2024</v>
      </c>
      <c r="M12" s="40">
        <f>'Levelized Costs'!M4</f>
        <v>2025</v>
      </c>
      <c r="N12" s="40">
        <f>'Levelized Costs'!N4</f>
        <v>2026</v>
      </c>
      <c r="O12" s="40">
        <f>'Levelized Costs'!O4</f>
        <v>2027</v>
      </c>
      <c r="P12" s="40">
        <f>'Levelized Costs'!P4</f>
        <v>2028</v>
      </c>
      <c r="Q12" s="40">
        <f>'Levelized Costs'!Q4</f>
        <v>2029</v>
      </c>
      <c r="R12" s="40">
        <f>'Levelized Costs'!R4</f>
        <v>2030</v>
      </c>
      <c r="S12" s="40">
        <f>'Levelized Costs'!S4</f>
        <v>2031</v>
      </c>
      <c r="T12" s="40">
        <f>'Levelized Costs'!T4</f>
        <v>2032</v>
      </c>
      <c r="U12" s="40">
        <f>'Levelized Costs'!U4</f>
        <v>2033</v>
      </c>
      <c r="V12" s="40">
        <f>'Levelized Costs'!V4</f>
        <v>2034</v>
      </c>
      <c r="W12" s="40">
        <f>'Levelized Costs'!W4</f>
        <v>2035</v>
      </c>
    </row>
    <row r="13" spans="1:23">
      <c r="A13" s="9" t="str">
        <f>+'Device Energy Use'!A5</f>
        <v>Electric Resistance</v>
      </c>
      <c r="B13" s="33">
        <v>0</v>
      </c>
      <c r="C13" s="33">
        <f>IF('Levelized Costs'!C5='Levelized Costs'!C$13,1,0)</f>
        <v>0</v>
      </c>
      <c r="D13" s="33">
        <f>IF('Levelized Costs'!D5='Levelized Costs'!D$13,1,0)</f>
        <v>0</v>
      </c>
      <c r="E13" s="33">
        <f>IF('Levelized Costs'!E5='Levelized Costs'!E$13,1,0)</f>
        <v>0</v>
      </c>
      <c r="F13" s="33">
        <f>IF('Levelized Costs'!F5='Levelized Costs'!F$13,1,0)</f>
        <v>0</v>
      </c>
      <c r="G13" s="33">
        <f>IF('Levelized Costs'!G5='Levelized Costs'!G$13,1,0)</f>
        <v>0</v>
      </c>
      <c r="H13" s="33">
        <f>IF('Levelized Costs'!H5='Levelized Costs'!H$13,1,0)</f>
        <v>0</v>
      </c>
      <c r="I13" s="33">
        <f>IF('Levelized Costs'!I5='Levelized Costs'!I$13,1,0)</f>
        <v>0</v>
      </c>
      <c r="J13" s="33">
        <f>IF('Levelized Costs'!J5='Levelized Costs'!J$13,1,0)</f>
        <v>0</v>
      </c>
      <c r="K13" s="33">
        <f>IF('Levelized Costs'!K5='Levelized Costs'!K$13,1,0)</f>
        <v>0</v>
      </c>
      <c r="L13" s="33">
        <f>IF('Levelized Costs'!L5='Levelized Costs'!L$13,1,0)</f>
        <v>0</v>
      </c>
      <c r="M13" s="33">
        <f>IF('Levelized Costs'!M5='Levelized Costs'!M$13,1,0)</f>
        <v>0</v>
      </c>
      <c r="N13" s="33">
        <f>IF('Levelized Costs'!N5='Levelized Costs'!N$13,1,0)</f>
        <v>0</v>
      </c>
      <c r="O13" s="33">
        <f>IF('Levelized Costs'!O5='Levelized Costs'!O$13,1,0)</f>
        <v>0</v>
      </c>
      <c r="P13" s="33">
        <f>IF('Levelized Costs'!P5='Levelized Costs'!P$13,1,0)</f>
        <v>0</v>
      </c>
      <c r="Q13" s="33">
        <f>IF('Levelized Costs'!Q5='Levelized Costs'!Q$13,1,0)</f>
        <v>0</v>
      </c>
      <c r="R13" s="33">
        <f>IF('Levelized Costs'!R5='Levelized Costs'!R$13,1,0)</f>
        <v>0</v>
      </c>
      <c r="S13" s="33">
        <f>IF('Levelized Costs'!S5='Levelized Costs'!S$13,1,0)</f>
        <v>0</v>
      </c>
      <c r="T13" s="33">
        <f>IF('Levelized Costs'!T5='Levelized Costs'!T$13,1,0)</f>
        <v>0</v>
      </c>
      <c r="U13" s="33">
        <f>IF('Levelized Costs'!U5='Levelized Costs'!U$13,1,0)</f>
        <v>0</v>
      </c>
      <c r="V13" s="33">
        <f>IF('Levelized Costs'!V5='Levelized Costs'!V$13,1,0)</f>
        <v>0</v>
      </c>
      <c r="W13" s="33">
        <f>IF('Levelized Costs'!W5='Levelized Costs'!W$13,1,0)</f>
        <v>0</v>
      </c>
    </row>
    <row r="14" spans="1:23">
      <c r="A14" s="9" t="str">
        <f>+'Device Energy Use'!A6</f>
        <v>HPWH</v>
      </c>
      <c r="B14" s="33">
        <v>0</v>
      </c>
      <c r="C14" s="33">
        <f>IF('Levelized Costs'!C6='Levelized Costs'!C$13,1,0)</f>
        <v>0</v>
      </c>
      <c r="D14" s="33">
        <f>IF('Levelized Costs'!D6='Levelized Costs'!D$13,1,0)</f>
        <v>0</v>
      </c>
      <c r="E14" s="33">
        <f>IF('Levelized Costs'!E6='Levelized Costs'!E$13,1,0)</f>
        <v>0</v>
      </c>
      <c r="F14" s="33">
        <f>IF('Levelized Costs'!F6='Levelized Costs'!F$13,1,0)</f>
        <v>0</v>
      </c>
      <c r="G14" s="33">
        <f>IF('Levelized Costs'!G6='Levelized Costs'!G$13,1,0)</f>
        <v>0</v>
      </c>
      <c r="H14" s="33">
        <f>IF('Levelized Costs'!H6='Levelized Costs'!H$13,1,0)</f>
        <v>0</v>
      </c>
      <c r="I14" s="33">
        <f>IF('Levelized Costs'!I6='Levelized Costs'!I$13,1,0)</f>
        <v>0</v>
      </c>
      <c r="J14" s="33">
        <f>IF('Levelized Costs'!J6='Levelized Costs'!J$13,1,0)</f>
        <v>0</v>
      </c>
      <c r="K14" s="33">
        <f>IF('Levelized Costs'!K6='Levelized Costs'!K$13,1,0)</f>
        <v>0</v>
      </c>
      <c r="L14" s="33">
        <f>IF('Levelized Costs'!L6='Levelized Costs'!L$13,1,0)</f>
        <v>0</v>
      </c>
      <c r="M14" s="33">
        <f>IF('Levelized Costs'!M6='Levelized Costs'!M$13,1,0)</f>
        <v>0</v>
      </c>
      <c r="N14" s="33">
        <f>IF('Levelized Costs'!N6='Levelized Costs'!N$13,1,0)</f>
        <v>0</v>
      </c>
      <c r="O14" s="33">
        <f>IF('Levelized Costs'!O6='Levelized Costs'!O$13,1,0)</f>
        <v>0</v>
      </c>
      <c r="P14" s="33">
        <f>IF('Levelized Costs'!P6='Levelized Costs'!P$13,1,0)</f>
        <v>0</v>
      </c>
      <c r="Q14" s="33">
        <f>IF('Levelized Costs'!Q6='Levelized Costs'!Q$13,1,0)</f>
        <v>0</v>
      </c>
      <c r="R14" s="33">
        <f>IF('Levelized Costs'!R6='Levelized Costs'!R$13,1,0)</f>
        <v>0</v>
      </c>
      <c r="S14" s="33">
        <f>IF('Levelized Costs'!S6='Levelized Costs'!S$13,1,0)</f>
        <v>0</v>
      </c>
      <c r="T14" s="33">
        <f>IF('Levelized Costs'!T6='Levelized Costs'!T$13,1,0)</f>
        <v>0</v>
      </c>
      <c r="U14" s="33">
        <f>IF('Levelized Costs'!U6='Levelized Costs'!U$13,1,0)</f>
        <v>0</v>
      </c>
      <c r="V14" s="33">
        <f>IF('Levelized Costs'!V6='Levelized Costs'!V$13,1,0)</f>
        <v>0</v>
      </c>
      <c r="W14" s="33">
        <f>IF('Levelized Costs'!W6='Levelized Costs'!W$13,1,0)</f>
        <v>0</v>
      </c>
    </row>
    <row r="15" spans="1:23">
      <c r="A15" s="9" t="str">
        <f>+'Device Energy Use'!A7</f>
        <v>Gas Tank</v>
      </c>
      <c r="B15" s="33">
        <v>0</v>
      </c>
      <c r="C15" s="33">
        <f>IF('Levelized Costs'!C7='Levelized Costs'!C$13,1,0)</f>
        <v>1</v>
      </c>
      <c r="D15" s="33">
        <f>IF('Levelized Costs'!D7='Levelized Costs'!D$13,1,0)</f>
        <v>1</v>
      </c>
      <c r="E15" s="33">
        <f>IF('Levelized Costs'!E7='Levelized Costs'!E$13,1,0)</f>
        <v>1</v>
      </c>
      <c r="F15" s="33">
        <f>IF('Levelized Costs'!F7='Levelized Costs'!F$13,1,0)</f>
        <v>1</v>
      </c>
      <c r="G15" s="33">
        <f>IF('Levelized Costs'!G7='Levelized Costs'!G$13,1,0)</f>
        <v>1</v>
      </c>
      <c r="H15" s="33">
        <f>IF('Levelized Costs'!H7='Levelized Costs'!H$13,1,0)</f>
        <v>1</v>
      </c>
      <c r="I15" s="33">
        <f>IF('Levelized Costs'!I7='Levelized Costs'!I$13,1,0)</f>
        <v>1</v>
      </c>
      <c r="J15" s="33">
        <f>IF('Levelized Costs'!J7='Levelized Costs'!J$13,1,0)</f>
        <v>1</v>
      </c>
      <c r="K15" s="33">
        <f>IF('Levelized Costs'!K7='Levelized Costs'!K$13,1,0)</f>
        <v>1</v>
      </c>
      <c r="L15" s="33">
        <f>IF('Levelized Costs'!L7='Levelized Costs'!L$13,1,0)</f>
        <v>1</v>
      </c>
      <c r="M15" s="33">
        <f>IF('Levelized Costs'!M7='Levelized Costs'!M$13,1,0)</f>
        <v>1</v>
      </c>
      <c r="N15" s="33">
        <f>IF('Levelized Costs'!N7='Levelized Costs'!N$13,1,0)</f>
        <v>1</v>
      </c>
      <c r="O15" s="33">
        <f>IF('Levelized Costs'!O7='Levelized Costs'!O$13,1,0)</f>
        <v>1</v>
      </c>
      <c r="P15" s="33">
        <f>IF('Levelized Costs'!P7='Levelized Costs'!P$13,1,0)</f>
        <v>1</v>
      </c>
      <c r="Q15" s="33">
        <f>IF('Levelized Costs'!Q7='Levelized Costs'!Q$13,1,0)</f>
        <v>1</v>
      </c>
      <c r="R15" s="33">
        <f>IF('Levelized Costs'!R7='Levelized Costs'!R$13,1,0)</f>
        <v>1</v>
      </c>
      <c r="S15" s="33">
        <f>IF('Levelized Costs'!S7='Levelized Costs'!S$13,1,0)</f>
        <v>1</v>
      </c>
      <c r="T15" s="33">
        <f>IF('Levelized Costs'!T7='Levelized Costs'!T$13,1,0)</f>
        <v>1</v>
      </c>
      <c r="U15" s="33">
        <f>IF('Levelized Costs'!U7='Levelized Costs'!U$13,1,0)</f>
        <v>1</v>
      </c>
      <c r="V15" s="33">
        <f>IF('Levelized Costs'!V7='Levelized Costs'!V$13,1,0)</f>
        <v>1</v>
      </c>
      <c r="W15" s="33">
        <f>IF('Levelized Costs'!W7='Levelized Costs'!W$13,1,0)</f>
        <v>1</v>
      </c>
    </row>
    <row r="16" spans="1:23">
      <c r="A16" s="9" t="str">
        <f>+'Device Energy Use'!A8</f>
        <v>Instant Gas</v>
      </c>
      <c r="B16" s="33">
        <v>0</v>
      </c>
      <c r="C16" s="33">
        <f>IF('Levelized Costs'!C8='Levelized Costs'!C$13,1,0)</f>
        <v>0</v>
      </c>
      <c r="D16" s="33">
        <f>IF('Levelized Costs'!D8='Levelized Costs'!D$13,1,0)</f>
        <v>0</v>
      </c>
      <c r="E16" s="33">
        <f>IF('Levelized Costs'!E8='Levelized Costs'!E$13,1,0)</f>
        <v>0</v>
      </c>
      <c r="F16" s="33">
        <f>IF('Levelized Costs'!F8='Levelized Costs'!F$13,1,0)</f>
        <v>0</v>
      </c>
      <c r="G16" s="33">
        <f>IF('Levelized Costs'!G8='Levelized Costs'!G$13,1,0)</f>
        <v>0</v>
      </c>
      <c r="H16" s="33">
        <f>IF('Levelized Costs'!H8='Levelized Costs'!H$13,1,0)</f>
        <v>0</v>
      </c>
      <c r="I16" s="33">
        <f>IF('Levelized Costs'!I8='Levelized Costs'!I$13,1,0)</f>
        <v>0</v>
      </c>
      <c r="J16" s="33">
        <f>IF('Levelized Costs'!J8='Levelized Costs'!J$13,1,0)</f>
        <v>0</v>
      </c>
      <c r="K16" s="33">
        <f>IF('Levelized Costs'!K8='Levelized Costs'!K$13,1,0)</f>
        <v>0</v>
      </c>
      <c r="L16" s="33">
        <f>IF('Levelized Costs'!L8='Levelized Costs'!L$13,1,0)</f>
        <v>0</v>
      </c>
      <c r="M16" s="33">
        <f>IF('Levelized Costs'!M8='Levelized Costs'!M$13,1,0)</f>
        <v>0</v>
      </c>
      <c r="N16" s="33">
        <f>IF('Levelized Costs'!N8='Levelized Costs'!N$13,1,0)</f>
        <v>0</v>
      </c>
      <c r="O16" s="33">
        <f>IF('Levelized Costs'!O8='Levelized Costs'!O$13,1,0)</f>
        <v>0</v>
      </c>
      <c r="P16" s="33">
        <f>IF('Levelized Costs'!P8='Levelized Costs'!P$13,1,0)</f>
        <v>0</v>
      </c>
      <c r="Q16" s="33">
        <f>IF('Levelized Costs'!Q8='Levelized Costs'!Q$13,1,0)</f>
        <v>0</v>
      </c>
      <c r="R16" s="33">
        <f>IF('Levelized Costs'!R8='Levelized Costs'!R$13,1,0)</f>
        <v>0</v>
      </c>
      <c r="S16" s="33">
        <f>IF('Levelized Costs'!S8='Levelized Costs'!S$13,1,0)</f>
        <v>0</v>
      </c>
      <c r="T16" s="33">
        <f>IF('Levelized Costs'!T8='Levelized Costs'!T$13,1,0)</f>
        <v>0</v>
      </c>
      <c r="U16" s="33">
        <f>IF('Levelized Costs'!U8='Levelized Costs'!U$13,1,0)</f>
        <v>0</v>
      </c>
      <c r="V16" s="33">
        <f>IF('Levelized Costs'!V8='Levelized Costs'!V$13,1,0)</f>
        <v>0</v>
      </c>
      <c r="W16" s="33">
        <f>IF('Levelized Costs'!W8='Levelized Costs'!W$13,1,0)</f>
        <v>0</v>
      </c>
    </row>
    <row r="17" spans="1:23">
      <c r="A17" s="9" t="str">
        <f>+'Device Energy Use'!A9</f>
        <v>Condensing Gas</v>
      </c>
      <c r="B17" s="33">
        <v>0</v>
      </c>
      <c r="C17" s="33">
        <f>IF('Levelized Costs'!C9='Levelized Costs'!C$13,1,0)</f>
        <v>0</v>
      </c>
      <c r="D17" s="33">
        <f>IF('Levelized Costs'!D9='Levelized Costs'!D$13,1,0)</f>
        <v>0</v>
      </c>
      <c r="E17" s="33">
        <f>IF('Levelized Costs'!E9='Levelized Costs'!E$13,1,0)</f>
        <v>0</v>
      </c>
      <c r="F17" s="33">
        <f>IF('Levelized Costs'!F9='Levelized Costs'!F$13,1,0)</f>
        <v>0</v>
      </c>
      <c r="G17" s="33">
        <f>IF('Levelized Costs'!G9='Levelized Costs'!G$13,1,0)</f>
        <v>0</v>
      </c>
      <c r="H17" s="33">
        <f>IF('Levelized Costs'!H9='Levelized Costs'!H$13,1,0)</f>
        <v>0</v>
      </c>
      <c r="I17" s="33">
        <f>IF('Levelized Costs'!I9='Levelized Costs'!I$13,1,0)</f>
        <v>0</v>
      </c>
      <c r="J17" s="33">
        <f>IF('Levelized Costs'!J9='Levelized Costs'!J$13,1,0)</f>
        <v>0</v>
      </c>
      <c r="K17" s="33">
        <f>IF('Levelized Costs'!K9='Levelized Costs'!K$13,1,0)</f>
        <v>0</v>
      </c>
      <c r="L17" s="33">
        <f>IF('Levelized Costs'!L9='Levelized Costs'!L$13,1,0)</f>
        <v>0</v>
      </c>
      <c r="M17" s="33">
        <f>IF('Levelized Costs'!M9='Levelized Costs'!M$13,1,0)</f>
        <v>0</v>
      </c>
      <c r="N17" s="33">
        <f>IF('Levelized Costs'!N9='Levelized Costs'!N$13,1,0)</f>
        <v>0</v>
      </c>
      <c r="O17" s="33">
        <f>IF('Levelized Costs'!O9='Levelized Costs'!O$13,1,0)</f>
        <v>0</v>
      </c>
      <c r="P17" s="33">
        <f>IF('Levelized Costs'!P9='Levelized Costs'!P$13,1,0)</f>
        <v>0</v>
      </c>
      <c r="Q17" s="33">
        <f>IF('Levelized Costs'!Q9='Levelized Costs'!Q$13,1,0)</f>
        <v>0</v>
      </c>
      <c r="R17" s="33">
        <f>IF('Levelized Costs'!R9='Levelized Costs'!R$13,1,0)</f>
        <v>0</v>
      </c>
      <c r="S17" s="33">
        <f>IF('Levelized Costs'!S9='Levelized Costs'!S$13,1,0)</f>
        <v>0</v>
      </c>
      <c r="T17" s="33">
        <f>IF('Levelized Costs'!T9='Levelized Costs'!T$13,1,0)</f>
        <v>0</v>
      </c>
      <c r="U17" s="33">
        <f>IF('Levelized Costs'!U9='Levelized Costs'!U$13,1,0)</f>
        <v>0</v>
      </c>
      <c r="V17" s="33">
        <f>IF('Levelized Costs'!V9='Levelized Costs'!V$13,1,0)</f>
        <v>0</v>
      </c>
      <c r="W17" s="33">
        <f>IF('Levelized Costs'!W9='Levelized Costs'!W$13,1,0)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W10"/>
  <sheetViews>
    <sheetView workbookViewId="0"/>
  </sheetViews>
  <sheetFormatPr defaultRowHeight="15"/>
  <cols>
    <col min="1" max="1" width="20.7109375" customWidth="1"/>
    <col min="2" max="8" width="9.7109375" customWidth="1"/>
    <col min="9" max="24" width="10.28515625" customWidth="1"/>
  </cols>
  <sheetData>
    <row r="1" spans="1:23" ht="15.75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 s="9" customFormat="1" ht="15.75">
      <c r="A3" s="12" t="s">
        <v>45</v>
      </c>
    </row>
    <row r="4" spans="1:23" s="9" customFormat="1" ht="15.75">
      <c r="A4" s="41" t="str">
        <f>'Device Energy Use'!A4</f>
        <v>Water Heat Ending</v>
      </c>
      <c r="B4" s="40">
        <f>+'Marginal Market Share'!B4</f>
        <v>2014</v>
      </c>
      <c r="C4" s="40">
        <f>+'Marginal Market Share'!C4</f>
        <v>2015</v>
      </c>
      <c r="D4" s="40">
        <f>+'Marginal Market Share'!D4</f>
        <v>2016</v>
      </c>
      <c r="E4" s="40">
        <f>+'Marginal Market Share'!E4</f>
        <v>2017</v>
      </c>
      <c r="F4" s="40">
        <f>+'Marginal Market Share'!F4</f>
        <v>2018</v>
      </c>
      <c r="G4" s="40">
        <f>+'Marginal Market Share'!G4</f>
        <v>2019</v>
      </c>
      <c r="H4" s="40">
        <f>+'Marginal Market Share'!H4</f>
        <v>2020</v>
      </c>
      <c r="I4" s="40">
        <f>+'Marginal Market Share'!I4</f>
        <v>2021</v>
      </c>
      <c r="J4" s="40">
        <f>+'Marginal Market Share'!J4</f>
        <v>2022</v>
      </c>
      <c r="K4" s="40">
        <f>+'Marginal Market Share'!K4</f>
        <v>2023</v>
      </c>
      <c r="L4" s="40">
        <f>+'Marginal Market Share'!L4</f>
        <v>2024</v>
      </c>
      <c r="M4" s="40">
        <f>+'Marginal Market Share'!M4</f>
        <v>2025</v>
      </c>
      <c r="N4" s="40">
        <f>+'Marginal Market Share'!N4</f>
        <v>2026</v>
      </c>
      <c r="O4" s="40">
        <f>+'Marginal Market Share'!O4</f>
        <v>2027</v>
      </c>
      <c r="P4" s="40">
        <f>+'Marginal Market Share'!P4</f>
        <v>2028</v>
      </c>
      <c r="Q4" s="40">
        <f>+'Marginal Market Share'!Q4</f>
        <v>2029</v>
      </c>
      <c r="R4" s="40">
        <f>+'Marginal Market Share'!R4</f>
        <v>2030</v>
      </c>
      <c r="S4" s="40">
        <f>+'Marginal Market Share'!S4</f>
        <v>2031</v>
      </c>
      <c r="T4" s="40">
        <f>+'Marginal Market Share'!T4</f>
        <v>2032</v>
      </c>
      <c r="U4" s="40">
        <f>+'Marginal Market Share'!U4</f>
        <v>2033</v>
      </c>
      <c r="V4" s="40">
        <f>+'Marginal Market Share'!V4</f>
        <v>2034</v>
      </c>
      <c r="W4" s="40">
        <f>+'Marginal Market Share'!W4</f>
        <v>2035</v>
      </c>
    </row>
    <row r="5" spans="1:23" s="9" customFormat="1" ht="15.75">
      <c r="A5" s="9" t="str">
        <f>+'Marginal Market Share'!A5</f>
        <v>Electric Resistance</v>
      </c>
      <c r="B5" s="9">
        <f>SUM('Marginal Allocation Weight'!B$5:B$9)</f>
        <v>22026.764540483004</v>
      </c>
      <c r="C5" s="9">
        <f>SUM('Marginal Allocation Weight'!C$5:C$9)</f>
        <v>1.2993321583342161</v>
      </c>
      <c r="D5" s="9">
        <f>SUM('Marginal Allocation Weight'!D$5:D$9)</f>
        <v>1.3000659933109153</v>
      </c>
      <c r="E5" s="9">
        <f>SUM('Marginal Allocation Weight'!E$5:E$9)</f>
        <v>1.3010621607368564</v>
      </c>
      <c r="F5" s="9">
        <f>SUM('Marginal Allocation Weight'!F$5:F$9)</f>
        <v>1.3024930948260292</v>
      </c>
      <c r="G5" s="9">
        <f>SUM('Marginal Allocation Weight'!G$5:G$9)</f>
        <v>1.304604564226616</v>
      </c>
      <c r="H5" s="9">
        <f>SUM('Marginal Allocation Weight'!H$5:H$9)</f>
        <v>1.3077304699951986</v>
      </c>
      <c r="I5" s="9">
        <f>SUM('Marginal Allocation Weight'!I$5:I$9)</f>
        <v>1.3123043553419571</v>
      </c>
      <c r="J5" s="9">
        <f>SUM('Marginal Allocation Weight'!J$5:J$9)</f>
        <v>1.3188654188580307</v>
      </c>
      <c r="K5" s="9">
        <f>SUM('Marginal Allocation Weight'!K$5:K$9)</f>
        <v>1.3280572047866681</v>
      </c>
      <c r="L5" s="9">
        <f>SUM('Marginal Allocation Weight'!L$5:L$9)</f>
        <v>1.3406178662237136</v>
      </c>
      <c r="M5" s="9">
        <f>SUM('Marginal Allocation Weight'!M$5:M$9)</f>
        <v>1.35736184195695</v>
      </c>
      <c r="N5" s="9">
        <f>SUM('Marginal Allocation Weight'!N$5:N$9)</f>
        <v>1.3791537929340836</v>
      </c>
      <c r="O5" s="9">
        <f>SUM('Marginal Allocation Weight'!O$5:O$9)</f>
        <v>1.406876543258367</v>
      </c>
      <c r="P5" s="9">
        <f>SUM('Marginal Allocation Weight'!P$5:P$9)</f>
        <v>1.4413954274450811</v>
      </c>
      <c r="Q5" s="9">
        <f>SUM('Marginal Allocation Weight'!Q$5:Q$9)</f>
        <v>1.4835217795608944</v>
      </c>
      <c r="R5" s="9">
        <f>SUM('Marginal Allocation Weight'!R$5:R$9)</f>
        <v>1.5339782926431913</v>
      </c>
      <c r="S5" s="9">
        <f>SUM('Marginal Allocation Weight'!S$5:S$9)</f>
        <v>1.5933686663716335</v>
      </c>
      <c r="T5" s="9">
        <f>SUM('Marginal Allocation Weight'!T$5:T$9)</f>
        <v>1.6621534249031482</v>
      </c>
      <c r="U5" s="9">
        <f>SUM('Marginal Allocation Weight'!U$5:U$9)</f>
        <v>1.7406331218860605</v>
      </c>
      <c r="V5" s="9">
        <f>SUM('Marginal Allocation Weight'!V$5:V$9)</f>
        <v>1.8289394527558702</v>
      </c>
      <c r="W5" s="9">
        <f>SUM('Marginal Allocation Weight'!W$5:W$9)</f>
        <v>1.9270341477229904</v>
      </c>
    </row>
    <row r="6" spans="1:23" s="9" customFormat="1" ht="15.75">
      <c r="A6" s="9" t="str">
        <f>+'Marginal Market Share'!A6</f>
        <v>HPWH</v>
      </c>
      <c r="B6" s="9">
        <f>SUM('Marginal Allocation Weight'!B$5:B$9)</f>
        <v>22026.764540483004</v>
      </c>
      <c r="C6" s="9">
        <f>SUM('Marginal Allocation Weight'!C$5:C$9)</f>
        <v>1.2993321583342161</v>
      </c>
      <c r="D6" s="9">
        <f>SUM('Marginal Allocation Weight'!D$5:D$9)</f>
        <v>1.3000659933109153</v>
      </c>
      <c r="E6" s="9">
        <f>SUM('Marginal Allocation Weight'!E$5:E$9)</f>
        <v>1.3010621607368564</v>
      </c>
      <c r="F6" s="9">
        <f>SUM('Marginal Allocation Weight'!F$5:F$9)</f>
        <v>1.3024930948260292</v>
      </c>
      <c r="G6" s="9">
        <f>SUM('Marginal Allocation Weight'!G$5:G$9)</f>
        <v>1.304604564226616</v>
      </c>
      <c r="H6" s="9">
        <f>SUM('Marginal Allocation Weight'!H$5:H$9)</f>
        <v>1.3077304699951986</v>
      </c>
      <c r="I6" s="9">
        <f>SUM('Marginal Allocation Weight'!I$5:I$9)</f>
        <v>1.3123043553419571</v>
      </c>
      <c r="J6" s="9">
        <f>SUM('Marginal Allocation Weight'!J$5:J$9)</f>
        <v>1.3188654188580307</v>
      </c>
      <c r="K6" s="9">
        <f>SUM('Marginal Allocation Weight'!K$5:K$9)</f>
        <v>1.3280572047866681</v>
      </c>
      <c r="L6" s="9">
        <f>SUM('Marginal Allocation Weight'!L$5:L$9)</f>
        <v>1.3406178662237136</v>
      </c>
      <c r="M6" s="9">
        <f>SUM('Marginal Allocation Weight'!M$5:M$9)</f>
        <v>1.35736184195695</v>
      </c>
      <c r="N6" s="9">
        <f>SUM('Marginal Allocation Weight'!N$5:N$9)</f>
        <v>1.3791537929340836</v>
      </c>
      <c r="O6" s="9">
        <f>SUM('Marginal Allocation Weight'!O$5:O$9)</f>
        <v>1.406876543258367</v>
      </c>
      <c r="P6" s="9">
        <f>SUM('Marginal Allocation Weight'!P$5:P$9)</f>
        <v>1.4413954274450811</v>
      </c>
      <c r="Q6" s="9">
        <f>SUM('Marginal Allocation Weight'!Q$5:Q$9)</f>
        <v>1.4835217795608944</v>
      </c>
      <c r="R6" s="9">
        <f>SUM('Marginal Allocation Weight'!R$5:R$9)</f>
        <v>1.5339782926431913</v>
      </c>
      <c r="S6" s="9">
        <f>SUM('Marginal Allocation Weight'!S$5:S$9)</f>
        <v>1.5933686663716335</v>
      </c>
      <c r="T6" s="9">
        <f>SUM('Marginal Allocation Weight'!T$5:T$9)</f>
        <v>1.6621534249031482</v>
      </c>
      <c r="U6" s="9">
        <f>SUM('Marginal Allocation Weight'!U$5:U$9)</f>
        <v>1.7406331218860605</v>
      </c>
      <c r="V6" s="9">
        <f>SUM('Marginal Allocation Weight'!V$5:V$9)</f>
        <v>1.8289394527558702</v>
      </c>
      <c r="W6" s="9">
        <f>SUM('Marginal Allocation Weight'!W$5:W$9)</f>
        <v>1.9270341477229904</v>
      </c>
    </row>
    <row r="7" spans="1:23" s="9" customFormat="1" ht="15.75">
      <c r="A7" s="9" t="str">
        <f>+'Marginal Market Share'!A7</f>
        <v>Gas Tank</v>
      </c>
      <c r="B7" s="9">
        <f>SUM('Marginal Allocation Weight'!B$5:B$9)</f>
        <v>22026.764540483004</v>
      </c>
      <c r="C7" s="9">
        <f>SUM('Marginal Allocation Weight'!C$5:C$9)</f>
        <v>1.2993321583342161</v>
      </c>
      <c r="D7" s="9">
        <f>SUM('Marginal Allocation Weight'!D$5:D$9)</f>
        <v>1.3000659933109153</v>
      </c>
      <c r="E7" s="9">
        <f>SUM('Marginal Allocation Weight'!E$5:E$9)</f>
        <v>1.3010621607368564</v>
      </c>
      <c r="F7" s="9">
        <f>SUM('Marginal Allocation Weight'!F$5:F$9)</f>
        <v>1.3024930948260292</v>
      </c>
      <c r="G7" s="9">
        <f>SUM('Marginal Allocation Weight'!G$5:G$9)</f>
        <v>1.304604564226616</v>
      </c>
      <c r="H7" s="9">
        <f>SUM('Marginal Allocation Weight'!H$5:H$9)</f>
        <v>1.3077304699951986</v>
      </c>
      <c r="I7" s="9">
        <f>SUM('Marginal Allocation Weight'!I$5:I$9)</f>
        <v>1.3123043553419571</v>
      </c>
      <c r="J7" s="9">
        <f>SUM('Marginal Allocation Weight'!J$5:J$9)</f>
        <v>1.3188654188580307</v>
      </c>
      <c r="K7" s="9">
        <f>SUM('Marginal Allocation Weight'!K$5:K$9)</f>
        <v>1.3280572047866681</v>
      </c>
      <c r="L7" s="9">
        <f>SUM('Marginal Allocation Weight'!L$5:L$9)</f>
        <v>1.3406178662237136</v>
      </c>
      <c r="M7" s="9">
        <f>SUM('Marginal Allocation Weight'!M$5:M$9)</f>
        <v>1.35736184195695</v>
      </c>
      <c r="N7" s="9">
        <f>SUM('Marginal Allocation Weight'!N$5:N$9)</f>
        <v>1.3791537929340836</v>
      </c>
      <c r="O7" s="9">
        <f>SUM('Marginal Allocation Weight'!O$5:O$9)</f>
        <v>1.406876543258367</v>
      </c>
      <c r="P7" s="9">
        <f>SUM('Marginal Allocation Weight'!P$5:P$9)</f>
        <v>1.4413954274450811</v>
      </c>
      <c r="Q7" s="9">
        <f>SUM('Marginal Allocation Weight'!Q$5:Q$9)</f>
        <v>1.4835217795608944</v>
      </c>
      <c r="R7" s="9">
        <f>SUM('Marginal Allocation Weight'!R$5:R$9)</f>
        <v>1.5339782926431913</v>
      </c>
      <c r="S7" s="9">
        <f>SUM('Marginal Allocation Weight'!S$5:S$9)</f>
        <v>1.5933686663716335</v>
      </c>
      <c r="T7" s="9">
        <f>SUM('Marginal Allocation Weight'!T$5:T$9)</f>
        <v>1.6621534249031482</v>
      </c>
      <c r="U7" s="9">
        <f>SUM('Marginal Allocation Weight'!U$5:U$9)</f>
        <v>1.7406331218860605</v>
      </c>
      <c r="V7" s="9">
        <f>SUM('Marginal Allocation Weight'!V$5:V$9)</f>
        <v>1.8289394527558702</v>
      </c>
      <c r="W7" s="9">
        <f>SUM('Marginal Allocation Weight'!W$5:W$9)</f>
        <v>1.9270341477229904</v>
      </c>
    </row>
    <row r="8" spans="1:23" s="9" customFormat="1" ht="15.75">
      <c r="A8" s="9" t="str">
        <f>+'Marginal Market Share'!A8</f>
        <v>Instant Gas</v>
      </c>
      <c r="B8" s="9">
        <f>SUM('Marginal Allocation Weight'!B$5:B$9)</f>
        <v>22026.764540483004</v>
      </c>
      <c r="C8" s="9">
        <f>SUM('Marginal Allocation Weight'!C$5:C$9)</f>
        <v>1.2993321583342161</v>
      </c>
      <c r="D8" s="9">
        <f>SUM('Marginal Allocation Weight'!D$5:D$9)</f>
        <v>1.3000659933109153</v>
      </c>
      <c r="E8" s="9">
        <f>SUM('Marginal Allocation Weight'!E$5:E$9)</f>
        <v>1.3010621607368564</v>
      </c>
      <c r="F8" s="9">
        <f>SUM('Marginal Allocation Weight'!F$5:F$9)</f>
        <v>1.3024930948260292</v>
      </c>
      <c r="G8" s="9">
        <f>SUM('Marginal Allocation Weight'!G$5:G$9)</f>
        <v>1.304604564226616</v>
      </c>
      <c r="H8" s="9">
        <f>SUM('Marginal Allocation Weight'!H$5:H$9)</f>
        <v>1.3077304699951986</v>
      </c>
      <c r="I8" s="9">
        <f>SUM('Marginal Allocation Weight'!I$5:I$9)</f>
        <v>1.3123043553419571</v>
      </c>
      <c r="J8" s="9">
        <f>SUM('Marginal Allocation Weight'!J$5:J$9)</f>
        <v>1.3188654188580307</v>
      </c>
      <c r="K8" s="9">
        <f>SUM('Marginal Allocation Weight'!K$5:K$9)</f>
        <v>1.3280572047866681</v>
      </c>
      <c r="L8" s="9">
        <f>SUM('Marginal Allocation Weight'!L$5:L$9)</f>
        <v>1.3406178662237136</v>
      </c>
      <c r="M8" s="9">
        <f>SUM('Marginal Allocation Weight'!M$5:M$9)</f>
        <v>1.35736184195695</v>
      </c>
      <c r="N8" s="9">
        <f>SUM('Marginal Allocation Weight'!N$5:N$9)</f>
        <v>1.3791537929340836</v>
      </c>
      <c r="O8" s="9">
        <f>SUM('Marginal Allocation Weight'!O$5:O$9)</f>
        <v>1.406876543258367</v>
      </c>
      <c r="P8" s="9">
        <f>SUM('Marginal Allocation Weight'!P$5:P$9)</f>
        <v>1.4413954274450811</v>
      </c>
      <c r="Q8" s="9">
        <f>SUM('Marginal Allocation Weight'!Q$5:Q$9)</f>
        <v>1.4835217795608944</v>
      </c>
      <c r="R8" s="9">
        <f>SUM('Marginal Allocation Weight'!R$5:R$9)</f>
        <v>1.5339782926431913</v>
      </c>
      <c r="S8" s="9">
        <f>SUM('Marginal Allocation Weight'!S$5:S$9)</f>
        <v>1.5933686663716335</v>
      </c>
      <c r="T8" s="9">
        <f>SUM('Marginal Allocation Weight'!T$5:T$9)</f>
        <v>1.6621534249031482</v>
      </c>
      <c r="U8" s="9">
        <f>SUM('Marginal Allocation Weight'!U$5:U$9)</f>
        <v>1.7406331218860605</v>
      </c>
      <c r="V8" s="9">
        <f>SUM('Marginal Allocation Weight'!V$5:V$9)</f>
        <v>1.8289394527558702</v>
      </c>
      <c r="W8" s="9">
        <f>SUM('Marginal Allocation Weight'!W$5:W$9)</f>
        <v>1.9270341477229904</v>
      </c>
    </row>
    <row r="9" spans="1:23" s="9" customFormat="1" ht="15.75">
      <c r="A9" s="9" t="str">
        <f>+'Marginal Market Share'!A9</f>
        <v>Condensing Gas</v>
      </c>
      <c r="B9" s="9">
        <f>SUM('Marginal Allocation Weight'!B$5:B$9)</f>
        <v>22026.764540483004</v>
      </c>
      <c r="C9" s="9">
        <f>SUM('Marginal Allocation Weight'!C$5:C$9)</f>
        <v>1.2993321583342161</v>
      </c>
      <c r="D9" s="9">
        <f>SUM('Marginal Allocation Weight'!D$5:D$9)</f>
        <v>1.3000659933109153</v>
      </c>
      <c r="E9" s="9">
        <f>SUM('Marginal Allocation Weight'!E$5:E$9)</f>
        <v>1.3010621607368564</v>
      </c>
      <c r="F9" s="9">
        <f>SUM('Marginal Allocation Weight'!F$5:F$9)</f>
        <v>1.3024930948260292</v>
      </c>
      <c r="G9" s="9">
        <f>SUM('Marginal Allocation Weight'!G$5:G$9)</f>
        <v>1.304604564226616</v>
      </c>
      <c r="H9" s="9">
        <f>SUM('Marginal Allocation Weight'!H$5:H$9)</f>
        <v>1.3077304699951986</v>
      </c>
      <c r="I9" s="9">
        <f>SUM('Marginal Allocation Weight'!I$5:I$9)</f>
        <v>1.3123043553419571</v>
      </c>
      <c r="J9" s="9">
        <f>SUM('Marginal Allocation Weight'!J$5:J$9)</f>
        <v>1.3188654188580307</v>
      </c>
      <c r="K9" s="9">
        <f>SUM('Marginal Allocation Weight'!K$5:K$9)</f>
        <v>1.3280572047866681</v>
      </c>
      <c r="L9" s="9">
        <f>SUM('Marginal Allocation Weight'!L$5:L$9)</f>
        <v>1.3406178662237136</v>
      </c>
      <c r="M9" s="9">
        <f>SUM('Marginal Allocation Weight'!M$5:M$9)</f>
        <v>1.35736184195695</v>
      </c>
      <c r="N9" s="9">
        <f>SUM('Marginal Allocation Weight'!N$5:N$9)</f>
        <v>1.3791537929340836</v>
      </c>
      <c r="O9" s="9">
        <f>SUM('Marginal Allocation Weight'!O$5:O$9)</f>
        <v>1.406876543258367</v>
      </c>
      <c r="P9" s="9">
        <f>SUM('Marginal Allocation Weight'!P$5:P$9)</f>
        <v>1.4413954274450811</v>
      </c>
      <c r="Q9" s="9">
        <f>SUM('Marginal Allocation Weight'!Q$5:Q$9)</f>
        <v>1.4835217795608944</v>
      </c>
      <c r="R9" s="9">
        <f>SUM('Marginal Allocation Weight'!R$5:R$9)</f>
        <v>1.5339782926431913</v>
      </c>
      <c r="S9" s="9">
        <f>SUM('Marginal Allocation Weight'!S$5:S$9)</f>
        <v>1.5933686663716335</v>
      </c>
      <c r="T9" s="9">
        <f>SUM('Marginal Allocation Weight'!T$5:T$9)</f>
        <v>1.6621534249031482</v>
      </c>
      <c r="U9" s="9">
        <f>SUM('Marginal Allocation Weight'!U$5:U$9)</f>
        <v>1.7406331218860605</v>
      </c>
      <c r="V9" s="9">
        <f>SUM('Marginal Allocation Weight'!V$5:V$9)</f>
        <v>1.8289394527558702</v>
      </c>
      <c r="W9" s="9">
        <f>SUM('Marginal Allocation Weight'!W$5:W$9)</f>
        <v>1.9270341477229904</v>
      </c>
    </row>
    <row r="10" spans="1:23" s="9" customFormat="1" ht="15.75">
      <c r="A10"/>
      <c r="B10"/>
      <c r="C10"/>
      <c r="D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AC10"/>
  <sheetViews>
    <sheetView workbookViewId="0">
      <selection activeCell="C16" sqref="C16"/>
    </sheetView>
  </sheetViews>
  <sheetFormatPr defaultColWidth="9.140625" defaultRowHeight="15.75"/>
  <cols>
    <col min="1" max="1" width="20.7109375" style="9" customWidth="1"/>
    <col min="2" max="9" width="11.7109375" style="9" customWidth="1"/>
    <col min="10" max="10" width="12.42578125" style="9" bestFit="1" customWidth="1"/>
    <col min="11" max="14" width="13.7109375" style="9" bestFit="1" customWidth="1"/>
    <col min="15" max="15" width="12.42578125" style="9" bestFit="1" customWidth="1"/>
    <col min="16" max="28" width="13.7109375" style="9" bestFit="1" customWidth="1"/>
    <col min="29" max="29" width="12.42578125" style="9" bestFit="1" customWidth="1"/>
    <col min="30" max="16384" width="9.140625" style="9"/>
  </cols>
  <sheetData>
    <row r="1" spans="1:29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9">
      <c r="A3" s="12" t="s">
        <v>44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>
      <c r="A4" s="39" t="str">
        <f>'Device Energy Use'!A4</f>
        <v>Water Heat Ending</v>
      </c>
      <c r="B4" s="40">
        <f>'Levelized Costs'!B4</f>
        <v>2014</v>
      </c>
      <c r="C4" s="40">
        <f>'Levelized Costs'!C4</f>
        <v>2015</v>
      </c>
      <c r="D4" s="40">
        <f>'Levelized Costs'!D4</f>
        <v>2016</v>
      </c>
      <c r="E4" s="40">
        <f>'Levelized Costs'!E4</f>
        <v>2017</v>
      </c>
      <c r="F4" s="40">
        <f>'Levelized Costs'!F4</f>
        <v>2018</v>
      </c>
      <c r="G4" s="40">
        <f>'Levelized Costs'!G4</f>
        <v>2019</v>
      </c>
      <c r="H4" s="40">
        <f>'Levelized Costs'!H4</f>
        <v>2020</v>
      </c>
      <c r="I4" s="40">
        <f>'Levelized Costs'!I4</f>
        <v>2021</v>
      </c>
      <c r="J4" s="40">
        <f>'Levelized Costs'!J4</f>
        <v>2022</v>
      </c>
      <c r="K4" s="40">
        <f>'Levelized Costs'!K4</f>
        <v>2023</v>
      </c>
      <c r="L4" s="40">
        <f>'Levelized Costs'!L4</f>
        <v>2024</v>
      </c>
      <c r="M4" s="40">
        <f>'Levelized Costs'!M4</f>
        <v>2025</v>
      </c>
      <c r="N4" s="40">
        <f>'Levelized Costs'!N4</f>
        <v>2026</v>
      </c>
      <c r="O4" s="40">
        <f>'Levelized Costs'!O4</f>
        <v>2027</v>
      </c>
      <c r="P4" s="40">
        <f>'Levelized Costs'!P4</f>
        <v>2028</v>
      </c>
      <c r="Q4" s="40">
        <f>'Levelized Costs'!Q4</f>
        <v>2029</v>
      </c>
      <c r="R4" s="40">
        <f>'Levelized Costs'!R4</f>
        <v>2030</v>
      </c>
      <c r="S4" s="40">
        <f>'Levelized Costs'!S4</f>
        <v>2031</v>
      </c>
      <c r="T4" s="40">
        <f>'Levelized Costs'!T4</f>
        <v>2032</v>
      </c>
      <c r="U4" s="40">
        <f>'Levelized Costs'!U4</f>
        <v>2033</v>
      </c>
      <c r="V4" s="40">
        <f>'Levelized Costs'!V4</f>
        <v>2034</v>
      </c>
      <c r="W4" s="40">
        <f>'Levelized Costs'!W4</f>
        <v>2035</v>
      </c>
    </row>
    <row r="5" spans="1:29">
      <c r="A5" s="9" t="str">
        <f>+'Total Allocation Weight'!A5</f>
        <v>Electric Resistance</v>
      </c>
      <c r="B5" s="159">
        <f>EXP('Non-Price Factors'!B10+VarianceFactor*LN('Levelized Costs'!B5/'Levelized Costs'!B$5))</f>
        <v>22026.465794806718</v>
      </c>
      <c r="C5" s="159">
        <f>EXP('Non-Price Factors'!C10+VarianceFactor*LN('Levelized Costs'!C5/'Levelized Costs'!C$5))</f>
        <v>1</v>
      </c>
      <c r="D5" s="159">
        <f>EXP('Non-Price Factors'!D10+VarianceFactor*LN('Levelized Costs'!D5/'Levelized Costs'!D$5))</f>
        <v>1</v>
      </c>
      <c r="E5" s="159">
        <f>EXP('Non-Price Factors'!E10+VarianceFactor*LN('Levelized Costs'!E5/'Levelized Costs'!E$5))</f>
        <v>1</v>
      </c>
      <c r="F5" s="159">
        <f>EXP('Non-Price Factors'!F10+VarianceFactor*LN('Levelized Costs'!F5/'Levelized Costs'!F$5))</f>
        <v>1</v>
      </c>
      <c r="G5" s="159">
        <f>EXP('Non-Price Factors'!G10+VarianceFactor*LN('Levelized Costs'!G5/'Levelized Costs'!G$5))</f>
        <v>1</v>
      </c>
      <c r="H5" s="159">
        <f>EXP('Non-Price Factors'!H10+VarianceFactor*LN('Levelized Costs'!H5/'Levelized Costs'!H$5))</f>
        <v>1</v>
      </c>
      <c r="I5" s="159">
        <f>EXP('Non-Price Factors'!I10+VarianceFactor*LN('Levelized Costs'!I5/'Levelized Costs'!I$5))</f>
        <v>1</v>
      </c>
      <c r="J5" s="159">
        <f>EXP('Non-Price Factors'!J10+VarianceFactor*LN('Levelized Costs'!J5/'Levelized Costs'!J$5))</f>
        <v>1</v>
      </c>
      <c r="K5" s="159">
        <f>EXP('Non-Price Factors'!K10+VarianceFactor*LN('Levelized Costs'!K5/'Levelized Costs'!K$5))</f>
        <v>1</v>
      </c>
      <c r="L5" s="159">
        <f>EXP('Non-Price Factors'!L10+VarianceFactor*LN('Levelized Costs'!L5/'Levelized Costs'!L$5))</f>
        <v>1</v>
      </c>
      <c r="M5" s="159">
        <f>EXP('Non-Price Factors'!M10+VarianceFactor*LN('Levelized Costs'!M5/'Levelized Costs'!M$5))</f>
        <v>1</v>
      </c>
      <c r="N5" s="159">
        <f>EXP('Non-Price Factors'!N10+VarianceFactor*LN('Levelized Costs'!N5/'Levelized Costs'!N$5))</f>
        <v>1</v>
      </c>
      <c r="O5" s="159">
        <f>EXP('Non-Price Factors'!O10+VarianceFactor*LN('Levelized Costs'!O5/'Levelized Costs'!O$5))</f>
        <v>1</v>
      </c>
      <c r="P5" s="159">
        <f>EXP('Non-Price Factors'!P10+VarianceFactor*LN('Levelized Costs'!P5/'Levelized Costs'!P$5))</f>
        <v>1</v>
      </c>
      <c r="Q5" s="159">
        <f>EXP('Non-Price Factors'!Q10+VarianceFactor*LN('Levelized Costs'!Q5/'Levelized Costs'!Q$5))</f>
        <v>1</v>
      </c>
      <c r="R5" s="159">
        <f>EXP('Non-Price Factors'!R10+VarianceFactor*LN('Levelized Costs'!R5/'Levelized Costs'!R$5))</f>
        <v>1</v>
      </c>
      <c r="S5" s="159">
        <f>EXP('Non-Price Factors'!S10+VarianceFactor*LN('Levelized Costs'!S5/'Levelized Costs'!S$5))</f>
        <v>1</v>
      </c>
      <c r="T5" s="159">
        <f>EXP('Non-Price Factors'!T10+VarianceFactor*LN('Levelized Costs'!T5/'Levelized Costs'!T$5))</f>
        <v>1</v>
      </c>
      <c r="U5" s="159">
        <f>EXP('Non-Price Factors'!U10+VarianceFactor*LN('Levelized Costs'!U5/'Levelized Costs'!U$5))</f>
        <v>1</v>
      </c>
      <c r="V5" s="159">
        <f>EXP('Non-Price Factors'!V10+VarianceFactor*LN('Levelized Costs'!V5/'Levelized Costs'!V$5))</f>
        <v>1</v>
      </c>
      <c r="W5" s="159">
        <f>EXP('Non-Price Factors'!W10+VarianceFactor*LN('Levelized Costs'!W5/'Levelized Costs'!W$5))</f>
        <v>1</v>
      </c>
    </row>
    <row r="6" spans="1:29">
      <c r="A6" s="9" t="str">
        <f>+'Total Allocation Weight'!A6</f>
        <v>HPWH</v>
      </c>
      <c r="B6" s="159">
        <f>EXP('Non-Price Factors'!B11+VarianceFactor*LN('Levelized Costs'!B6/'Levelized Costs'!B$5))</f>
        <v>7.0034014151538571E-5</v>
      </c>
      <c r="C6" s="159">
        <f>EXP('Non-Price Factors'!C11+VarianceFactor*LN('Levelized Costs'!C6/'Levelized Costs'!C$5))</f>
        <v>1.4789856344985496E-4</v>
      </c>
      <c r="D6" s="159">
        <f>EXP('Non-Price Factors'!D11+VarianceFactor*LN('Levelized Costs'!D6/'Levelized Costs'!D$5))</f>
        <v>2.95808484660287E-4</v>
      </c>
      <c r="E6" s="159">
        <f>EXP('Non-Price Factors'!E11+VarianceFactor*LN('Levelized Costs'!E6/'Levelized Costs'!E$5))</f>
        <v>5.6258398477649013E-4</v>
      </c>
      <c r="F6" s="159">
        <f>EXP('Non-Price Factors'!F11+VarianceFactor*LN('Levelized Costs'!F6/'Levelized Costs'!F$5))</f>
        <v>1.021184879086044E-3</v>
      </c>
      <c r="G6" s="159">
        <f>EXP('Non-Price Factors'!G11+VarianceFactor*LN('Levelized Costs'!G6/'Levelized Costs'!G$5))</f>
        <v>1.7752240807706091E-3</v>
      </c>
      <c r="H6" s="159">
        <f>EXP('Non-Price Factors'!H11+VarianceFactor*LN('Levelized Costs'!H6/'Levelized Costs'!H$5))</f>
        <v>2.9649362862159221E-3</v>
      </c>
      <c r="I6" s="159">
        <f>EXP('Non-Price Factors'!I11+VarianceFactor*LN('Levelized Costs'!I6/'Levelized Costs'!I$5))</f>
        <v>4.7716730838865381E-3</v>
      </c>
      <c r="J6" s="159">
        <f>EXP('Non-Price Factors'!J11+VarianceFactor*LN('Levelized Costs'!J6/'Levelized Costs'!J$5))</f>
        <v>7.4200110776722374E-3</v>
      </c>
      <c r="K6" s="159">
        <f>EXP('Non-Price Factors'!K11+VarianceFactor*LN('Levelized Costs'!K6/'Levelized Costs'!K$5))</f>
        <v>1.1176736930726985E-2</v>
      </c>
      <c r="L6" s="159">
        <f>EXP('Non-Price Factors'!L11+VarianceFactor*LN('Levelized Costs'!L6/'Levelized Costs'!L$5))</f>
        <v>1.6346290757993719E-2</v>
      </c>
      <c r="M6" s="159">
        <f>EXP('Non-Price Factors'!M11+VarianceFactor*LN('Levelized Costs'!M6/'Levelized Costs'!M$5))</f>
        <v>2.3262654310444032E-2</v>
      </c>
      <c r="N6" s="159">
        <f>EXP('Non-Price Factors'!N11+VarianceFactor*LN('Levelized Costs'!N6/'Levelized Costs'!N$5))</f>
        <v>3.2278092924734714E-2</v>
      </c>
      <c r="O6" s="159">
        <f>EXP('Non-Price Factors'!O11+VarianceFactor*LN('Levelized Costs'!O6/'Levelized Costs'!O$5))</f>
        <v>4.3749529940046383E-2</v>
      </c>
      <c r="P6" s="159">
        <f>EXP('Non-Price Factors'!P11+VarianceFactor*LN('Levelized Costs'!P6/'Levelized Costs'!P$5))</f>
        <v>5.8023593581239971E-2</v>
      </c>
      <c r="Q6" s="159">
        <f>EXP('Non-Price Factors'!Q11+VarianceFactor*LN('Levelized Costs'!Q6/'Levelized Costs'!Q$5))</f>
        <v>7.5421497754789152E-2</v>
      </c>
      <c r="R6" s="159">
        <f>EXP('Non-Price Factors'!R11+VarianceFactor*LN('Levelized Costs'!R6/'Levelized Costs'!R$5))</f>
        <v>9.6224895243080255E-2</v>
      </c>
      <c r="S6" s="159">
        <f>EXP('Non-Price Factors'!S11+VarianceFactor*LN('Levelized Costs'!S6/'Levelized Costs'!S$5))</f>
        <v>0.1206636932723376</v>
      </c>
      <c r="T6" s="159">
        <f>EXP('Non-Price Factors'!T11+VarianceFactor*LN('Levelized Costs'!T6/'Levelized Costs'!T$5))</f>
        <v>0.14890658222669911</v>
      </c>
      <c r="U6" s="159">
        <f>EXP('Non-Price Factors'!U11+VarianceFactor*LN('Levelized Costs'!U6/'Levelized Costs'!U$5))</f>
        <v>0.18105474038248917</v>
      </c>
      <c r="V6" s="159">
        <f>EXP('Non-Price Factors'!V11+VarianceFactor*LN('Levelized Costs'!V6/'Levelized Costs'!V$5))</f>
        <v>0.21713888195708939</v>
      </c>
      <c r="W6" s="159">
        <f>EXP('Non-Price Factors'!W11+VarianceFactor*LN('Levelized Costs'!W6/'Levelized Costs'!W$5))</f>
        <v>0.25711954655056929</v>
      </c>
    </row>
    <row r="7" spans="1:29">
      <c r="A7" s="9" t="str">
        <f>+'Total Allocation Weight'!A7</f>
        <v>Gas Tank</v>
      </c>
      <c r="B7" s="159">
        <f>EXP('Non-Price Factors'!B12+VarianceFactor*LN('Levelized Costs'!B7/'Levelized Costs'!B$5))</f>
        <v>0.29858330261465515</v>
      </c>
      <c r="C7" s="159">
        <f>EXP('Non-Price Factors'!C12+VarianceFactor*LN('Levelized Costs'!C7/'Levelized Costs'!C$5))</f>
        <v>0.29898850689916084</v>
      </c>
      <c r="D7" s="159">
        <f>EXP('Non-Price Factors'!D12+VarianceFactor*LN('Levelized Costs'!D7/'Levelized Costs'!D$5))</f>
        <v>0.29937716465639769</v>
      </c>
      <c r="E7" s="159">
        <f>EXP('Non-Price Factors'!E12+VarianceFactor*LN('Levelized Costs'!E7/'Levelized Costs'!E$5))</f>
        <v>0.29974925686094989</v>
      </c>
      <c r="F7" s="159">
        <f>EXP('Non-Price Factors'!F12+VarianceFactor*LN('Levelized Costs'!F7/'Levelized Costs'!F$5))</f>
        <v>0.30010477001967745</v>
      </c>
      <c r="G7" s="159">
        <f>EXP('Non-Price Factors'!G12+VarianceFactor*LN('Levelized Costs'!G7/'Levelized Costs'!G$5))</f>
        <v>0.30044369612771893</v>
      </c>
      <c r="H7" s="159">
        <f>EXP('Non-Price Factors'!H12+VarianceFactor*LN('Levelized Costs'!H7/'Levelized Costs'!H$5))</f>
        <v>0.30076603262072404</v>
      </c>
      <c r="I7" s="159">
        <f>EXP('Non-Price Factors'!I12+VarianceFactor*LN('Levelized Costs'!I7/'Levelized Costs'!I$5))</f>
        <v>0.30107178232342191</v>
      </c>
      <c r="J7" s="159">
        <f>EXP('Non-Price Factors'!J12+VarianceFactor*LN('Levelized Costs'!J7/'Levelized Costs'!J$5))</f>
        <v>0.30136095339463748</v>
      </c>
      <c r="K7" s="159">
        <f>EXP('Non-Price Factors'!K12+VarianceFactor*LN('Levelized Costs'!K7/'Levelized Costs'!K$5))</f>
        <v>0.30163355926886687</v>
      </c>
      <c r="L7" s="159">
        <f>EXP('Non-Price Factors'!L12+VarianceFactor*LN('Levelized Costs'!L7/'Levelized Costs'!L$5))</f>
        <v>0.30188961859452867</v>
      </c>
      <c r="M7" s="159">
        <f>EXP('Non-Price Factors'!M12+VarianceFactor*LN('Levelized Costs'!M7/'Levelized Costs'!M$5))</f>
        <v>0.30212915516901268</v>
      </c>
      <c r="N7" s="159">
        <f>EXP('Non-Price Factors'!N12+VarianceFactor*LN('Levelized Costs'!N7/'Levelized Costs'!N$5))</f>
        <v>0.30235219787064244</v>
      </c>
      <c r="O7" s="159">
        <f>EXP('Non-Price Factors'!O12+VarianceFactor*LN('Levelized Costs'!O7/'Levelized Costs'!O$5))</f>
        <v>0.30255878058767638</v>
      </c>
      <c r="P7" s="159">
        <f>EXP('Non-Price Factors'!P12+VarianceFactor*LN('Levelized Costs'!P7/'Levelized Costs'!P$5))</f>
        <v>0.30274894214447529</v>
      </c>
      <c r="Q7" s="159">
        <f>EXP('Non-Price Factors'!Q12+VarianceFactor*LN('Levelized Costs'!Q7/'Levelized Costs'!Q$5))</f>
        <v>0.30292272622495714</v>
      </c>
      <c r="R7" s="159">
        <f>EXP('Non-Price Factors'!R12+VarianceFactor*LN('Levelized Costs'!R7/'Levelized Costs'!R$5))</f>
        <v>0.30308018129346986</v>
      </c>
      <c r="S7" s="159">
        <f>EXP('Non-Price Factors'!S12+VarianceFactor*LN('Levelized Costs'!S7/'Levelized Costs'!S$5))</f>
        <v>0.30322136051321014</v>
      </c>
      <c r="T7" s="159">
        <f>EXP('Non-Price Factors'!T12+VarianceFactor*LN('Levelized Costs'!T7/'Levelized Costs'!T$5))</f>
        <v>0.30334632166231695</v>
      </c>
      <c r="U7" s="159">
        <f>EXP('Non-Price Factors'!U12+VarianceFactor*LN('Levelized Costs'!U7/'Levelized Costs'!U$5))</f>
        <v>0.30345512704776911</v>
      </c>
      <c r="V7" s="159">
        <f>EXP('Non-Price Factors'!V12+VarianceFactor*LN('Levelized Costs'!V7/'Levelized Costs'!V$5))</f>
        <v>0.30354784341721724</v>
      </c>
      <c r="W7" s="159">
        <f>EXP('Non-Price Factors'!W12+VarianceFactor*LN('Levelized Costs'!W7/'Levelized Costs'!W$5))</f>
        <v>0.30362454186887916</v>
      </c>
    </row>
    <row r="8" spans="1:29">
      <c r="A8" s="9" t="str">
        <f>+'Total Allocation Weight'!A8</f>
        <v>Instant Gas</v>
      </c>
      <c r="B8" s="159">
        <f>EXP('Non-Price Factors'!B13+VarianceFactor*LN('Levelized Costs'!B8/'Levelized Costs'!B$5))</f>
        <v>1.887540357698047E-5</v>
      </c>
      <c r="C8" s="159">
        <f>EXP('Non-Price Factors'!C13+VarianceFactor*LN('Levelized Costs'!C8/'Levelized Costs'!C$5))</f>
        <v>4.0085852381069441E-5</v>
      </c>
      <c r="D8" s="159">
        <f>EXP('Non-Price Factors'!D13+VarianceFactor*LN('Levelized Costs'!D8/'Levelized Costs'!D$5))</f>
        <v>8.0626427060421257E-5</v>
      </c>
      <c r="E8" s="159">
        <f>EXP('Non-Price Factors'!E13+VarianceFactor*LN('Levelized Costs'!E8/'Levelized Costs'!E$5))</f>
        <v>1.5420312140632469E-4</v>
      </c>
      <c r="F8" s="159">
        <f>EXP('Non-Price Factors'!F13+VarianceFactor*LN('Levelized Costs'!F8/'Levelized Costs'!F$5))</f>
        <v>2.8148048342726802E-4</v>
      </c>
      <c r="G8" s="159">
        <f>EXP('Non-Price Factors'!G13+VarianceFactor*LN('Levelized Costs'!G8/'Levelized Costs'!G$5))</f>
        <v>4.9207807334222505E-4</v>
      </c>
      <c r="H8" s="159">
        <f>EXP('Non-Price Factors'!H13+VarianceFactor*LN('Levelized Costs'!H8/'Levelized Costs'!H$5))</f>
        <v>8.2647863584696282E-4</v>
      </c>
      <c r="I8" s="159">
        <f>EXP('Non-Price Factors'!I13+VarianceFactor*LN('Levelized Costs'!I8/'Levelized Costs'!I$5))</f>
        <v>1.337582560551447E-3</v>
      </c>
      <c r="J8" s="159">
        <f>EXP('Non-Price Factors'!J13+VarianceFactor*LN('Levelized Costs'!J8/'Levelized Costs'!J$5))</f>
        <v>2.0916356585661375E-3</v>
      </c>
      <c r="K8" s="159">
        <f>EXP('Non-Price Factors'!K13+VarianceFactor*LN('Levelized Costs'!K8/'Levelized Costs'!K$5))</f>
        <v>3.168295624650709E-3</v>
      </c>
      <c r="L8" s="159">
        <f>EXP('Non-Price Factors'!L13+VarianceFactor*LN('Levelized Costs'!L8/'Levelized Costs'!L$5))</f>
        <v>4.6596831816718256E-3</v>
      </c>
      <c r="M8" s="159">
        <f>EXP('Non-Price Factors'!M13+VarianceFactor*LN('Levelized Costs'!M8/'Levelized Costs'!M$5))</f>
        <v>6.6683740196938381E-3</v>
      </c>
      <c r="N8" s="159">
        <f>EXP('Non-Price Factors'!N13+VarianceFactor*LN('Levelized Costs'!N8/'Levelized Costs'!N$5))</f>
        <v>9.3044085914948116E-3</v>
      </c>
      <c r="O8" s="159">
        <f>EXP('Non-Price Factors'!O13+VarianceFactor*LN('Levelized Costs'!O8/'Levelized Costs'!O$5))</f>
        <v>1.2681508641031578E-2</v>
      </c>
      <c r="P8" s="159">
        <f>EXP('Non-Price Factors'!P13+VarianceFactor*LN('Levelized Costs'!P8/'Levelized Costs'!P$5))</f>
        <v>1.6912775079399624E-2</v>
      </c>
      <c r="Q8" s="159">
        <f>EXP('Non-Price Factors'!Q13+VarianceFactor*LN('Levelized Costs'!Q8/'Levelized Costs'!Q$5))</f>
        <v>2.2106190613999793E-2</v>
      </c>
      <c r="R8" s="159">
        <f>EXP('Non-Price Factors'!R13+VarianceFactor*LN('Levelized Costs'!R8/'Levelized Costs'!R$5))</f>
        <v>2.8360258816436716E-2</v>
      </c>
      <c r="S8" s="159">
        <f>EXP('Non-Price Factors'!S13+VarianceFactor*LN('Levelized Costs'!S8/'Levelized Costs'!S$5))</f>
        <v>3.5760082321949459E-2</v>
      </c>
      <c r="T8" s="159">
        <f>EXP('Non-Price Factors'!T13+VarianceFactor*LN('Levelized Costs'!T8/'Levelized Costs'!T$5))</f>
        <v>4.4374124883996065E-2</v>
      </c>
      <c r="U8" s="159">
        <f>EXP('Non-Price Factors'!U13+VarianceFactor*LN('Levelized Costs'!U8/'Levelized Costs'!U$5))</f>
        <v>5.4251826089746782E-2</v>
      </c>
      <c r="V8" s="159">
        <f>EXP('Non-Price Factors'!V13+VarianceFactor*LN('Levelized Costs'!V8/'Levelized Costs'!V$5))</f>
        <v>6.5422155147409233E-2</v>
      </c>
      <c r="W8" s="159">
        <f>EXP('Non-Price Factors'!W13+VarianceFactor*LN('Levelized Costs'!W8/'Levelized Costs'!W$5))</f>
        <v>7.7893111385182193E-2</v>
      </c>
    </row>
    <row r="9" spans="1:29">
      <c r="A9" s="9" t="str">
        <f>+'Total Allocation Weight'!A9</f>
        <v>Condensing Gas</v>
      </c>
      <c r="B9" s="159">
        <f>EXP('Non-Price Factors'!B14+VarianceFactor*LN('Levelized Costs'!B9/'Levelized Costs'!B$5))</f>
        <v>7.3464257793401494E-5</v>
      </c>
      <c r="C9" s="159">
        <f>EXP('Non-Price Factors'!C14+VarianceFactor*LN('Levelized Costs'!C9/'Levelized Costs'!C$5))</f>
        <v>1.5566701922444553E-4</v>
      </c>
      <c r="D9" s="159">
        <f>EXP('Non-Price Factors'!D14+VarianceFactor*LN('Levelized Costs'!D9/'Levelized Costs'!D$5))</f>
        <v>3.1239374279699834E-4</v>
      </c>
      <c r="E9" s="159">
        <f>EXP('Non-Price Factors'!E14+VarianceFactor*LN('Levelized Costs'!E9/'Levelized Costs'!E$5))</f>
        <v>5.9611676972366853E-4</v>
      </c>
      <c r="F9" s="159">
        <f>EXP('Non-Price Factors'!F14+VarianceFactor*LN('Levelized Costs'!F9/'Levelized Costs'!F$5))</f>
        <v>1.0856594438383225E-3</v>
      </c>
      <c r="G9" s="159">
        <f>EXP('Non-Price Factors'!G14+VarianceFactor*LN('Levelized Costs'!G9/'Levelized Costs'!G$5))</f>
        <v>1.8935659447840455E-3</v>
      </c>
      <c r="H9" s="159">
        <f>EXP('Non-Price Factors'!H14+VarianceFactor*LN('Levelized Costs'!H9/'Levelized Costs'!H$5))</f>
        <v>3.173022452411862E-3</v>
      </c>
      <c r="I9" s="159">
        <f>EXP('Non-Price Factors'!I14+VarianceFactor*LN('Levelized Costs'!I9/'Levelized Costs'!I$5))</f>
        <v>5.1233173740972649E-3</v>
      </c>
      <c r="J9" s="159">
        <f>EXP('Non-Price Factors'!J14+VarianceFactor*LN('Levelized Costs'!J9/'Levelized Costs'!J$5))</f>
        <v>7.9928187271548438E-3</v>
      </c>
      <c r="K9" s="159">
        <f>EXP('Non-Price Factors'!K14+VarianceFactor*LN('Levelized Costs'!K9/'Levelized Costs'!K$5))</f>
        <v>1.2078612962423539E-2</v>
      </c>
      <c r="L9" s="159">
        <f>EXP('Non-Price Factors'!L14+VarianceFactor*LN('Levelized Costs'!L9/'Levelized Costs'!L$5))</f>
        <v>1.7722273689519508E-2</v>
      </c>
      <c r="M9" s="159">
        <f>EXP('Non-Price Factors'!M14+VarianceFactor*LN('Levelized Costs'!M9/'Levelized Costs'!M$5))</f>
        <v>2.5301658457799553E-2</v>
      </c>
      <c r="N9" s="159">
        <f>EXP('Non-Price Factors'!N14+VarianceFactor*LN('Levelized Costs'!N9/'Levelized Costs'!N$5))</f>
        <v>3.5219093547211387E-2</v>
      </c>
      <c r="O9" s="159">
        <f>EXP('Non-Price Factors'!O14+VarianceFactor*LN('Levelized Costs'!O9/'Levelized Costs'!O$5))</f>
        <v>4.7886724089612615E-2</v>
      </c>
      <c r="P9" s="159">
        <f>EXP('Non-Price Factors'!P14+VarianceFactor*LN('Levelized Costs'!P9/'Levelized Costs'!P$5))</f>
        <v>6.3710116639966327E-2</v>
      </c>
      <c r="Q9" s="159">
        <f>EXP('Non-Price Factors'!Q14+VarianceFactor*LN('Levelized Costs'!Q9/'Levelized Costs'!Q$5))</f>
        <v>8.3071364967148245E-2</v>
      </c>
      <c r="R9" s="159">
        <f>EXP('Non-Price Factors'!R14+VarianceFactor*LN('Levelized Costs'!R9/'Levelized Costs'!R$5))</f>
        <v>0.10631295729020457</v>
      </c>
      <c r="S9" s="159">
        <f>EXP('Non-Price Factors'!S14+VarianceFactor*LN('Levelized Costs'!S9/'Levelized Costs'!S$5))</f>
        <v>0.1337235302641365</v>
      </c>
      <c r="T9" s="159">
        <f>EXP('Non-Price Factors'!T14+VarianceFactor*LN('Levelized Costs'!T9/'Levelized Costs'!T$5))</f>
        <v>0.16552639613013609</v>
      </c>
      <c r="U9" s="159">
        <f>EXP('Non-Price Factors'!U14+VarianceFactor*LN('Levelized Costs'!U9/'Levelized Costs'!U$5))</f>
        <v>0.20187142836605529</v>
      </c>
      <c r="V9" s="159">
        <f>EXP('Non-Price Factors'!V14+VarianceFactor*LN('Levelized Costs'!V9/'Levelized Costs'!V$5))</f>
        <v>0.24283057223415441</v>
      </c>
      <c r="W9" s="159">
        <f>EXP('Non-Price Factors'!W14+VarianceFactor*LN('Levelized Costs'!W9/'Levelized Costs'!W$5))</f>
        <v>0.28839694791835974</v>
      </c>
    </row>
    <row r="10" spans="1:29">
      <c r="A10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5"/>
  <sheetViews>
    <sheetView topLeftCell="A20" workbookViewId="0"/>
  </sheetViews>
  <sheetFormatPr defaultColWidth="9.140625" defaultRowHeight="15.75"/>
  <cols>
    <col min="1" max="1" width="4.140625" style="9" customWidth="1"/>
    <col min="2" max="2" width="46" style="9" customWidth="1"/>
    <col min="3" max="7" width="12.7109375" style="9" customWidth="1"/>
    <col min="8" max="25" width="14.7109375" style="9" bestFit="1" customWidth="1"/>
    <col min="26" max="27" width="10.5703125" style="9" bestFit="1" customWidth="1"/>
    <col min="28" max="16384" width="9.140625" style="9"/>
  </cols>
  <sheetData>
    <row r="1" spans="1:6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6" ht="31.5" customHeight="1">
      <c r="B3" s="178" t="str">
        <f>CONCATENATE("Marginal Market Shares (%) - ",State,", Single Family, ", SpaceHeat, ", ", TankSize,", ", StartWH, " is starting water heater")</f>
        <v>Marginal Market Shares (%) - Oregon, Single Family, Gas FAF, &lt;=55 Gallons, Electric Resistance is starting water heater</v>
      </c>
      <c r="C3" s="179"/>
      <c r="D3" s="179"/>
      <c r="E3" s="179"/>
      <c r="F3" s="179"/>
    </row>
    <row r="4" spans="1:6" ht="47.25">
      <c r="B4" s="81" t="s">
        <v>83</v>
      </c>
      <c r="C4" s="89" t="s">
        <v>115</v>
      </c>
      <c r="D4" s="89" t="s">
        <v>84</v>
      </c>
      <c r="E4" s="89" t="s">
        <v>106</v>
      </c>
      <c r="F4" s="94" t="s">
        <v>81</v>
      </c>
    </row>
    <row r="5" spans="1:6">
      <c r="B5" s="83" t="str">
        <f>'Marginal Market Share'!A5</f>
        <v>Electric Resistance</v>
      </c>
      <c r="C5" s="84">
        <f>'Marginal Market Share'!B5</f>
        <v>0.99998643715123314</v>
      </c>
      <c r="D5" s="84">
        <f>'Marginal Market Share'!W5</f>
        <v>0.51893216380291629</v>
      </c>
      <c r="E5" s="84">
        <f>'Marginal Market Share'!W13</f>
        <v>0</v>
      </c>
      <c r="F5" s="85">
        <f>E5-D5</f>
        <v>-0.51893216380291629</v>
      </c>
    </row>
    <row r="6" spans="1:6">
      <c r="B6" s="83" t="str">
        <f>'Marginal Market Share'!A6</f>
        <v>HPWH</v>
      </c>
      <c r="C6" s="84">
        <f>'Marginal Market Share'!B6</f>
        <v>3.1794961998537285E-9</v>
      </c>
      <c r="D6" s="84">
        <f>'Marginal Market Share'!W6</f>
        <v>0.13342760264751158</v>
      </c>
      <c r="E6" s="84">
        <f>'Marginal Market Share'!W14</f>
        <v>0</v>
      </c>
      <c r="F6" s="85">
        <f>E6-D6</f>
        <v>-0.13342760264751158</v>
      </c>
    </row>
    <row r="7" spans="1:6">
      <c r="B7" s="83" t="str">
        <f>'Marginal Market Share'!A7</f>
        <v>Gas Tank</v>
      </c>
      <c r="C7" s="84">
        <f>'Marginal Market Share'!B7</f>
        <v>1.3555477113576472E-5</v>
      </c>
      <c r="D7" s="84">
        <f>'Marginal Market Share'!W7</f>
        <v>0.1575605404956866</v>
      </c>
      <c r="E7" s="84">
        <f>'Marginal Market Share'!W15</f>
        <v>1</v>
      </c>
      <c r="F7" s="85">
        <f>E7-D7</f>
        <v>0.84243945950431343</v>
      </c>
    </row>
    <row r="8" spans="1:6">
      <c r="B8" s="83" t="str">
        <f>'Marginal Market Share'!A8</f>
        <v>Instant Gas</v>
      </c>
      <c r="C8" s="84">
        <f>'Marginal Market Share'!B8</f>
        <v>8.5693037405876635E-10</v>
      </c>
      <c r="D8" s="84">
        <f>'Marginal Market Share'!W8</f>
        <v>4.0421240836454167E-2</v>
      </c>
      <c r="E8" s="84">
        <f>'Marginal Market Share'!W16</f>
        <v>0</v>
      </c>
      <c r="F8" s="85">
        <f>E8-D8</f>
        <v>-4.0421240836454167E-2</v>
      </c>
    </row>
    <row r="9" spans="1:6">
      <c r="B9" s="86" t="str">
        <f>'Marginal Market Share'!A9</f>
        <v>Condensing Gas</v>
      </c>
      <c r="C9" s="87">
        <f>'Marginal Market Share'!B9</f>
        <v>3.3352269080818244E-9</v>
      </c>
      <c r="D9" s="87">
        <f>'Marginal Market Share'!W9</f>
        <v>0.14965845221743138</v>
      </c>
      <c r="E9" s="87">
        <f>'Marginal Market Share'!W17</f>
        <v>0</v>
      </c>
      <c r="F9" s="88">
        <f>E9-D9</f>
        <v>-0.14965845221743138</v>
      </c>
    </row>
    <row r="10" spans="1:6">
      <c r="B10" s="97"/>
      <c r="C10" s="84"/>
      <c r="D10" s="84"/>
      <c r="E10" s="84"/>
    </row>
    <row r="11" spans="1:6" ht="30.75" customHeight="1">
      <c r="B11" s="178" t="str">
        <f>CONCATENATE("Average Market Shares by Scenario (%) - ",State,", Single Family, ", SpaceHeat, ", ", TankSize,", ", StartWH, " is starting water heater")</f>
        <v>Average Market Shares by Scenario (%) - Oregon, Single Family, Gas FAF, &lt;=55 Gallons, Electric Resistance is starting water heater</v>
      </c>
      <c r="C11" s="179"/>
      <c r="D11" s="179"/>
      <c r="E11" s="179"/>
      <c r="F11" s="179"/>
    </row>
    <row r="12" spans="1:6" ht="47.25">
      <c r="B12" s="81" t="s">
        <v>83</v>
      </c>
      <c r="C12" s="89" t="s">
        <v>115</v>
      </c>
      <c r="D12" s="89" t="s">
        <v>84</v>
      </c>
      <c r="E12" s="89" t="s">
        <v>106</v>
      </c>
      <c r="F12" s="94" t="s">
        <v>81</v>
      </c>
    </row>
    <row r="13" spans="1:6">
      <c r="B13" s="83" t="str">
        <f>'Marginal Market Share'!A13</f>
        <v>Electric Resistance</v>
      </c>
      <c r="C13" s="84">
        <f>'Average Market Share'!B5</f>
        <v>1</v>
      </c>
      <c r="D13" s="84">
        <f>'Average Market Share'!W5</f>
        <v>0.73588982536572578</v>
      </c>
      <c r="E13" s="84">
        <f>'Average Market Share'!W13</f>
        <v>0.2109218875508691</v>
      </c>
      <c r="F13" s="85">
        <f>E13-D13</f>
        <v>-0.52496793781485662</v>
      </c>
    </row>
    <row r="14" spans="1:6">
      <c r="B14" s="83" t="str">
        <f>'Marginal Market Share'!A14</f>
        <v>HPWH</v>
      </c>
      <c r="C14" s="84">
        <f>'Average Market Share'!B6</f>
        <v>0</v>
      </c>
      <c r="D14" s="84">
        <f>'Average Market Share'!W6</f>
        <v>4.3748992718060105E-2</v>
      </c>
      <c r="E14" s="84">
        <f>'Average Market Share'!W14</f>
        <v>0</v>
      </c>
      <c r="F14" s="85">
        <f>E14-D14</f>
        <v>-4.3748992718060105E-2</v>
      </c>
    </row>
    <row r="15" spans="1:6">
      <c r="B15" s="83" t="str">
        <f>'Marginal Market Share'!A15</f>
        <v>Gas Tank</v>
      </c>
      <c r="C15" s="84">
        <f>'Average Market Share'!B7</f>
        <v>0</v>
      </c>
      <c r="D15" s="84">
        <f>'Average Market Share'!W7</f>
        <v>0.15868384714599468</v>
      </c>
      <c r="E15" s="84">
        <f>'Average Market Share'!W15</f>
        <v>0.78907811244913084</v>
      </c>
      <c r="F15" s="85">
        <f>E15-D15</f>
        <v>0.63039426530313614</v>
      </c>
    </row>
    <row r="16" spans="1:6">
      <c r="B16" s="83" t="str">
        <f>'Marginal Market Share'!A16</f>
        <v>Instant Gas</v>
      </c>
      <c r="C16" s="84">
        <f>'Average Market Share'!B8</f>
        <v>0</v>
      </c>
      <c r="D16" s="84">
        <f>'Average Market Share'!W8</f>
        <v>1.3041526852385887E-2</v>
      </c>
      <c r="E16" s="84">
        <f>'Average Market Share'!W16</f>
        <v>0</v>
      </c>
      <c r="F16" s="85">
        <f>E16-D16</f>
        <v>-1.3041526852385887E-2</v>
      </c>
    </row>
    <row r="17" spans="2:7">
      <c r="B17" s="86" t="str">
        <f>'Marginal Market Share'!A17</f>
        <v>Condensing Gas</v>
      </c>
      <c r="C17" s="87">
        <f>'Average Market Share'!B9</f>
        <v>0</v>
      </c>
      <c r="D17" s="87">
        <f>'Average Market Share'!W9</f>
        <v>4.8635807917833597E-2</v>
      </c>
      <c r="E17" s="87">
        <f>'Average Market Share'!W17</f>
        <v>0</v>
      </c>
      <c r="F17" s="88">
        <f>E17-D17</f>
        <v>-4.8635807917833597E-2</v>
      </c>
    </row>
    <row r="18" spans="2:7">
      <c r="B18" s="97"/>
      <c r="C18" s="84"/>
      <c r="D18" s="84"/>
      <c r="E18" s="84"/>
      <c r="F18" s="84"/>
    </row>
    <row r="19" spans="2:7" ht="31.5" customHeight="1">
      <c r="B19" s="178" t="str">
        <f>CONCATENATE("BAU Case Average Market Shares (%) - ",State,", Single Family, ", SpaceHeat, ", ", TankSize,", ", StartWH, " is starting water heater")</f>
        <v>BAU Case Average Market Shares (%) - Oregon, Single Family, Gas FAF, &lt;=55 Gallons, Electric Resistance is starting water heater</v>
      </c>
      <c r="C19" s="179"/>
      <c r="D19" s="179"/>
      <c r="E19" s="179"/>
      <c r="F19" s="179"/>
      <c r="G19" s="179"/>
    </row>
    <row r="20" spans="2:7">
      <c r="B20" s="81" t="s">
        <v>83</v>
      </c>
      <c r="C20" s="89">
        <v>2015</v>
      </c>
      <c r="D20" s="89">
        <v>2020</v>
      </c>
      <c r="E20" s="89">
        <v>2025</v>
      </c>
      <c r="F20" s="89">
        <v>2030</v>
      </c>
      <c r="G20" s="94">
        <v>2035</v>
      </c>
    </row>
    <row r="21" spans="2:7">
      <c r="B21" s="83" t="str">
        <f>'Average Market Share'!A5</f>
        <v>Electric Resistance</v>
      </c>
      <c r="C21" s="84">
        <f>'Average Market Share'!C5</f>
        <v>0.98354472463772857</v>
      </c>
      <c r="D21" s="84">
        <f>'Average Market Share'!H5</f>
        <v>0.91655133417323442</v>
      </c>
      <c r="E21" s="84">
        <f>'Average Market Share'!M5</f>
        <v>0.86505426331039148</v>
      </c>
      <c r="F21" s="84">
        <f>'Average Market Share'!R5</f>
        <v>0.81035739422128594</v>
      </c>
      <c r="G21" s="85">
        <f>'Average Market Share'!W5</f>
        <v>0.73588982536572578</v>
      </c>
    </row>
    <row r="22" spans="2:7">
      <c r="B22" s="83" t="str">
        <f>'Average Market Share'!A6</f>
        <v>HPWH</v>
      </c>
      <c r="C22" s="84">
        <f>'Average Market Share'!C6</f>
        <v>8.1304715163093296E-6</v>
      </c>
      <c r="D22" s="84">
        <f>'Average Market Share'!H6</f>
        <v>3.4291081145667912E-4</v>
      </c>
      <c r="E22" s="84">
        <f>'Average Market Share'!M6</f>
        <v>3.3027815317431181E-3</v>
      </c>
      <c r="F22" s="84">
        <f>'Average Market Share'!R6</f>
        <v>1.5633335315572157E-2</v>
      </c>
      <c r="G22" s="85">
        <f>'Average Market Share'!W6</f>
        <v>4.3748992718060105E-2</v>
      </c>
    </row>
    <row r="23" spans="2:7">
      <c r="B23" s="83" t="str">
        <f>'Average Market Share'!A7</f>
        <v>Gas Tank</v>
      </c>
      <c r="C23" s="84">
        <f>'Average Market Share'!C7</f>
        <v>1.6436383710188542E-2</v>
      </c>
      <c r="D23" s="84">
        <f>'Average Market Share'!H7</f>
        <v>8.2644904263221727E-2</v>
      </c>
      <c r="E23" s="84">
        <f>'Average Market Share'!M7</f>
        <v>0.12712928078521776</v>
      </c>
      <c r="F23" s="84">
        <f>'Average Market Share'!R7</f>
        <v>0.15229847108682329</v>
      </c>
      <c r="G23" s="85">
        <f>'Average Market Share'!W7</f>
        <v>0.15868384714599468</v>
      </c>
    </row>
    <row r="24" spans="2:7">
      <c r="B24" s="83" t="str">
        <f>'Average Market Share'!A8</f>
        <v>Instant Gas</v>
      </c>
      <c r="C24" s="84">
        <f>'Average Market Share'!C8</f>
        <v>2.2036514310145261E-6</v>
      </c>
      <c r="D24" s="84">
        <f>'Average Market Share'!H8</f>
        <v>9.5062708116069083E-5</v>
      </c>
      <c r="E24" s="84">
        <f>'Average Market Share'!M8</f>
        <v>9.3883123635024092E-4</v>
      </c>
      <c r="F24" s="84">
        <f>'Average Market Share'!R8</f>
        <v>4.5534841454697057E-3</v>
      </c>
      <c r="G24" s="85">
        <f>'Average Market Share'!W8</f>
        <v>1.3041526852385887E-2</v>
      </c>
    </row>
    <row r="25" spans="2:7">
      <c r="B25" s="86" t="str">
        <f>'Average Market Share'!A9</f>
        <v>Condensing Gas</v>
      </c>
      <c r="C25" s="87">
        <f>'Average Market Share'!C9</f>
        <v>8.5575291355838557E-6</v>
      </c>
      <c r="D25" s="87">
        <f>'Average Market Share'!H9</f>
        <v>3.6578804397132249E-4</v>
      </c>
      <c r="E25" s="87">
        <f>'Average Market Share'!M9</f>
        <v>3.5748431362973591E-3</v>
      </c>
      <c r="F25" s="87">
        <f>'Average Market Share'!R9</f>
        <v>1.7157315230849089E-2</v>
      </c>
      <c r="G25" s="88">
        <f>'Average Market Share'!W9</f>
        <v>4.8635807917833597E-2</v>
      </c>
    </row>
    <row r="26" spans="2:7">
      <c r="B26" s="97"/>
      <c r="C26" s="84"/>
      <c r="D26" s="84"/>
      <c r="E26" s="84"/>
      <c r="F26" s="84"/>
      <c r="G26" s="84"/>
    </row>
    <row r="27" spans="2:7" ht="33.75" customHeight="1">
      <c r="B27" s="178" t="str">
        <f>CONCATENATE("Least Cost Case Average Market Shares (%) - ",State,", Single Family, ", SpaceHeat, ", ", TankSize,", ", StartWH, " is starting water heater")</f>
        <v>Least Cost Case Average Market Shares (%) - Oregon, Single Family, Gas FAF, &lt;=55 Gallons, Electric Resistance is starting water heater</v>
      </c>
      <c r="C27" s="179"/>
      <c r="D27" s="179"/>
      <c r="E27" s="179"/>
      <c r="F27" s="179"/>
      <c r="G27" s="179"/>
    </row>
    <row r="28" spans="2:7">
      <c r="B28" s="81" t="s">
        <v>83</v>
      </c>
      <c r="C28" s="89">
        <v>2015</v>
      </c>
      <c r="D28" s="89">
        <v>2020</v>
      </c>
      <c r="E28" s="89">
        <v>2025</v>
      </c>
      <c r="F28" s="89">
        <v>2030</v>
      </c>
      <c r="G28" s="94">
        <v>2035</v>
      </c>
    </row>
    <row r="29" spans="2:7">
      <c r="B29" s="83" t="str">
        <f>'Average Market Share'!A13</f>
        <v>Electric Resistance</v>
      </c>
      <c r="C29" s="84">
        <f>'Average Market Share'!C13</f>
        <v>0.9285714285714286</v>
      </c>
      <c r="D29" s="84">
        <f>'Average Market Share'!H13</f>
        <v>0.64104999298761567</v>
      </c>
      <c r="E29" s="84">
        <f>'Average Market Share'!M13</f>
        <v>0.44255625454860847</v>
      </c>
      <c r="F29" s="84">
        <f>'Average Market Share'!R13</f>
        <v>0.30552381340385787</v>
      </c>
      <c r="G29" s="85">
        <f>'Average Market Share'!W13</f>
        <v>0.2109218875508691</v>
      </c>
    </row>
    <row r="30" spans="2:7">
      <c r="B30" s="83" t="str">
        <f>'Average Market Share'!A14</f>
        <v>HPWH</v>
      </c>
      <c r="C30" s="84">
        <f>'Average Market Share'!C14</f>
        <v>0</v>
      </c>
      <c r="D30" s="84">
        <f>'Average Market Share'!H14</f>
        <v>0</v>
      </c>
      <c r="E30" s="84">
        <f>'Average Market Share'!M14</f>
        <v>0</v>
      </c>
      <c r="F30" s="84">
        <f>'Average Market Share'!R14</f>
        <v>0</v>
      </c>
      <c r="G30" s="85">
        <f>'Average Market Share'!W14</f>
        <v>0</v>
      </c>
    </row>
    <row r="31" spans="2:7">
      <c r="B31" s="83" t="str">
        <f>'Average Market Share'!A15</f>
        <v>Gas Tank</v>
      </c>
      <c r="C31" s="84">
        <f>'Average Market Share'!C15</f>
        <v>7.1428571428571425E-2</v>
      </c>
      <c r="D31" s="84">
        <f>'Average Market Share'!H15</f>
        <v>0.35895000701238428</v>
      </c>
      <c r="E31" s="84">
        <f>'Average Market Share'!M15</f>
        <v>0.55744374545139164</v>
      </c>
      <c r="F31" s="84">
        <f>'Average Market Share'!R15</f>
        <v>0.69447618659614208</v>
      </c>
      <c r="G31" s="85">
        <f>'Average Market Share'!W15</f>
        <v>0.78907811244913084</v>
      </c>
    </row>
    <row r="32" spans="2:7">
      <c r="B32" s="83" t="str">
        <f>'Average Market Share'!A16</f>
        <v>Instant Gas</v>
      </c>
      <c r="C32" s="84">
        <f>'Average Market Share'!C16</f>
        <v>0</v>
      </c>
      <c r="D32" s="84">
        <f>'Average Market Share'!H16</f>
        <v>0</v>
      </c>
      <c r="E32" s="84">
        <f>'Average Market Share'!M16</f>
        <v>0</v>
      </c>
      <c r="F32" s="84">
        <f>'Average Market Share'!R16</f>
        <v>0</v>
      </c>
      <c r="G32" s="85">
        <f>'Average Market Share'!W16</f>
        <v>0</v>
      </c>
    </row>
    <row r="33" spans="2:7">
      <c r="B33" s="86" t="str">
        <f>'Average Market Share'!A17</f>
        <v>Condensing Gas</v>
      </c>
      <c r="C33" s="87">
        <f>'Average Market Share'!C17</f>
        <v>0</v>
      </c>
      <c r="D33" s="87">
        <f>'Average Market Share'!H17</f>
        <v>0</v>
      </c>
      <c r="E33" s="87">
        <f>'Average Market Share'!M17</f>
        <v>0</v>
      </c>
      <c r="F33" s="87">
        <f>'Average Market Share'!R17</f>
        <v>0</v>
      </c>
      <c r="G33" s="88">
        <f>'Average Market Share'!W17</f>
        <v>0</v>
      </c>
    </row>
    <row r="34" spans="2:7">
      <c r="B34" s="45"/>
      <c r="C34" s="80"/>
      <c r="D34" s="96"/>
    </row>
    <row r="35" spans="2:7" ht="34.5" customHeight="1">
      <c r="B35" s="178" t="str">
        <f>CONCATENATE("Change in Natural Gas Usage Least Cost vs BAU Case (tBtu) - ",State,", Single Family, ", SpaceHeat, ", ", TankSize,", ", StartWH, " is starting water heater")</f>
        <v>Change in Natural Gas Usage Least Cost vs BAU Case (tBtu) - Oregon, Single Family, Gas FAF, &lt;=55 Gallons, Electric Resistance is starting water heater</v>
      </c>
      <c r="C35" s="179"/>
      <c r="D35" s="179"/>
      <c r="E35" s="179"/>
      <c r="F35" s="179"/>
      <c r="G35" s="179"/>
    </row>
    <row r="36" spans="2:7">
      <c r="B36" s="81"/>
      <c r="C36" s="89">
        <v>2015</v>
      </c>
      <c r="D36" s="89">
        <v>2020</v>
      </c>
      <c r="E36" s="89">
        <v>2025</v>
      </c>
      <c r="F36" s="89">
        <v>2030</v>
      </c>
      <c r="G36" s="94">
        <v>2035</v>
      </c>
    </row>
    <row r="37" spans="2:7">
      <c r="B37" s="83" t="s">
        <v>166</v>
      </c>
      <c r="C37" s="133">
        <f>'Net Reduction in Gas'!C5</f>
        <v>0.11629096586315203</v>
      </c>
      <c r="D37" s="133">
        <f>'Net Reduction in Gas'!H5</f>
        <v>0.58380091825348168</v>
      </c>
      <c r="E37" s="133">
        <f>'Net Reduction in Gas'!M5</f>
        <v>0.90456945201360417</v>
      </c>
      <c r="F37" s="133">
        <f>'Net Reduction in Gas'!R5</f>
        <v>1.1201349377181544</v>
      </c>
      <c r="G37" s="134">
        <f>'Net Reduction in Gas'!W5</f>
        <v>1.2578209585443432</v>
      </c>
    </row>
    <row r="38" spans="2:7">
      <c r="B38" s="83" t="s">
        <v>165</v>
      </c>
      <c r="C38" s="133">
        <f>-'Net Reduction in Gas'!C6</f>
        <v>-0.14551758050348951</v>
      </c>
      <c r="D38" s="133">
        <f>-'Net Reduction in Gas'!H6</f>
        <v>-0.72964831780555239</v>
      </c>
      <c r="E38" s="133">
        <f>-'Net Reduction in Gas'!M6</f>
        <v>-1.1224512374145501</v>
      </c>
      <c r="F38" s="133">
        <f>-'Net Reduction in Gas'!R6</f>
        <v>-1.3558858502610498</v>
      </c>
      <c r="G38" s="134">
        <f>-'Net Reduction in Gas'!W6</f>
        <v>-1.4445277744296363</v>
      </c>
    </row>
    <row r="39" spans="2:7">
      <c r="B39" s="86" t="s">
        <v>154</v>
      </c>
      <c r="C39" s="132">
        <f>'Net Reduction in Gas'!C7</f>
        <v>-2.9226614640337475E-2</v>
      </c>
      <c r="D39" s="132">
        <f>'Net Reduction in Gas'!H7</f>
        <v>-0.14584739955207071</v>
      </c>
      <c r="E39" s="132">
        <f>'Net Reduction in Gas'!M7</f>
        <v>-0.21788178540094594</v>
      </c>
      <c r="F39" s="132">
        <f>'Net Reduction in Gas'!R7</f>
        <v>-0.23575091254289537</v>
      </c>
      <c r="G39" s="135">
        <f>'Net Reduction in Gas'!W7</f>
        <v>-0.18670681588529314</v>
      </c>
    </row>
    <row r="40" spans="2:7">
      <c r="B40" s="97"/>
      <c r="C40" s="84"/>
      <c r="D40" s="84"/>
      <c r="E40" s="84"/>
      <c r="F40" s="84"/>
      <c r="G40" s="84"/>
    </row>
    <row r="41" spans="2:7" ht="36" customHeight="1">
      <c r="B41" s="180" t="str">
        <f>CONCATENATE("Change in Total Resource Cost due to Direct Use of Natural Gas in Least Cost vs BAU Case (2012 M$) - ",State,", Single Family, ", SpaceHeat, ", ", TankSize,", ", StartWH, " is starting water heater")</f>
        <v>Change in Total Resource Cost due to Direct Use of Natural Gas in Least Cost vs BAU Case (2012 M$) - Oregon, Single Family, Gas FAF, &lt;=55 Gallons, Electric Resistance is starting water heater</v>
      </c>
      <c r="C41" s="181"/>
      <c r="D41" s="181"/>
      <c r="E41" s="181"/>
      <c r="F41" s="181"/>
      <c r="G41" s="181"/>
    </row>
    <row r="42" spans="2:7" ht="31.5">
      <c r="B42" s="66" t="s">
        <v>77</v>
      </c>
      <c r="C42" s="137" t="str">
        <f>'Total Resource Cost'!B4</f>
        <v>NPV (2012 M$)</v>
      </c>
      <c r="D42" s="17"/>
      <c r="E42" s="17"/>
      <c r="F42" s="17"/>
    </row>
    <row r="43" spans="2:7">
      <c r="B43" s="167" t="str">
        <f>'Total Resource Cost'!A5</f>
        <v>Consumer Cost Reduction</v>
      </c>
      <c r="C43" s="168">
        <f>'Consumer Cost'!B7</f>
        <v>80.745641400925365</v>
      </c>
      <c r="D43" s="166"/>
      <c r="E43" s="166"/>
      <c r="F43" s="2"/>
    </row>
    <row r="44" spans="2:7">
      <c r="B44" s="167" t="str">
        <f>'Total Resource Cost'!A6</f>
        <v>Utility Cost Reduction</v>
      </c>
      <c r="C44" s="134">
        <f>'Utility Cost'!B4</f>
        <v>67.475210944312948</v>
      </c>
      <c r="D44" s="131"/>
    </row>
    <row r="45" spans="2:7">
      <c r="B45" s="169" t="str">
        <f>'Total Resource Cost'!A7</f>
        <v>Total Resource Cost Reduction</v>
      </c>
      <c r="C45" s="135">
        <f>'Total Resource Cost'!B7</f>
        <v>148.22085234523834</v>
      </c>
    </row>
  </sheetData>
  <mergeCells count="6">
    <mergeCell ref="B3:F3"/>
    <mergeCell ref="B35:G35"/>
    <mergeCell ref="B27:G27"/>
    <mergeCell ref="B41:G41"/>
    <mergeCell ref="B19:G19"/>
    <mergeCell ref="B11:F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W13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 ht="24" customHeight="1">
      <c r="A3" s="26" t="s">
        <v>30</v>
      </c>
    </row>
    <row r="4" spans="1:23" s="23" customFormat="1">
      <c r="A4" s="25" t="str">
        <f>+'Device Energy Use'!A4</f>
        <v>Water Heat Ending</v>
      </c>
      <c r="B4" s="21">
        <f>+'Fuel Cost'!B4</f>
        <v>2014</v>
      </c>
      <c r="C4" s="21">
        <f>+'Fuel Cost'!C4</f>
        <v>2015</v>
      </c>
      <c r="D4" s="21">
        <f>+'Fuel Cost'!D4</f>
        <v>2016</v>
      </c>
      <c r="E4" s="21">
        <f>+'Fuel Cost'!E4</f>
        <v>2017</v>
      </c>
      <c r="F4" s="21">
        <f>+'Fuel Cost'!F4</f>
        <v>2018</v>
      </c>
      <c r="G4" s="21">
        <f>+'Fuel Cost'!G4</f>
        <v>2019</v>
      </c>
      <c r="H4" s="21">
        <f>+'Fuel Cost'!H4</f>
        <v>2020</v>
      </c>
      <c r="I4" s="21">
        <f>+'Fuel Cost'!I4</f>
        <v>2021</v>
      </c>
      <c r="J4" s="21">
        <f>+'Fuel Cost'!J4</f>
        <v>2022</v>
      </c>
      <c r="K4" s="21">
        <f>+'Fuel Cost'!K4</f>
        <v>2023</v>
      </c>
      <c r="L4" s="21">
        <f>+'Fuel Cost'!L4</f>
        <v>2024</v>
      </c>
      <c r="M4" s="21">
        <f>+'Fuel Cost'!M4</f>
        <v>2025</v>
      </c>
      <c r="N4" s="21">
        <f>+'Fuel Cost'!N4</f>
        <v>2026</v>
      </c>
      <c r="O4" s="21">
        <f>+'Fuel Cost'!O4</f>
        <v>2027</v>
      </c>
      <c r="P4" s="21">
        <f>+'Fuel Cost'!P4</f>
        <v>2028</v>
      </c>
      <c r="Q4" s="21">
        <f>+'Fuel Cost'!Q4</f>
        <v>2029</v>
      </c>
      <c r="R4" s="21">
        <f>+'Fuel Cost'!R4</f>
        <v>2030</v>
      </c>
      <c r="S4" s="21">
        <f>+'Fuel Cost'!S4</f>
        <v>2031</v>
      </c>
      <c r="T4" s="21">
        <f>+'Fuel Cost'!T4</f>
        <v>2032</v>
      </c>
      <c r="U4" s="21">
        <f>+'Fuel Cost'!U4</f>
        <v>2033</v>
      </c>
      <c r="V4" s="21">
        <f>+'Fuel Cost'!V4</f>
        <v>2034</v>
      </c>
      <c r="W4" s="21">
        <f>+'Fuel Cost'!W4</f>
        <v>2035</v>
      </c>
    </row>
    <row r="5" spans="1:23">
      <c r="A5" s="9" t="str">
        <f>+'Device Energy Use'!A5</f>
        <v>Electric Resistance</v>
      </c>
      <c r="B5" s="28">
        <f>'Capital Cost'!$E5*CapitalChargeRate+'Fuel Cost'!B5 + 'O&amp;M Cost'!$D5</f>
        <v>404.83724198892946</v>
      </c>
      <c r="C5" s="28">
        <f>'Capital Cost'!$E5*CapitalChargeRate+'Fuel Cost'!C5 + 'O&amp;M Cost'!$D5</f>
        <v>409.22665833706503</v>
      </c>
      <c r="D5" s="28">
        <f>'Capital Cost'!$E5*CapitalChargeRate+'Fuel Cost'!D5 + 'O&amp;M Cost'!$D5</f>
        <v>413.67313709772645</v>
      </c>
      <c r="E5" s="28">
        <f>'Capital Cost'!$E5*CapitalChargeRate+'Fuel Cost'!E5 + 'O&amp;M Cost'!$D5</f>
        <v>418.17742008227651</v>
      </c>
      <c r="F5" s="28">
        <f>'Capital Cost'!$E5*CapitalChargeRate+'Fuel Cost'!F5 + 'O&amp;M Cost'!$D5</f>
        <v>422.74025874562562</v>
      </c>
      <c r="G5" s="28">
        <f>'Capital Cost'!$E5*CapitalChargeRate+'Fuel Cost'!G5 + 'O&amp;M Cost'!$D5</f>
        <v>427.36241431159829</v>
      </c>
      <c r="H5" s="28">
        <f>'Capital Cost'!$E5*CapitalChargeRate+'Fuel Cost'!H5 + 'O&amp;M Cost'!$D5</f>
        <v>432.04465789992867</v>
      </c>
      <c r="I5" s="28">
        <f>'Capital Cost'!$E5*CapitalChargeRate+'Fuel Cost'!I5 + 'O&amp;M Cost'!$D5</f>
        <v>436.78777065490715</v>
      </c>
      <c r="J5" s="28">
        <f>'Capital Cost'!$E5*CapitalChargeRate+'Fuel Cost'!J5 + 'O&amp;M Cost'!$D5</f>
        <v>441.59254387570047</v>
      </c>
      <c r="K5" s="28">
        <f>'Capital Cost'!$E5*CapitalChargeRate+'Fuel Cost'!K5 + 'O&amp;M Cost'!$D5</f>
        <v>446.45977914836419</v>
      </c>
      <c r="L5" s="28">
        <f>'Capital Cost'!$E5*CapitalChargeRate+'Fuel Cost'!L5 + 'O&amp;M Cost'!$D5</f>
        <v>451.39028847957252</v>
      </c>
      <c r="M5" s="28">
        <f>'Capital Cost'!$E5*CapitalChargeRate+'Fuel Cost'!M5 + 'O&amp;M Cost'!$D5</f>
        <v>456.38489443208653</v>
      </c>
      <c r="N5" s="28">
        <f>'Capital Cost'!$E5*CapitalChargeRate+'Fuel Cost'!N5 + 'O&amp;M Cost'!$D5</f>
        <v>461.44443026198314</v>
      </c>
      <c r="O5" s="28">
        <f>'Capital Cost'!$E5*CapitalChargeRate+'Fuel Cost'!O5 + 'O&amp;M Cost'!$D5</f>
        <v>466.56974005766847</v>
      </c>
      <c r="P5" s="28">
        <f>'Capital Cost'!$E5*CapitalChargeRate+'Fuel Cost'!P5 + 'O&amp;M Cost'!$D5</f>
        <v>471.76167888069767</v>
      </c>
      <c r="Q5" s="28">
        <f>'Capital Cost'!$E5*CapitalChargeRate+'Fuel Cost'!Q5 + 'O&amp;M Cost'!$D5</f>
        <v>477.02111290842629</v>
      </c>
      <c r="R5" s="28">
        <f>'Capital Cost'!$E5*CapitalChargeRate+'Fuel Cost'!R5 + 'O&amp;M Cost'!$D5</f>
        <v>482.34891957851539</v>
      </c>
      <c r="S5" s="28">
        <f>'Capital Cost'!$E5*CapitalChargeRate+'Fuel Cost'!S5 + 'O&amp;M Cost'!$D5</f>
        <v>487.74598773531568</v>
      </c>
      <c r="T5" s="28">
        <f>'Capital Cost'!$E5*CapitalChargeRate+'Fuel Cost'!T5 + 'O&amp;M Cost'!$D5</f>
        <v>493.21321777815433</v>
      </c>
      <c r="U5" s="28">
        <f>'Capital Cost'!$E5*CapitalChargeRate+'Fuel Cost'!U5 + 'O&amp;M Cost'!$D5</f>
        <v>498.75152181154988</v>
      </c>
      <c r="V5" s="28">
        <f>'Capital Cost'!$E5*CapitalChargeRate+'Fuel Cost'!V5 + 'O&amp;M Cost'!$D5</f>
        <v>504.36182379737954</v>
      </c>
      <c r="W5" s="28">
        <f>'Capital Cost'!$E5*CapitalChargeRate+'Fuel Cost'!W5 + 'O&amp;M Cost'!$D5</f>
        <v>510.04505970902505</v>
      </c>
    </row>
    <row r="6" spans="1:23">
      <c r="A6" s="9" t="str">
        <f>+'Device Energy Use'!A6</f>
        <v>HPWH</v>
      </c>
      <c r="B6" s="28">
        <f>'Capital Cost'!$E6*CapitalChargeRate+'Fuel Cost'!B6 + 'O&amp;M Cost'!$D6</f>
        <v>335.29799962258528</v>
      </c>
      <c r="C6" s="28">
        <f>'Capital Cost'!$E6*CapitalChargeRate+'Fuel Cost'!C6 + 'O&amp;M Cost'!$D6</f>
        <v>337.38297238794974</v>
      </c>
      <c r="D6" s="28">
        <f>'Capital Cost'!$E6*CapitalChargeRate+'Fuel Cost'!D6 + 'O&amp;M Cost'!$D6</f>
        <v>339.49504979926382</v>
      </c>
      <c r="E6" s="28">
        <f>'Capital Cost'!$E6*CapitalChargeRate+'Fuel Cost'!E6 + 'O&amp;M Cost'!$D6</f>
        <v>341.63458421692508</v>
      </c>
      <c r="F6" s="28">
        <f>'Capital Cost'!$E6*CapitalChargeRate+'Fuel Cost'!F6 + 'O&amp;M Cost'!$D6</f>
        <v>343.80193258201598</v>
      </c>
      <c r="G6" s="28">
        <f>'Capital Cost'!$E6*CapitalChargeRate+'Fuel Cost'!G6 + 'O&amp;M Cost'!$D6</f>
        <v>345.99745647585303</v>
      </c>
      <c r="H6" s="28">
        <f>'Capital Cost'!$E6*CapitalChargeRate+'Fuel Cost'!H6 + 'O&amp;M Cost'!$D6</f>
        <v>348.22152218030988</v>
      </c>
      <c r="I6" s="28">
        <f>'Capital Cost'!$E6*CapitalChargeRate+'Fuel Cost'!I6 + 'O&amp;M Cost'!$D6</f>
        <v>350.47450073892469</v>
      </c>
      <c r="J6" s="28">
        <f>'Capital Cost'!$E6*CapitalChargeRate+'Fuel Cost'!J6 + 'O&amp;M Cost'!$D6</f>
        <v>352.75676801880155</v>
      </c>
      <c r="K6" s="28">
        <f>'Capital Cost'!$E6*CapitalChargeRate+'Fuel Cost'!K6 + 'O&amp;M Cost'!$D6</f>
        <v>355.06870477331677</v>
      </c>
      <c r="L6" s="28">
        <f>'Capital Cost'!$E6*CapitalChargeRate+'Fuel Cost'!L6 + 'O&amp;M Cost'!$D6</f>
        <v>357.4106967056407</v>
      </c>
      <c r="M6" s="28">
        <f>'Capital Cost'!$E6*CapitalChargeRate+'Fuel Cost'!M6 + 'O&amp;M Cost'!$D6</f>
        <v>359.78313453308488</v>
      </c>
      <c r="N6" s="28">
        <f>'Capital Cost'!$E6*CapitalChargeRate+'Fuel Cost'!N6 + 'O&amp;M Cost'!$D6</f>
        <v>362.18641405228578</v>
      </c>
      <c r="O6" s="28">
        <f>'Capital Cost'!$E6*CapitalChargeRate+'Fuel Cost'!O6 + 'O&amp;M Cost'!$D6</f>
        <v>364.62093620523632</v>
      </c>
      <c r="P6" s="28">
        <f>'Capital Cost'!$E6*CapitalChargeRate+'Fuel Cost'!P6 + 'O&amp;M Cost'!$D6</f>
        <v>367.08710714617519</v>
      </c>
      <c r="Q6" s="28">
        <f>'Capital Cost'!$E6*CapitalChargeRate+'Fuel Cost'!Q6 + 'O&amp;M Cost'!$D6</f>
        <v>369.5853383093463</v>
      </c>
      <c r="R6" s="28">
        <f>'Capital Cost'!$E6*CapitalChargeRate+'Fuel Cost'!R6 + 'O&amp;M Cost'!$D6</f>
        <v>372.11604647763863</v>
      </c>
      <c r="S6" s="28">
        <f>'Capital Cost'!$E6*CapitalChargeRate+'Fuel Cost'!S6 + 'O&amp;M Cost'!$D6</f>
        <v>374.67965385211875</v>
      </c>
      <c r="T6" s="28">
        <f>'Capital Cost'!$E6*CapitalChargeRate+'Fuel Cost'!T6 + 'O&amp;M Cost'!$D6</f>
        <v>377.27658812246705</v>
      </c>
      <c r="U6" s="28">
        <f>'Capital Cost'!$E6*CapitalChargeRate+'Fuel Cost'!U6 + 'O&amp;M Cost'!$D6</f>
        <v>379.90728253832992</v>
      </c>
      <c r="V6" s="28">
        <f>'Capital Cost'!$E6*CapitalChargeRate+'Fuel Cost'!V6 + 'O&amp;M Cost'!$D6</f>
        <v>382.57217598159912</v>
      </c>
      <c r="W6" s="28">
        <f>'Capital Cost'!$E6*CapitalChargeRate+'Fuel Cost'!W6 + 'O&amp;M Cost'!$D6</f>
        <v>385.27171303963064</v>
      </c>
    </row>
    <row r="7" spans="1:23">
      <c r="A7" s="9" t="str">
        <f>+'Device Energy Use'!A7</f>
        <v>Gas Tank</v>
      </c>
      <c r="B7" s="28">
        <f>'Capital Cost'!$E7*CapitalChargeRate+'Fuel Cost'!B7 + 'O&amp;M Cost'!$D7</f>
        <v>286.98914186170344</v>
      </c>
      <c r="C7" s="28">
        <f>'Capital Cost'!$E7*CapitalChargeRate+'Fuel Cost'!C7 + 'O&amp;M Cost'!$D7</f>
        <v>289.92979503255253</v>
      </c>
      <c r="D7" s="28">
        <f>'Capital Cost'!$E7*CapitalChargeRate+'Fuel Cost'!D7 + 'O&amp;M Cost'!$D7</f>
        <v>292.91455800096429</v>
      </c>
      <c r="E7" s="28">
        <f>'Capital Cost'!$E7*CapitalChargeRate+'Fuel Cost'!E7 + 'O&amp;M Cost'!$D7</f>
        <v>295.94409241390224</v>
      </c>
      <c r="F7" s="28">
        <f>'Capital Cost'!$E7*CapitalChargeRate+'Fuel Cost'!F7 + 'O&amp;M Cost'!$D7</f>
        <v>299.01906984303423</v>
      </c>
      <c r="G7" s="28">
        <f>'Capital Cost'!$E7*CapitalChargeRate+'Fuel Cost'!G7 + 'O&amp;M Cost'!$D7</f>
        <v>302.14017193360326</v>
      </c>
      <c r="H7" s="28">
        <f>'Capital Cost'!$E7*CapitalChargeRate+'Fuel Cost'!H7 + 'O&amp;M Cost'!$D7</f>
        <v>305.30809055553084</v>
      </c>
      <c r="I7" s="28">
        <f>'Capital Cost'!$E7*CapitalChargeRate+'Fuel Cost'!I7 + 'O&amp;M Cost'!$D7</f>
        <v>308.52352795678723</v>
      </c>
      <c r="J7" s="28">
        <f>'Capital Cost'!$E7*CapitalChargeRate+'Fuel Cost'!J7 + 'O&amp;M Cost'!$D7</f>
        <v>311.78719691906258</v>
      </c>
      <c r="K7" s="28">
        <f>'Capital Cost'!$E7*CapitalChargeRate+'Fuel Cost'!K7 + 'O&amp;M Cost'!$D7</f>
        <v>315.09982091577194</v>
      </c>
      <c r="L7" s="28">
        <f>'Capital Cost'!$E7*CapitalChargeRate+'Fuel Cost'!L7 + 'O&amp;M Cost'!$D7</f>
        <v>318.46213427243202</v>
      </c>
      <c r="M7" s="28">
        <f>'Capital Cost'!$E7*CapitalChargeRate+'Fuel Cost'!M7 + 'O&amp;M Cost'!$D7</f>
        <v>321.87488232944202</v>
      </c>
      <c r="N7" s="28">
        <f>'Capital Cost'!$E7*CapitalChargeRate+'Fuel Cost'!N7 + 'O&amp;M Cost'!$D7</f>
        <v>325.33882160730707</v>
      </c>
      <c r="O7" s="28">
        <f>'Capital Cost'!$E7*CapitalChargeRate+'Fuel Cost'!O7 + 'O&amp;M Cost'!$D7</f>
        <v>328.85471997434018</v>
      </c>
      <c r="P7" s="28">
        <f>'Capital Cost'!$E7*CapitalChargeRate+'Fuel Cost'!P7 + 'O&amp;M Cost'!$D7</f>
        <v>332.42335681687882</v>
      </c>
      <c r="Q7" s="28">
        <f>'Capital Cost'!$E7*CapitalChargeRate+'Fuel Cost'!Q7 + 'O&amp;M Cost'!$D7</f>
        <v>336.04552321205546</v>
      </c>
      <c r="R7" s="28">
        <f>'Capital Cost'!$E7*CapitalChargeRate+'Fuel Cost'!R7 + 'O&amp;M Cost'!$D7</f>
        <v>339.72202210315976</v>
      </c>
      <c r="S7" s="28">
        <f>'Capital Cost'!$E7*CapitalChargeRate+'Fuel Cost'!S7 + 'O&amp;M Cost'!$D7</f>
        <v>343.45366847763063</v>
      </c>
      <c r="T7" s="28">
        <f>'Capital Cost'!$E7*CapitalChargeRate+'Fuel Cost'!T7 + 'O&amp;M Cost'!$D7</f>
        <v>347.24128954771857</v>
      </c>
      <c r="U7" s="28">
        <f>'Capital Cost'!$E7*CapitalChargeRate+'Fuel Cost'!U7 + 'O&amp;M Cost'!$D7</f>
        <v>351.08572493385782</v>
      </c>
      <c r="V7" s="28">
        <f>'Capital Cost'!$E7*CapitalChargeRate+'Fuel Cost'!V7 + 'O&amp;M Cost'!$D7</f>
        <v>354.98782685078913</v>
      </c>
      <c r="W7" s="28">
        <f>'Capital Cost'!$E7*CapitalChargeRate+'Fuel Cost'!W7 + 'O&amp;M Cost'!$D7</f>
        <v>358.94846029647448</v>
      </c>
    </row>
    <row r="8" spans="1:23">
      <c r="A8" s="9" t="str">
        <f>+'Device Energy Use'!A8</f>
        <v>Instant Gas</v>
      </c>
      <c r="B8" s="28">
        <f>'Capital Cost'!$E8*CapitalChargeRate+'Fuel Cost'!B8 + 'O&amp;M Cost'!$D8</f>
        <v>592.92769131170644</v>
      </c>
      <c r="C8" s="28">
        <f>'Capital Cost'!$E8*CapitalChargeRate+'Fuel Cost'!C8 + 'O&amp;M Cost'!$D8</f>
        <v>595.15911243185587</v>
      </c>
      <c r="D8" s="28">
        <f>'Capital Cost'!$E8*CapitalChargeRate+'Fuel Cost'!D8 + 'O&amp;M Cost'!$D8</f>
        <v>597.42400486880751</v>
      </c>
      <c r="E8" s="28">
        <f>'Capital Cost'!$E8*CapitalChargeRate+'Fuel Cost'!E8 + 'O&amp;M Cost'!$D8</f>
        <v>599.72287069231334</v>
      </c>
      <c r="F8" s="28">
        <f>'Capital Cost'!$E8*CapitalChargeRate+'Fuel Cost'!F8 + 'O&amp;M Cost'!$D8</f>
        <v>602.05621950317186</v>
      </c>
      <c r="G8" s="28">
        <f>'Capital Cost'!$E8*CapitalChargeRate+'Fuel Cost'!G8 + 'O&amp;M Cost'!$D8</f>
        <v>604.42456854619331</v>
      </c>
      <c r="H8" s="28">
        <f>'Capital Cost'!$E8*CapitalChargeRate+'Fuel Cost'!H8 + 'O&amp;M Cost'!$D8</f>
        <v>606.82844282486008</v>
      </c>
      <c r="I8" s="28">
        <f>'Capital Cost'!$E8*CapitalChargeRate+'Fuel Cost'!I8 + 'O&amp;M Cost'!$D8</f>
        <v>609.26837521770676</v>
      </c>
      <c r="J8" s="28">
        <f>'Capital Cost'!$E8*CapitalChargeRate+'Fuel Cost'!J8 + 'O&amp;M Cost'!$D8</f>
        <v>611.7449065964463</v>
      </c>
      <c r="K8" s="28">
        <f>'Capital Cost'!$E8*CapitalChargeRate+'Fuel Cost'!K8 + 'O&amp;M Cost'!$D8</f>
        <v>614.2585859458668</v>
      </c>
      <c r="L8" s="28">
        <f>'Capital Cost'!$E8*CapitalChargeRate+'Fuel Cost'!L8 + 'O&amp;M Cost'!$D8</f>
        <v>616.80997048552854</v>
      </c>
      <c r="M8" s="28">
        <f>'Capital Cost'!$E8*CapitalChargeRate+'Fuel Cost'!M8 + 'O&amp;M Cost'!$D8</f>
        <v>619.3996257932854</v>
      </c>
      <c r="N8" s="28">
        <f>'Capital Cost'!$E8*CapitalChargeRate+'Fuel Cost'!N8 + 'O&amp;M Cost'!$D8</f>
        <v>622.02812593065846</v>
      </c>
      <c r="O8" s="28">
        <f>'Capital Cost'!$E8*CapitalChargeRate+'Fuel Cost'!O8 + 'O&amp;M Cost'!$D8</f>
        <v>624.69605357009209</v>
      </c>
      <c r="P8" s="28">
        <f>'Capital Cost'!$E8*CapitalChargeRate+'Fuel Cost'!P8 + 'O&amp;M Cost'!$D8</f>
        <v>627.40400012411737</v>
      </c>
      <c r="Q8" s="28">
        <f>'Capital Cost'!$E8*CapitalChargeRate+'Fuel Cost'!Q8 + 'O&amp;M Cost'!$D8</f>
        <v>630.15256587645285</v>
      </c>
      <c r="R8" s="28">
        <f>'Capital Cost'!$E8*CapitalChargeRate+'Fuel Cost'!R8 + 'O&amp;M Cost'!$D8</f>
        <v>632.9423601150736</v>
      </c>
      <c r="S8" s="28">
        <f>'Capital Cost'!$E8*CapitalChargeRate+'Fuel Cost'!S8 + 'O&amp;M Cost'!$D8</f>
        <v>635.77400126727343</v>
      </c>
      <c r="T8" s="28">
        <f>'Capital Cost'!$E8*CapitalChargeRate+'Fuel Cost'!T8 + 'O&amp;M Cost'!$D8</f>
        <v>638.64811703675628</v>
      </c>
      <c r="U8" s="28">
        <f>'Capital Cost'!$E8*CapitalChargeRate+'Fuel Cost'!U8 + 'O&amp;M Cost'!$D8</f>
        <v>641.56534454278153</v>
      </c>
      <c r="V8" s="28">
        <f>'Capital Cost'!$E8*CapitalChargeRate+'Fuel Cost'!V8 + 'O&amp;M Cost'!$D8</f>
        <v>644.52633046139704</v>
      </c>
      <c r="W8" s="28">
        <f>'Capital Cost'!$E8*CapitalChargeRate+'Fuel Cost'!W8 + 'O&amp;M Cost'!$D8</f>
        <v>647.53173116879179</v>
      </c>
    </row>
    <row r="9" spans="1:23">
      <c r="A9" s="9" t="str">
        <f>+'Device Energy Use'!A9</f>
        <v>Condensing Gas</v>
      </c>
      <c r="B9" s="28">
        <f>'Capital Cost'!$E9*CapitalChargeRate+'Fuel Cost'!B9 + 'O&amp;M Cost'!$D9</f>
        <v>328.3989796674004</v>
      </c>
      <c r="C9" s="28">
        <f>'Capital Cost'!$E9*CapitalChargeRate+'Fuel Cost'!C9 + 'O&amp;M Cost'!$D9</f>
        <v>329.95657650969304</v>
      </c>
      <c r="D9" s="28">
        <f>'Capital Cost'!$E9*CapitalChargeRate+'Fuel Cost'!D9 + 'O&amp;M Cost'!$D9</f>
        <v>331.53753730462006</v>
      </c>
      <c r="E9" s="28">
        <f>'Capital Cost'!$E9*CapitalChargeRate+'Fuel Cost'!E9 + 'O&amp;M Cost'!$D9</f>
        <v>333.14221251147103</v>
      </c>
      <c r="F9" s="28">
        <f>'Capital Cost'!$E9*CapitalChargeRate+'Fuel Cost'!F9 + 'O&amp;M Cost'!$D9</f>
        <v>334.77095784642472</v>
      </c>
      <c r="G9" s="28">
        <f>'Capital Cost'!$E9*CapitalChargeRate+'Fuel Cost'!G9 + 'O&amp;M Cost'!$D9</f>
        <v>336.42413436140271</v>
      </c>
      <c r="H9" s="28">
        <f>'Capital Cost'!$E9*CapitalChargeRate+'Fuel Cost'!H9 + 'O&amp;M Cost'!$D9</f>
        <v>338.1021085241054</v>
      </c>
      <c r="I9" s="28">
        <f>'Capital Cost'!$E9*CapitalChargeRate+'Fuel Cost'!I9 + 'O&amp;M Cost'!$D9</f>
        <v>339.80525229924859</v>
      </c>
      <c r="J9" s="28">
        <f>'Capital Cost'!$E9*CapitalChargeRate+'Fuel Cost'!J9 + 'O&amp;M Cost'!$D9</f>
        <v>341.53394323101895</v>
      </c>
      <c r="K9" s="28">
        <f>'Capital Cost'!$E9*CapitalChargeRate+'Fuel Cost'!K9 + 'O&amp;M Cost'!$D9</f>
        <v>343.28856452676587</v>
      </c>
      <c r="L9" s="28">
        <f>'Capital Cost'!$E9*CapitalChargeRate+'Fuel Cost'!L9 + 'O&amp;M Cost'!$D9</f>
        <v>345.06950514194898</v>
      </c>
      <c r="M9" s="28">
        <f>'Capital Cost'!$E9*CapitalChargeRate+'Fuel Cost'!M9 + 'O&amp;M Cost'!$D9</f>
        <v>346.87715986635988</v>
      </c>
      <c r="N9" s="28">
        <f>'Capital Cost'!$E9*CapitalChargeRate+'Fuel Cost'!N9 + 'O&amp;M Cost'!$D9</f>
        <v>348.7119294116369</v>
      </c>
      <c r="O9" s="28">
        <f>'Capital Cost'!$E9*CapitalChargeRate+'Fuel Cost'!O9 + 'O&amp;M Cost'!$D9</f>
        <v>350.57422050009308</v>
      </c>
      <c r="P9" s="28">
        <f>'Capital Cost'!$E9*CapitalChargeRate+'Fuel Cost'!P9 + 'O&amp;M Cost'!$D9</f>
        <v>352.46444595487606</v>
      </c>
      <c r="Q9" s="28">
        <f>'Capital Cost'!$E9*CapitalChargeRate+'Fuel Cost'!Q9 + 'O&amp;M Cost'!$D9</f>
        <v>354.38302479148086</v>
      </c>
      <c r="R9" s="28">
        <f>'Capital Cost'!$E9*CapitalChargeRate+'Fuel Cost'!R9 + 'O&amp;M Cost'!$D9</f>
        <v>356.33038231063472</v>
      </c>
      <c r="S9" s="28">
        <f>'Capital Cost'!$E9*CapitalChargeRate+'Fuel Cost'!S9 + 'O&amp;M Cost'!$D9</f>
        <v>358.30695019257587</v>
      </c>
      <c r="T9" s="28">
        <f>'Capital Cost'!$E9*CapitalChargeRate+'Fuel Cost'!T9 + 'O&amp;M Cost'!$D9</f>
        <v>360.31316659274609</v>
      </c>
      <c r="U9" s="28">
        <f>'Capital Cost'!$E9*CapitalChargeRate+'Fuel Cost'!U9 + 'O&amp;M Cost'!$D9</f>
        <v>362.3494762389189</v>
      </c>
      <c r="V9" s="28">
        <f>'Capital Cost'!$E9*CapitalChargeRate+'Fuel Cost'!V9 + 'O&amp;M Cost'!$D9</f>
        <v>364.41633052978432</v>
      </c>
      <c r="W9" s="28">
        <f>'Capital Cost'!$E9*CapitalChargeRate+'Fuel Cost'!W9 + 'O&amp;M Cost'!$D9</f>
        <v>366.51418763501272</v>
      </c>
    </row>
    <row r="11" spans="1:23">
      <c r="A11" s="29" t="s">
        <v>93</v>
      </c>
    </row>
    <row r="13" spans="1:23">
      <c r="A13" s="9" t="s">
        <v>97</v>
      </c>
      <c r="B13" s="28">
        <f t="shared" ref="B13:W13" si="0">MIN(B5:B9)</f>
        <v>286.98914186170344</v>
      </c>
      <c r="C13" s="28">
        <f t="shared" si="0"/>
        <v>289.92979503255253</v>
      </c>
      <c r="D13" s="28">
        <f t="shared" si="0"/>
        <v>292.91455800096429</v>
      </c>
      <c r="E13" s="28">
        <f t="shared" si="0"/>
        <v>295.94409241390224</v>
      </c>
      <c r="F13" s="28">
        <f t="shared" si="0"/>
        <v>299.01906984303423</v>
      </c>
      <c r="G13" s="28">
        <f t="shared" si="0"/>
        <v>302.14017193360326</v>
      </c>
      <c r="H13" s="28">
        <f t="shared" si="0"/>
        <v>305.30809055553084</v>
      </c>
      <c r="I13" s="28">
        <f t="shared" si="0"/>
        <v>308.52352795678723</v>
      </c>
      <c r="J13" s="28">
        <f t="shared" si="0"/>
        <v>311.78719691906258</v>
      </c>
      <c r="K13" s="28">
        <f t="shared" si="0"/>
        <v>315.09982091577194</v>
      </c>
      <c r="L13" s="28">
        <f t="shared" si="0"/>
        <v>318.46213427243202</v>
      </c>
      <c r="M13" s="28">
        <f t="shared" si="0"/>
        <v>321.87488232944202</v>
      </c>
      <c r="N13" s="28">
        <f t="shared" si="0"/>
        <v>325.33882160730707</v>
      </c>
      <c r="O13" s="28">
        <f t="shared" si="0"/>
        <v>328.85471997434018</v>
      </c>
      <c r="P13" s="28">
        <f t="shared" si="0"/>
        <v>332.42335681687882</v>
      </c>
      <c r="Q13" s="28">
        <f t="shared" si="0"/>
        <v>336.04552321205546</v>
      </c>
      <c r="R13" s="28">
        <f t="shared" si="0"/>
        <v>339.72202210315976</v>
      </c>
      <c r="S13" s="28">
        <f t="shared" si="0"/>
        <v>343.45366847763063</v>
      </c>
      <c r="T13" s="28">
        <f t="shared" si="0"/>
        <v>347.24128954771857</v>
      </c>
      <c r="U13" s="28">
        <f t="shared" si="0"/>
        <v>351.08572493385782</v>
      </c>
      <c r="V13" s="28">
        <f t="shared" si="0"/>
        <v>354.98782685078913</v>
      </c>
      <c r="W13" s="28">
        <f t="shared" si="0"/>
        <v>358.94846029647448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W10"/>
  <sheetViews>
    <sheetView workbookViewId="0"/>
  </sheetViews>
  <sheetFormatPr defaultColWidth="9.140625" defaultRowHeight="15.75"/>
  <cols>
    <col min="1" max="1" width="20.7109375" style="9" customWidth="1"/>
    <col min="2" max="7" width="9.7109375" style="9" customWidth="1"/>
    <col min="8" max="8" width="8.7109375" style="9" bestFit="1" customWidth="1"/>
    <col min="9" max="29" width="9.28515625" style="9" bestFit="1" customWidth="1"/>
    <col min="30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 ht="24.75" customHeight="1">
      <c r="A3" s="26" t="s">
        <v>38</v>
      </c>
    </row>
    <row r="4" spans="1:23" s="22" customFormat="1">
      <c r="A4" s="20" t="str">
        <f>+'Device Energy Use'!A4</f>
        <v>Water Heat Ending</v>
      </c>
      <c r="B4" s="21">
        <f>+'Retail Rates'!B4</f>
        <v>2014</v>
      </c>
      <c r="C4" s="21">
        <f>+'Retail Rates'!C4</f>
        <v>2015</v>
      </c>
      <c r="D4" s="21">
        <f>+'Retail Rates'!D4</f>
        <v>2016</v>
      </c>
      <c r="E4" s="21">
        <f>+'Retail Rates'!E4</f>
        <v>2017</v>
      </c>
      <c r="F4" s="21">
        <f>+'Retail Rates'!F4</f>
        <v>2018</v>
      </c>
      <c r="G4" s="21">
        <f>+'Retail Rates'!G4</f>
        <v>2019</v>
      </c>
      <c r="H4" s="21">
        <f>+'Retail Rates'!H4</f>
        <v>2020</v>
      </c>
      <c r="I4" s="21">
        <f>+'Retail Rates'!I4</f>
        <v>2021</v>
      </c>
      <c r="J4" s="21">
        <f>+'Retail Rates'!J4</f>
        <v>2022</v>
      </c>
      <c r="K4" s="21">
        <f>+'Retail Rates'!K4</f>
        <v>2023</v>
      </c>
      <c r="L4" s="21">
        <f>+'Retail Rates'!L4</f>
        <v>2024</v>
      </c>
      <c r="M4" s="21">
        <f>+'Retail Rates'!M4</f>
        <v>2025</v>
      </c>
      <c r="N4" s="21">
        <f>+'Retail Rates'!N4</f>
        <v>2026</v>
      </c>
      <c r="O4" s="21">
        <f>+'Retail Rates'!O4</f>
        <v>2027</v>
      </c>
      <c r="P4" s="21">
        <f>+'Retail Rates'!P4</f>
        <v>2028</v>
      </c>
      <c r="Q4" s="21">
        <f>+'Retail Rates'!Q4</f>
        <v>2029</v>
      </c>
      <c r="R4" s="21">
        <f>+'Retail Rates'!R4</f>
        <v>2030</v>
      </c>
      <c r="S4" s="21">
        <f>+'Retail Rates'!S4</f>
        <v>2031</v>
      </c>
      <c r="T4" s="21">
        <f>+'Retail Rates'!T4</f>
        <v>2032</v>
      </c>
      <c r="U4" s="21">
        <f>+'Retail Rates'!U4</f>
        <v>2033</v>
      </c>
      <c r="V4" s="21">
        <f>+'Retail Rates'!V4</f>
        <v>2034</v>
      </c>
      <c r="W4" s="21">
        <f>+'Retail Rates'!W4</f>
        <v>2035</v>
      </c>
    </row>
    <row r="5" spans="1:23">
      <c r="A5" s="15" t="str">
        <f>+'Device Energy Use'!A5</f>
        <v>Electric Resistance</v>
      </c>
      <c r="B5" s="11">
        <f>+'Device Energy Use'!$D5*('Retail Rates'!B$5*'Device Energy Use'!$E5+'Retail Rates'!B$6*(1-'Device Energy Use'!$E5))</f>
        <v>337.64741139505077</v>
      </c>
      <c r="C5" s="11">
        <f>+'Device Energy Use'!$D5*('Retail Rates'!C$5*'Device Energy Use'!$E5+'Retail Rates'!C$6*(1-'Device Energy Use'!$E5))</f>
        <v>342.03682774318639</v>
      </c>
      <c r="D5" s="11">
        <f>+'Device Energy Use'!$D5*('Retail Rates'!D$5*'Device Energy Use'!$E5+'Retail Rates'!D$6*(1-'Device Energy Use'!$E5))</f>
        <v>346.48330650384781</v>
      </c>
      <c r="E5" s="11">
        <f>+'Device Energy Use'!$D5*('Retail Rates'!E$5*'Device Energy Use'!$E5+'Retail Rates'!E$6*(1-'Device Energy Use'!$E5))</f>
        <v>350.98758948839782</v>
      </c>
      <c r="F5" s="11">
        <f>+'Device Energy Use'!$D5*('Retail Rates'!F$5*'Device Energy Use'!$E5+'Retail Rates'!F$6*(1-'Device Energy Use'!$E5))</f>
        <v>355.55042815174693</v>
      </c>
      <c r="G5" s="11">
        <f>+'Device Energy Use'!$D5*('Retail Rates'!G$5*'Device Energy Use'!$E5+'Retail Rates'!G$6*(1-'Device Energy Use'!$E5))</f>
        <v>360.17258371771965</v>
      </c>
      <c r="H5" s="11">
        <f>+'Device Energy Use'!$D5*('Retail Rates'!H$5*'Device Energy Use'!$E5+'Retail Rates'!H$6*(1-'Device Energy Use'!$E5))</f>
        <v>364.85482730604997</v>
      </c>
      <c r="I5" s="11">
        <f>+'Device Energy Use'!$D5*('Retail Rates'!I$5*'Device Energy Use'!$E5+'Retail Rates'!I$6*(1-'Device Energy Use'!$E5))</f>
        <v>369.59794006102851</v>
      </c>
      <c r="J5" s="11">
        <f>+'Device Energy Use'!$D5*('Retail Rates'!J$5*'Device Energy Use'!$E5+'Retail Rates'!J$6*(1-'Device Energy Use'!$E5))</f>
        <v>374.40271328182183</v>
      </c>
      <c r="K5" s="11">
        <f>+'Device Energy Use'!$D5*('Retail Rates'!K$5*'Device Energy Use'!$E5+'Retail Rates'!K$6*(1-'Device Energy Use'!$E5))</f>
        <v>379.2699485544855</v>
      </c>
      <c r="L5" s="11">
        <f>+'Device Energy Use'!$D5*('Retail Rates'!L$5*'Device Energy Use'!$E5+'Retail Rates'!L$6*(1-'Device Energy Use'!$E5))</f>
        <v>384.20045788569382</v>
      </c>
      <c r="M5" s="11">
        <f>+'Device Energy Use'!$D5*('Retail Rates'!M$5*'Device Energy Use'!$E5+'Retail Rates'!M$6*(1-'Device Energy Use'!$E5))</f>
        <v>389.19506383820783</v>
      </c>
      <c r="N5" s="11">
        <f>+'Device Energy Use'!$D5*('Retail Rates'!N$5*'Device Energy Use'!$E5+'Retail Rates'!N$6*(1-'Device Energy Use'!$E5))</f>
        <v>394.25459966810445</v>
      </c>
      <c r="O5" s="11">
        <f>+'Device Energy Use'!$D5*('Retail Rates'!O$5*'Device Energy Use'!$E5+'Retail Rates'!O$6*(1-'Device Energy Use'!$E5))</f>
        <v>399.37990946378977</v>
      </c>
      <c r="P5" s="11">
        <f>+'Device Energy Use'!$D5*('Retail Rates'!P$5*'Device Energy Use'!$E5+'Retail Rates'!P$6*(1-'Device Energy Use'!$E5))</f>
        <v>404.57184828681903</v>
      </c>
      <c r="Q5" s="11">
        <f>+'Device Energy Use'!$D5*('Retail Rates'!Q$5*'Device Energy Use'!$E5+'Retail Rates'!Q$6*(1-'Device Energy Use'!$E5))</f>
        <v>409.83128231454765</v>
      </c>
      <c r="R5" s="11">
        <f>+'Device Energy Use'!$D5*('Retail Rates'!R$5*'Device Energy Use'!$E5+'Retail Rates'!R$6*(1-'Device Energy Use'!$E5))</f>
        <v>415.15908898463675</v>
      </c>
      <c r="S5" s="11">
        <f>+'Device Energy Use'!$D5*('Retail Rates'!S$5*'Device Energy Use'!$E5+'Retail Rates'!S$6*(1-'Device Energy Use'!$E5))</f>
        <v>420.55615714143698</v>
      </c>
      <c r="T5" s="11">
        <f>+'Device Energy Use'!$D5*('Retail Rates'!T$5*'Device Energy Use'!$E5+'Retail Rates'!T$6*(1-'Device Energy Use'!$E5))</f>
        <v>426.02338718427563</v>
      </c>
      <c r="U5" s="11">
        <f>+'Device Energy Use'!$D5*('Retail Rates'!U$5*'Device Energy Use'!$E5+'Retail Rates'!U$6*(1-'Device Energy Use'!$E5))</f>
        <v>431.56169121767118</v>
      </c>
      <c r="V5" s="11">
        <f>+'Device Energy Use'!$D5*('Retail Rates'!V$5*'Device Energy Use'!$E5+'Retail Rates'!V$6*(1-'Device Energy Use'!$E5))</f>
        <v>437.1719932035009</v>
      </c>
      <c r="W5" s="11">
        <f>+'Device Energy Use'!$D5*('Retail Rates'!W$5*'Device Energy Use'!$E5+'Retail Rates'!W$6*(1-'Device Energy Use'!$E5))</f>
        <v>442.85522911514636</v>
      </c>
    </row>
    <row r="6" spans="1:23">
      <c r="A6" s="15" t="str">
        <f>+'Device Energy Use'!A6</f>
        <v>HPWH</v>
      </c>
      <c r="B6" s="11">
        <f>+'Device Energy Use'!$D6*('Retail Rates'!B$5*'Device Energy Use'!$E6+'Retail Rates'!B$6*(1-'Device Energy Use'!$E6))</f>
        <v>160.38252041264909</v>
      </c>
      <c r="C6" s="11">
        <f>+'Device Energy Use'!$D6*('Retail Rates'!C$5*'Device Energy Use'!$E6+'Retail Rates'!C$6*(1-'Device Energy Use'!$E6))</f>
        <v>162.46749317801351</v>
      </c>
      <c r="D6" s="11">
        <f>+'Device Energy Use'!$D6*('Retail Rates'!D$5*'Device Energy Use'!$E6+'Retail Rates'!D$6*(1-'Device Energy Use'!$E6))</f>
        <v>164.57957058932766</v>
      </c>
      <c r="E6" s="11">
        <f>+'Device Energy Use'!$D6*('Retail Rates'!E$5*'Device Energy Use'!$E6+'Retail Rates'!E$6*(1-'Device Energy Use'!$E6))</f>
        <v>166.71910500698891</v>
      </c>
      <c r="F6" s="11">
        <f>+'Device Energy Use'!$D6*('Retail Rates'!F$5*'Device Energy Use'!$E6+'Retail Rates'!F$6*(1-'Device Energy Use'!$E6))</f>
        <v>168.88645337207976</v>
      </c>
      <c r="G6" s="11">
        <f>+'Device Energy Use'!$D6*('Retail Rates'!G$5*'Device Energy Use'!$E6+'Retail Rates'!G$6*(1-'Device Energy Use'!$E6))</f>
        <v>171.08197726591681</v>
      </c>
      <c r="H6" s="11">
        <f>+'Device Energy Use'!$D6*('Retail Rates'!H$5*'Device Energy Use'!$E6+'Retail Rates'!H$6*(1-'Device Energy Use'!$E6))</f>
        <v>173.30604297037368</v>
      </c>
      <c r="I6" s="11">
        <f>+'Device Energy Use'!$D6*('Retail Rates'!I$5*'Device Energy Use'!$E6+'Retail Rates'!I$6*(1-'Device Energy Use'!$E6))</f>
        <v>175.55902152898852</v>
      </c>
      <c r="J6" s="11">
        <f>+'Device Energy Use'!$D6*('Retail Rates'!J$5*'Device Energy Use'!$E6+'Retail Rates'!J$6*(1-'Device Energy Use'!$E6))</f>
        <v>177.84128880886536</v>
      </c>
      <c r="K6" s="11">
        <f>+'Device Energy Use'!$D6*('Retail Rates'!K$5*'Device Energy Use'!$E6+'Retail Rates'!K$6*(1-'Device Energy Use'!$E6))</f>
        <v>180.1532255633806</v>
      </c>
      <c r="L6" s="11">
        <f>+'Device Energy Use'!$D6*('Retail Rates'!L$5*'Device Energy Use'!$E6+'Retail Rates'!L$6*(1-'Device Energy Use'!$E6))</f>
        <v>182.49521749570454</v>
      </c>
      <c r="M6" s="11">
        <f>+'Device Energy Use'!$D6*('Retail Rates'!M$5*'Device Energy Use'!$E6+'Retail Rates'!M$6*(1-'Device Energy Use'!$E6))</f>
        <v>184.86765532314868</v>
      </c>
      <c r="N6" s="11">
        <f>+'Device Energy Use'!$D6*('Retail Rates'!N$5*'Device Energy Use'!$E6+'Retail Rates'!N$6*(1-'Device Energy Use'!$E6))</f>
        <v>187.27093484234959</v>
      </c>
      <c r="O6" s="11">
        <f>+'Device Energy Use'!$D6*('Retail Rates'!O$5*'Device Energy Use'!$E6+'Retail Rates'!O$6*(1-'Device Energy Use'!$E6))</f>
        <v>189.70545699530012</v>
      </c>
      <c r="P6" s="11">
        <f>+'Device Energy Use'!$D6*('Retail Rates'!P$5*'Device Energy Use'!$E6+'Retail Rates'!P$6*(1-'Device Energy Use'!$E6))</f>
        <v>192.17162793623902</v>
      </c>
      <c r="Q6" s="11">
        <f>+'Device Energy Use'!$D6*('Retail Rates'!Q$5*'Device Energy Use'!$E6+'Retail Rates'!Q$6*(1-'Device Energy Use'!$E6))</f>
        <v>194.66985909941008</v>
      </c>
      <c r="R6" s="11">
        <f>+'Device Energy Use'!$D6*('Retail Rates'!R$5*'Device Energy Use'!$E6+'Retail Rates'!R$6*(1-'Device Energy Use'!$E6))</f>
        <v>197.20056726770241</v>
      </c>
      <c r="S6" s="11">
        <f>+'Device Energy Use'!$D6*('Retail Rates'!S$5*'Device Energy Use'!$E6+'Retail Rates'!S$6*(1-'Device Energy Use'!$E6))</f>
        <v>199.76417464218255</v>
      </c>
      <c r="T6" s="11">
        <f>+'Device Energy Use'!$D6*('Retail Rates'!T$5*'Device Energy Use'!$E6+'Retail Rates'!T$6*(1-'Device Energy Use'!$E6))</f>
        <v>202.36110891253088</v>
      </c>
      <c r="U6" s="11">
        <f>+'Device Energy Use'!$D6*('Retail Rates'!U$5*'Device Energy Use'!$E6+'Retail Rates'!U$6*(1-'Device Energy Use'!$E6))</f>
        <v>204.99180332839376</v>
      </c>
      <c r="V6" s="11">
        <f>+'Device Energy Use'!$D6*('Retail Rates'!V$5*'Device Energy Use'!$E6+'Retail Rates'!V$6*(1-'Device Energy Use'!$E6))</f>
        <v>207.65669677166289</v>
      </c>
      <c r="W6" s="11">
        <f>+'Device Energy Use'!$D6*('Retail Rates'!W$5*'Device Energy Use'!$E6+'Retail Rates'!W$6*(1-'Device Energy Use'!$E6))</f>
        <v>210.35623382969447</v>
      </c>
    </row>
    <row r="7" spans="1:23">
      <c r="A7" s="15" t="str">
        <f>+'Device Energy Use'!A7</f>
        <v>Gas Tank</v>
      </c>
      <c r="B7" s="11">
        <f>+'Device Energy Use'!$D7*('Retail Rates'!B$5*'Device Energy Use'!$E7+'Retail Rates'!B$6*(1-'Device Energy Use'!$E7))</f>
        <v>196.04354472327037</v>
      </c>
      <c r="C7" s="11">
        <f>+'Device Energy Use'!$D7*('Retail Rates'!C$5*'Device Energy Use'!$E7+'Retail Rates'!C$6*(1-'Device Energy Use'!$E7))</f>
        <v>198.98419789411943</v>
      </c>
      <c r="D7" s="11">
        <f>+'Device Energy Use'!$D7*('Retail Rates'!D$5*'Device Energy Use'!$E7+'Retail Rates'!D$6*(1-'Device Energy Use'!$E7))</f>
        <v>201.96896086253122</v>
      </c>
      <c r="E7" s="11">
        <f>+'Device Energy Use'!$D7*('Retail Rates'!E$5*'Device Energy Use'!$E7+'Retail Rates'!E$6*(1-'Device Energy Use'!$E7))</f>
        <v>204.99849527546917</v>
      </c>
      <c r="F7" s="11">
        <f>+'Device Energy Use'!$D7*('Retail Rates'!F$5*'Device Energy Use'!$E7+'Retail Rates'!F$6*(1-'Device Energy Use'!$E7))</f>
        <v>208.07347270460119</v>
      </c>
      <c r="G7" s="11">
        <f>+'Device Energy Use'!$D7*('Retail Rates'!G$5*'Device Energy Use'!$E7+'Retail Rates'!G$6*(1-'Device Energy Use'!$E7))</f>
        <v>211.19457479517018</v>
      </c>
      <c r="H7" s="11">
        <f>+'Device Energy Use'!$D7*('Retail Rates'!H$5*'Device Energy Use'!$E7+'Retail Rates'!H$6*(1-'Device Energy Use'!$E7))</f>
        <v>214.36249341709774</v>
      </c>
      <c r="I7" s="11">
        <f>+'Device Energy Use'!$D7*('Retail Rates'!I$5*'Device Energy Use'!$E7+'Retail Rates'!I$6*(1-'Device Energy Use'!$E7))</f>
        <v>217.57793081835419</v>
      </c>
      <c r="J7" s="11">
        <f>+'Device Energy Use'!$D7*('Retail Rates'!J$5*'Device Energy Use'!$E7+'Retail Rates'!J$6*(1-'Device Energy Use'!$E7))</f>
        <v>220.84159978062948</v>
      </c>
      <c r="K7" s="11">
        <f>+'Device Energy Use'!$D7*('Retail Rates'!K$5*'Device Energy Use'!$E7+'Retail Rates'!K$6*(1-'Device Energy Use'!$E7))</f>
        <v>224.1542237773389</v>
      </c>
      <c r="L7" s="11">
        <f>+'Device Energy Use'!$D7*('Retail Rates'!L$5*'Device Energy Use'!$E7+'Retail Rates'!L$6*(1-'Device Energy Use'!$E7))</f>
        <v>227.51653713399895</v>
      </c>
      <c r="M7" s="11">
        <f>+'Device Energy Use'!$D7*('Retail Rates'!M$5*'Device Energy Use'!$E7+'Retail Rates'!M$6*(1-'Device Energy Use'!$E7))</f>
        <v>230.92928519100892</v>
      </c>
      <c r="N7" s="11">
        <f>+'Device Energy Use'!$D7*('Retail Rates'!N$5*'Device Energy Use'!$E7+'Retail Rates'!N$6*(1-'Device Energy Use'!$E7))</f>
        <v>234.39322446887402</v>
      </c>
      <c r="O7" s="11">
        <f>+'Device Energy Use'!$D7*('Retail Rates'!O$5*'Device Energy Use'!$E7+'Retail Rates'!O$6*(1-'Device Energy Use'!$E7))</f>
        <v>237.90912283590711</v>
      </c>
      <c r="P7" s="11">
        <f>+'Device Energy Use'!$D7*('Retail Rates'!P$5*'Device Energy Use'!$E7+'Retail Rates'!P$6*(1-'Device Energy Use'!$E7))</f>
        <v>241.47775967844572</v>
      </c>
      <c r="Q7" s="11">
        <f>+'Device Energy Use'!$D7*('Retail Rates'!Q$5*'Device Energy Use'!$E7+'Retail Rates'!Q$6*(1-'Device Energy Use'!$E7))</f>
        <v>245.09992607362238</v>
      </c>
      <c r="R7" s="11">
        <f>+'Device Energy Use'!$D7*('Retail Rates'!R$5*'Device Energy Use'!$E7+'Retail Rates'!R$6*(1-'Device Energy Use'!$E7))</f>
        <v>248.77642496472669</v>
      </c>
      <c r="S7" s="11">
        <f>+'Device Energy Use'!$D7*('Retail Rates'!S$5*'Device Energy Use'!$E7+'Retail Rates'!S$6*(1-'Device Energy Use'!$E7))</f>
        <v>252.50807133919756</v>
      </c>
      <c r="T7" s="11">
        <f>+'Device Energy Use'!$D7*('Retail Rates'!T$5*'Device Energy Use'!$E7+'Retail Rates'!T$6*(1-'Device Energy Use'!$E7))</f>
        <v>256.29569240928549</v>
      </c>
      <c r="U7" s="11">
        <f>+'Device Energy Use'!$D7*('Retail Rates'!U$5*'Device Energy Use'!$E7+'Retail Rates'!U$6*(1-'Device Energy Use'!$E7))</f>
        <v>260.14012779542475</v>
      </c>
      <c r="V7" s="11">
        <f>+'Device Energy Use'!$D7*('Retail Rates'!V$5*'Device Energy Use'!$E7+'Retail Rates'!V$6*(1-'Device Energy Use'!$E7))</f>
        <v>264.04222971235606</v>
      </c>
      <c r="W7" s="11">
        <f>+'Device Energy Use'!$D7*('Retail Rates'!W$5*'Device Energy Use'!$E7+'Retail Rates'!W$6*(1-'Device Energy Use'!$E7))</f>
        <v>268.00286315804141</v>
      </c>
    </row>
    <row r="8" spans="1:23">
      <c r="A8" s="15" t="str">
        <f>+'Device Energy Use'!A8</f>
        <v>Instant Gas</v>
      </c>
      <c r="B8" s="11">
        <f>+'Device Energy Use'!$D8*('Retail Rates'!B$5*'Device Energy Use'!$E8+'Retail Rates'!B$6*(1-'Device Energy Use'!$E8))</f>
        <v>148.76140800996225</v>
      </c>
      <c r="C8" s="11">
        <f>+'Device Energy Use'!$D8*('Retail Rates'!C$5*'Device Energy Use'!$E8+'Retail Rates'!C$6*(1-'Device Energy Use'!$E8))</f>
        <v>150.99282913011169</v>
      </c>
      <c r="D8" s="11">
        <f>+'Device Energy Use'!$D8*('Retail Rates'!D$5*'Device Energy Use'!$E8+'Retail Rates'!D$6*(1-'Device Energy Use'!$E8))</f>
        <v>153.25772156706336</v>
      </c>
      <c r="E8" s="11">
        <f>+'Device Energy Use'!$D8*('Retail Rates'!E$5*'Device Energy Use'!$E8+'Retail Rates'!E$6*(1-'Device Energy Use'!$E8))</f>
        <v>155.55658739056929</v>
      </c>
      <c r="F8" s="11">
        <f>+'Device Energy Use'!$D8*('Retail Rates'!F$5*'Device Energy Use'!$E8+'Retail Rates'!F$6*(1-'Device Energy Use'!$E8))</f>
        <v>157.88993620142782</v>
      </c>
      <c r="G8" s="11">
        <f>+'Device Energy Use'!$D8*('Retail Rates'!G$5*'Device Energy Use'!$E8+'Retail Rates'!G$6*(1-'Device Energy Use'!$E8))</f>
        <v>160.25828524444921</v>
      </c>
      <c r="H8" s="11">
        <f>+'Device Energy Use'!$D8*('Retail Rates'!H$5*'Device Energy Use'!$E8+'Retail Rates'!H$6*(1-'Device Energy Use'!$E8))</f>
        <v>162.66215952311595</v>
      </c>
      <c r="I8" s="11">
        <f>+'Device Energy Use'!$D8*('Retail Rates'!I$5*'Device Energy Use'!$E8+'Retail Rates'!I$6*(1-'Device Energy Use'!$E8))</f>
        <v>165.10209191596269</v>
      </c>
      <c r="J8" s="11">
        <f>+'Device Energy Use'!$D8*('Retail Rates'!J$5*'Device Energy Use'!$E8+'Retail Rates'!J$6*(1-'Device Energy Use'!$E8))</f>
        <v>167.57862329470208</v>
      </c>
      <c r="K8" s="11">
        <f>+'Device Energy Use'!$D8*('Retail Rates'!K$5*'Device Energy Use'!$E8+'Retail Rates'!K$6*(1-'Device Energy Use'!$E8))</f>
        <v>170.09230264412261</v>
      </c>
      <c r="L8" s="11">
        <f>+'Device Energy Use'!$D8*('Retail Rates'!L$5*'Device Energy Use'!$E8+'Retail Rates'!L$6*(1-'Device Energy Use'!$E8))</f>
        <v>172.64368718378444</v>
      </c>
      <c r="M8" s="11">
        <f>+'Device Energy Use'!$D8*('Retail Rates'!M$5*'Device Energy Use'!$E8+'Retail Rates'!M$6*(1-'Device Energy Use'!$E8))</f>
        <v>175.23334249154118</v>
      </c>
      <c r="N8" s="11">
        <f>+'Device Energy Use'!$D8*('Retail Rates'!N$5*'Device Energy Use'!$E8+'Retail Rates'!N$6*(1-'Device Energy Use'!$E8))</f>
        <v>177.86184262891427</v>
      </c>
      <c r="O8" s="11">
        <f>+'Device Energy Use'!$D8*('Retail Rates'!O$5*'Device Energy Use'!$E8+'Retail Rates'!O$6*(1-'Device Energy Use'!$E8))</f>
        <v>180.52977026834799</v>
      </c>
      <c r="P8" s="11">
        <f>+'Device Energy Use'!$D8*('Retail Rates'!P$5*'Device Energy Use'!$E8+'Retail Rates'!P$6*(1-'Device Energy Use'!$E8))</f>
        <v>183.23771682237319</v>
      </c>
      <c r="Q8" s="11">
        <f>+'Device Energy Use'!$D8*('Retail Rates'!Q$5*'Device Energy Use'!$E8+'Retail Rates'!Q$6*(1-'Device Energy Use'!$E8))</f>
        <v>185.98628257470875</v>
      </c>
      <c r="R8" s="11">
        <f>+'Device Energy Use'!$D8*('Retail Rates'!R$5*'Device Energy Use'!$E8+'Retail Rates'!R$6*(1-'Device Energy Use'!$E8))</f>
        <v>188.77607681332938</v>
      </c>
      <c r="S8" s="11">
        <f>+'Device Energy Use'!$D8*('Retail Rates'!S$5*'Device Energy Use'!$E8+'Retail Rates'!S$6*(1-'Device Energy Use'!$E8))</f>
        <v>191.6077179655293</v>
      </c>
      <c r="T8" s="11">
        <f>+'Device Energy Use'!$D8*('Retail Rates'!T$5*'Device Energy Use'!$E8+'Retail Rates'!T$6*(1-'Device Energy Use'!$E8))</f>
        <v>194.4818337350122</v>
      </c>
      <c r="U8" s="11">
        <f>+'Device Energy Use'!$D8*('Retail Rates'!U$5*'Device Energy Use'!$E8+'Retail Rates'!U$6*(1-'Device Energy Use'!$E8))</f>
        <v>197.39906124103737</v>
      </c>
      <c r="V8" s="11">
        <f>+'Device Energy Use'!$D8*('Retail Rates'!V$5*'Device Energy Use'!$E8+'Retail Rates'!V$6*(1-'Device Energy Use'!$E8))</f>
        <v>200.36004715965291</v>
      </c>
      <c r="W8" s="11">
        <f>+'Device Energy Use'!$D8*('Retail Rates'!W$5*'Device Energy Use'!$E8+'Retail Rates'!W$6*(1-'Device Energy Use'!$E8))</f>
        <v>203.36544786704769</v>
      </c>
    </row>
    <row r="9" spans="1:23">
      <c r="A9" s="15" t="str">
        <f>+'Device Energy Use'!A9</f>
        <v>Condensing Gas</v>
      </c>
      <c r="B9" s="11">
        <f>+'Device Energy Use'!$D9*('Retail Rates'!B$5*'Device Energy Use'!$E9+'Retail Rates'!B$6*(1-'Device Energy Use'!$E9))</f>
        <v>103.83978948617637</v>
      </c>
      <c r="C9" s="11">
        <f>+'Device Energy Use'!$D9*('Retail Rates'!C$5*'Device Energy Use'!$E9+'Retail Rates'!C$6*(1-'Device Energy Use'!$E9))</f>
        <v>105.39738632846901</v>
      </c>
      <c r="D9" s="11">
        <f>+'Device Energy Use'!$D9*('Retail Rates'!D$5*'Device Energy Use'!$E9+'Retail Rates'!D$6*(1-'Device Energy Use'!$E9))</f>
        <v>106.97834712339605</v>
      </c>
      <c r="E9" s="11">
        <f>+'Device Energy Use'!$D9*('Retail Rates'!E$5*'Device Energy Use'!$E9+'Retail Rates'!E$6*(1-'Device Energy Use'!$E9))</f>
        <v>108.58302233024699</v>
      </c>
      <c r="F9" s="11">
        <f>+'Device Energy Use'!$D9*('Retail Rates'!F$5*'Device Energy Use'!$E9+'Retail Rates'!F$6*(1-'Device Energy Use'!$E9))</f>
        <v>110.21176766520068</v>
      </c>
      <c r="G9" s="11">
        <f>+'Device Energy Use'!$D9*('Retail Rates'!G$5*'Device Energy Use'!$E9+'Retail Rates'!G$6*(1-'Device Energy Use'!$E9))</f>
        <v>111.86494418017868</v>
      </c>
      <c r="H9" s="11">
        <f>+'Device Energy Use'!$D9*('Retail Rates'!H$5*'Device Energy Use'!$E9+'Retail Rates'!H$6*(1-'Device Energy Use'!$E9))</f>
        <v>113.54291834288135</v>
      </c>
      <c r="I9" s="11">
        <f>+'Device Energy Use'!$D9*('Retail Rates'!I$5*'Device Energy Use'!$E9+'Retail Rates'!I$6*(1-'Device Energy Use'!$E9))</f>
        <v>115.24606211802457</v>
      </c>
      <c r="J9" s="11">
        <f>+'Device Energy Use'!$D9*('Retail Rates'!J$5*'Device Energy Use'!$E9+'Retail Rates'!J$6*(1-'Device Energy Use'!$E9))</f>
        <v>116.97475304979493</v>
      </c>
      <c r="K9" s="11">
        <f>+'Device Energy Use'!$D9*('Retail Rates'!K$5*'Device Energy Use'!$E9+'Retail Rates'!K$6*(1-'Device Energy Use'!$E9))</f>
        <v>118.72937434554184</v>
      </c>
      <c r="L9" s="11">
        <f>+'Device Energy Use'!$D9*('Retail Rates'!L$5*'Device Energy Use'!$E9+'Retail Rates'!L$6*(1-'Device Energy Use'!$E9))</f>
        <v>120.51031496072495</v>
      </c>
      <c r="M9" s="11">
        <f>+'Device Energy Use'!$D9*('Retail Rates'!M$5*'Device Energy Use'!$E9+'Retail Rates'!M$6*(1-'Device Energy Use'!$E9))</f>
        <v>122.31796968513582</v>
      </c>
      <c r="N9" s="11">
        <f>+'Device Energy Use'!$D9*('Retail Rates'!N$5*'Device Energy Use'!$E9+'Retail Rates'!N$6*(1-'Device Energy Use'!$E9))</f>
        <v>124.15273923041283</v>
      </c>
      <c r="O9" s="11">
        <f>+'Device Energy Use'!$D9*('Retail Rates'!O$5*'Device Energy Use'!$E9+'Retail Rates'!O$6*(1-'Device Energy Use'!$E9))</f>
        <v>126.01503031886902</v>
      </c>
      <c r="P9" s="11">
        <f>+'Device Energy Use'!$D9*('Retail Rates'!P$5*'Device Energy Use'!$E9+'Retail Rates'!P$6*(1-'Device Energy Use'!$E9))</f>
        <v>127.90525577365204</v>
      </c>
      <c r="Q9" s="11">
        <f>+'Device Energy Use'!$D9*('Retail Rates'!Q$5*'Device Energy Use'!$E9+'Retail Rates'!Q$6*(1-'Device Energy Use'!$E9))</f>
        <v>129.82383461025682</v>
      </c>
      <c r="R9" s="11">
        <f>+'Device Energy Use'!$D9*('Retail Rates'!R$5*'Device Energy Use'!$E9+'Retail Rates'!R$6*(1-'Device Energy Use'!$E9))</f>
        <v>131.77119212941065</v>
      </c>
      <c r="S9" s="11">
        <f>+'Device Energy Use'!$D9*('Retail Rates'!S$5*'Device Energy Use'!$E9+'Retail Rates'!S$6*(1-'Device Energy Use'!$E9))</f>
        <v>133.7477600113518</v>
      </c>
      <c r="T9" s="11">
        <f>+'Device Energy Use'!$D9*('Retail Rates'!T$5*'Device Energy Use'!$E9+'Retail Rates'!T$6*(1-'Device Energy Use'!$E9))</f>
        <v>135.75397641152205</v>
      </c>
      <c r="U9" s="11">
        <f>+'Device Energy Use'!$D9*('Retail Rates'!U$5*'Device Energy Use'!$E9+'Retail Rates'!U$6*(1-'Device Energy Use'!$E9))</f>
        <v>137.79028605769486</v>
      </c>
      <c r="V9" s="11">
        <f>+'Device Energy Use'!$D9*('Retail Rates'!V$5*'Device Energy Use'!$E9+'Retail Rates'!V$6*(1-'Device Energy Use'!$E9))</f>
        <v>139.85714034856028</v>
      </c>
      <c r="W9" s="11">
        <f>+'Device Energy Use'!$D9*('Retail Rates'!W$5*'Device Energy Use'!$E9+'Retail Rates'!W$6*(1-'Device Energy Use'!$E9))</f>
        <v>141.95499745378868</v>
      </c>
    </row>
    <row r="10" spans="1:23">
      <c r="G10" s="1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K16"/>
  <sheetViews>
    <sheetView workbookViewId="0"/>
  </sheetViews>
  <sheetFormatPr defaultColWidth="8.85546875" defaultRowHeight="15.75"/>
  <cols>
    <col min="1" max="1" width="20.7109375" style="2" customWidth="1"/>
    <col min="2" max="2" width="17" style="5" customWidth="1"/>
    <col min="3" max="3" width="14.7109375" style="2" customWidth="1"/>
    <col min="4" max="7" width="12.7109375" style="2" customWidth="1"/>
    <col min="8" max="8" width="17" style="2" bestFit="1" customWidth="1"/>
    <col min="9" max="9" width="18.28515625" style="2" bestFit="1" customWidth="1"/>
    <col min="10" max="10" width="13" style="5" customWidth="1"/>
    <col min="11" max="11" width="12.28515625" style="2" bestFit="1" customWidth="1"/>
    <col min="12" max="12" width="9.140625" style="2" customWidth="1"/>
    <col min="13" max="16384" width="8.85546875" style="2"/>
  </cols>
  <sheetData>
    <row r="1" spans="1:11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11" ht="23.25" customHeight="1">
      <c r="A3" s="27" t="s">
        <v>88</v>
      </c>
    </row>
    <row r="4" spans="1:11" s="19" customFormat="1" ht="47.25">
      <c r="A4" s="17" t="s">
        <v>0</v>
      </c>
      <c r="B4" s="17" t="str">
        <f>'Input Assumptions'!B26</f>
        <v>Electricity Required (KWh/ device/Yr)</v>
      </c>
      <c r="C4" s="17" t="str">
        <f>'Input Assumptions'!C26</f>
        <v>Gas Required (mmBtu/ device/Yr)</v>
      </c>
      <c r="D4" s="18" t="s">
        <v>16</v>
      </c>
      <c r="E4" s="17" t="str">
        <f>'Input Assumptions'!E26</f>
        <v>Electric Technology</v>
      </c>
    </row>
    <row r="5" spans="1:11">
      <c r="A5" s="2" t="str">
        <f>'Input Assumptions'!D45</f>
        <v>Electric Resistance</v>
      </c>
      <c r="B5" s="58">
        <f>'Input Assumptions'!B27</f>
        <v>3355.4343604471896</v>
      </c>
      <c r="C5" s="6">
        <f>'Input Assumptions'!C27</f>
        <v>0</v>
      </c>
      <c r="D5" s="6">
        <f>'Input Assumptions'!B27*3412/1000000+'Input Assumptions'!C27</f>
        <v>11.448742037845811</v>
      </c>
      <c r="E5" s="5">
        <f>'Input Assumptions'!E27</f>
        <v>1</v>
      </c>
      <c r="J5" s="2"/>
    </row>
    <row r="6" spans="1:11">
      <c r="A6" s="2" t="str">
        <f>'Input Assumptions'!D46</f>
        <v>HPWH</v>
      </c>
      <c r="B6" s="58">
        <f>'Input Assumptions'!B28</f>
        <v>1593.8313212124149</v>
      </c>
      <c r="C6" s="6">
        <f>'Input Assumptions'!C28</f>
        <v>0</v>
      </c>
      <c r="D6" s="6">
        <f>'Input Assumptions'!B28*3412/1000000+'Input Assumptions'!C28</f>
        <v>5.4381524679767592</v>
      </c>
      <c r="E6" s="5">
        <f>'Input Assumptions'!E28</f>
        <v>1</v>
      </c>
      <c r="J6" s="2"/>
    </row>
    <row r="7" spans="1:11">
      <c r="A7" s="2" t="str">
        <f>'Input Assumptions'!D47</f>
        <v>Gas Tank</v>
      </c>
      <c r="B7" s="58">
        <f>'Input Assumptions'!B29</f>
        <v>0</v>
      </c>
      <c r="C7" s="6">
        <f>'Input Assumptions'!C29</f>
        <v>17.346578845220922</v>
      </c>
      <c r="D7" s="6">
        <f>'Input Assumptions'!B29*3412/1000000+'Input Assumptions'!C29</f>
        <v>17.346578845220922</v>
      </c>
      <c r="E7" s="5">
        <f>'Input Assumptions'!E29</f>
        <v>0</v>
      </c>
      <c r="G7" s="172"/>
      <c r="J7" s="2"/>
    </row>
    <row r="8" spans="1:11">
      <c r="A8" s="2" t="str">
        <f>'Input Assumptions'!D48</f>
        <v>Instant Gas</v>
      </c>
      <c r="B8" s="58">
        <f>'Input Assumptions'!B30</f>
        <v>0</v>
      </c>
      <c r="C8" s="6">
        <f>'Input Assumptions'!C30</f>
        <v>13.162899583423945</v>
      </c>
      <c r="D8" s="6">
        <f>'Input Assumptions'!B30*3412/1000000+'Input Assumptions'!C30</f>
        <v>13.162899583423945</v>
      </c>
      <c r="E8" s="5">
        <f>'Input Assumptions'!E30</f>
        <v>0</v>
      </c>
      <c r="G8" s="172"/>
      <c r="J8" s="2"/>
    </row>
    <row r="9" spans="1:11">
      <c r="A9" s="2" t="str">
        <f>'Input Assumptions'!D49</f>
        <v>Condensing Gas</v>
      </c>
      <c r="B9" s="58">
        <f>'Input Assumptions'!B31</f>
        <v>0</v>
      </c>
      <c r="C9" s="6">
        <f>'Input Assumptions'!C31</f>
        <v>9.1880867494806662</v>
      </c>
      <c r="D9" s="6">
        <f>'Input Assumptions'!B31*3412/1000000+'Input Assumptions'!C31</f>
        <v>9.1880867494806662</v>
      </c>
      <c r="E9" s="5">
        <f>'Input Assumptions'!E31</f>
        <v>0</v>
      </c>
      <c r="J9" s="2"/>
    </row>
    <row r="10" spans="1:11">
      <c r="A10" s="1"/>
      <c r="B10" s="7"/>
      <c r="H10" s="3"/>
      <c r="I10" s="4"/>
      <c r="J10" s="6"/>
      <c r="K10" s="8"/>
    </row>
    <row r="13" spans="1:11">
      <c r="J13" s="2"/>
    </row>
    <row r="14" spans="1:11">
      <c r="J14" s="2"/>
    </row>
    <row r="15" spans="1:11">
      <c r="J15" s="2"/>
    </row>
    <row r="16" spans="1:11">
      <c r="J16" s="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E10"/>
  <sheetViews>
    <sheetView workbookViewId="0"/>
  </sheetViews>
  <sheetFormatPr defaultColWidth="8.85546875" defaultRowHeight="15.75"/>
  <cols>
    <col min="1" max="1" width="21.7109375" style="2" customWidth="1"/>
    <col min="2" max="2" width="17.42578125" style="5" customWidth="1"/>
    <col min="3" max="3" width="12.85546875" style="2" customWidth="1"/>
    <col min="4" max="4" width="18.140625" style="2" customWidth="1"/>
    <col min="5" max="5" width="15.7109375" style="2" customWidth="1"/>
    <col min="6" max="11" width="12.7109375" style="2" customWidth="1"/>
    <col min="12" max="16384" width="8.85546875" style="2"/>
  </cols>
  <sheetData>
    <row r="1" spans="1:5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2" spans="1:5" ht="18.75">
      <c r="A2" s="147"/>
    </row>
    <row r="3" spans="1:5" ht="23.25" customHeight="1">
      <c r="A3" s="27" t="s">
        <v>87</v>
      </c>
    </row>
    <row r="4" spans="1:5" s="19" customFormat="1" ht="47.25">
      <c r="A4" s="17" t="s">
        <v>0</v>
      </c>
      <c r="B4" s="17" t="str">
        <f>'Input Assumptions'!B35</f>
        <v>Capital Cost (Various Real $)</v>
      </c>
      <c r="C4" s="17" t="str">
        <f>'Input Assumptions'!C35</f>
        <v>Units of Dollars</v>
      </c>
      <c r="D4" s="17" t="s">
        <v>141</v>
      </c>
      <c r="E4" s="17" t="s">
        <v>20</v>
      </c>
    </row>
    <row r="5" spans="1:5">
      <c r="A5" s="2" t="str">
        <f>'Input Assumptions'!D45</f>
        <v>Electric Resistance</v>
      </c>
      <c r="B5" s="62">
        <f>'Input Assumptions'!B36</f>
        <v>590</v>
      </c>
      <c r="C5" s="103" t="str">
        <f>'Input Assumptions'!C36</f>
        <v>2008$</v>
      </c>
      <c r="D5" s="63">
        <f>Inflation!AB5/Inflation!X5</f>
        <v>1.0627615062761504</v>
      </c>
      <c r="E5" s="61">
        <f>B5*D5</f>
        <v>627.02928870292874</v>
      </c>
    </row>
    <row r="6" spans="1:5">
      <c r="A6" s="2" t="str">
        <f>'Input Assumptions'!D46</f>
        <v>HPWH</v>
      </c>
      <c r="B6" s="62">
        <f>'Input Assumptions'!B37</f>
        <v>1621</v>
      </c>
      <c r="C6" s="103" t="str">
        <f>'Input Assumptions'!C37</f>
        <v>2011$</v>
      </c>
      <c r="D6" s="63">
        <f>Inflation!AB5/Inflation!AA5</f>
        <v>1.0177579455423003</v>
      </c>
      <c r="E6" s="61">
        <f>B6*D6</f>
        <v>1649.7856297240687</v>
      </c>
    </row>
    <row r="7" spans="1:5">
      <c r="A7" s="2" t="str">
        <f>'Input Assumptions'!D47</f>
        <v>Gas Tank</v>
      </c>
      <c r="B7" s="62">
        <f>'Input Assumptions'!B38</f>
        <v>785</v>
      </c>
      <c r="C7" s="103" t="str">
        <f>'Input Assumptions'!C38</f>
        <v>2013$</v>
      </c>
      <c r="D7" s="63">
        <f>Inflation!$AB$5/Inflation!$AC$5</f>
        <v>0.98250549450549451</v>
      </c>
      <c r="E7" s="61">
        <f>B7*D7</f>
        <v>771.26681318681324</v>
      </c>
    </row>
    <row r="8" spans="1:5">
      <c r="A8" s="2" t="str">
        <f>'Input Assumptions'!D48</f>
        <v>Instant Gas</v>
      </c>
      <c r="B8" s="62">
        <f>'Input Assumptions'!B39</f>
        <v>3760</v>
      </c>
      <c r="C8" s="103" t="str">
        <f>'Input Assumptions'!C39</f>
        <v>2013$</v>
      </c>
      <c r="D8" s="63">
        <f>Inflation!$AB$5/Inflation!$AC$5</f>
        <v>0.98250549450549451</v>
      </c>
      <c r="E8" s="61">
        <f>B8*D8</f>
        <v>3694.2206593406595</v>
      </c>
    </row>
    <row r="9" spans="1:5">
      <c r="A9" s="2" t="str">
        <f>'Input Assumptions'!D49</f>
        <v>Condensing Gas</v>
      </c>
      <c r="B9" s="62">
        <f>'Input Assumptions'!B40</f>
        <v>1861.3517860501238</v>
      </c>
      <c r="C9" s="103" t="str">
        <f>'Input Assumptions'!C40</f>
        <v>2006$</v>
      </c>
      <c r="D9" s="63">
        <f>Inflation!$AB$5/Inflation!$V$5</f>
        <v>1.1175999999999999</v>
      </c>
      <c r="E9" s="61">
        <f>B9*D9</f>
        <v>2080.2467560896184</v>
      </c>
    </row>
    <row r="10" spans="1:5">
      <c r="A10" s="1"/>
      <c r="B10" s="7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J10"/>
  <sheetViews>
    <sheetView workbookViewId="0">
      <selection activeCell="A2" sqref="A2"/>
    </sheetView>
  </sheetViews>
  <sheetFormatPr defaultColWidth="8.85546875" defaultRowHeight="15.75"/>
  <cols>
    <col min="1" max="1" width="22.7109375" style="2" customWidth="1"/>
    <col min="2" max="2" width="15.7109375" style="5" customWidth="1"/>
    <col min="3" max="5" width="15.7109375" style="2" customWidth="1"/>
    <col min="6" max="10" width="12.7109375" style="2" customWidth="1"/>
    <col min="11" max="16384" width="8.85546875" style="2"/>
  </cols>
  <sheetData>
    <row r="1" spans="1:10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  <c r="B1" s="139"/>
      <c r="C1" s="138"/>
      <c r="D1" s="138"/>
      <c r="E1" s="138"/>
      <c r="F1" s="138"/>
      <c r="G1" s="138"/>
      <c r="H1" s="138"/>
      <c r="I1" s="138"/>
      <c r="J1" s="138"/>
    </row>
    <row r="2" spans="1:10" ht="18.75">
      <c r="A2" s="147"/>
      <c r="B2" s="139"/>
      <c r="C2" s="138"/>
      <c r="D2" s="138"/>
      <c r="E2" s="138"/>
      <c r="F2" s="138"/>
      <c r="G2" s="138"/>
      <c r="H2" s="138"/>
      <c r="I2" s="138"/>
      <c r="J2" s="138"/>
    </row>
    <row r="3" spans="1:10" ht="23.25" customHeight="1">
      <c r="A3" s="27" t="s">
        <v>89</v>
      </c>
    </row>
    <row r="4" spans="1:10" s="19" customFormat="1" ht="47.25">
      <c r="A4" s="140" t="s">
        <v>140</v>
      </c>
      <c r="B4" s="146" t="str">
        <f>'Input Assumptions'!D26</f>
        <v>O&amp;M Cost (2006$/ device/Yr)</v>
      </c>
      <c r="C4" s="146" t="s">
        <v>68</v>
      </c>
      <c r="D4" s="146" t="s">
        <v>21</v>
      </c>
    </row>
    <row r="5" spans="1:10">
      <c r="A5" s="2" t="str">
        <f>'Input Assumptions'!D45</f>
        <v>Electric Resistance</v>
      </c>
      <c r="B5" s="61">
        <f>'Input Assumptions'!D27</f>
        <v>4.0147653217481896</v>
      </c>
      <c r="C5" s="63">
        <f>Inflation!$AB$5/Inflation!$V$5</f>
        <v>1.1175999999999999</v>
      </c>
      <c r="D5" s="61">
        <f>B5*C5</f>
        <v>4.4869017235857767</v>
      </c>
    </row>
    <row r="6" spans="1:10">
      <c r="A6" s="2" t="str">
        <f>'Input Assumptions'!D46</f>
        <v>HPWH</v>
      </c>
      <c r="B6" s="61">
        <f>'Input Assumptions'!D28</f>
        <v>8.8912994251335906</v>
      </c>
      <c r="C6" s="63">
        <f>Inflation!$AB$5/Inflation!$V$5</f>
        <v>1.1175999999999999</v>
      </c>
      <c r="D6" s="61">
        <f>B6*C6</f>
        <v>9.9369162375292994</v>
      </c>
    </row>
    <row r="7" spans="1:10">
      <c r="A7" s="2" t="str">
        <f>'Input Assumptions'!D47</f>
        <v>Gas Tank</v>
      </c>
      <c r="B7" s="61">
        <f>'Input Assumptions'!D29</f>
        <v>12.364813725618941</v>
      </c>
      <c r="C7" s="63">
        <f>Inflation!$AB$5/Inflation!$V$5</f>
        <v>1.1175999999999999</v>
      </c>
      <c r="D7" s="61">
        <f>B7*C7</f>
        <v>13.818915819751727</v>
      </c>
    </row>
    <row r="8" spans="1:10">
      <c r="A8" s="2" t="str">
        <f>'Input Assumptions'!D48</f>
        <v>Instant Gas</v>
      </c>
      <c r="B8" s="61">
        <f>'Input Assumptions'!D30</f>
        <v>66.879220980384858</v>
      </c>
      <c r="C8" s="63">
        <f>Inflation!$AB$5/Inflation!$V$5</f>
        <v>1.1175999999999999</v>
      </c>
      <c r="D8" s="61">
        <f>B8*C8</f>
        <v>74.744217367678118</v>
      </c>
    </row>
    <row r="9" spans="1:10">
      <c r="A9" s="2" t="str">
        <f>'Input Assumptions'!D49</f>
        <v>Condensing Gas</v>
      </c>
      <c r="B9" s="61">
        <f>'Input Assumptions'!D31</f>
        <v>14.794662287278264</v>
      </c>
      <c r="C9" s="63">
        <f>Inflation!$AB$5/Inflation!$V$5</f>
        <v>1.1175999999999999</v>
      </c>
      <c r="D9" s="61">
        <f>B9*C9</f>
        <v>16.534514572262186</v>
      </c>
    </row>
    <row r="10" spans="1:10">
      <c r="A10" s="1"/>
      <c r="B10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51"/>
  <sheetViews>
    <sheetView workbookViewId="0">
      <selection activeCell="B13" sqref="B13"/>
    </sheetView>
  </sheetViews>
  <sheetFormatPr defaultColWidth="9.140625" defaultRowHeight="15.75"/>
  <cols>
    <col min="1" max="1" width="45.5703125" style="9" customWidth="1"/>
    <col min="2" max="2" width="19.7109375" style="9" customWidth="1"/>
    <col min="3" max="3" width="19" style="9" customWidth="1"/>
    <col min="4" max="4" width="16.140625" style="9" customWidth="1"/>
    <col min="5" max="5" width="15.7109375" style="9" customWidth="1"/>
    <col min="6" max="9" width="12.7109375" style="9" customWidth="1"/>
    <col min="10" max="10" width="14.140625" style="9" customWidth="1"/>
    <col min="11" max="11" width="9.140625" style="9"/>
    <col min="12" max="12" width="10.5703125" style="9" customWidth="1"/>
    <col min="13" max="13" width="12.28515625" style="9" customWidth="1"/>
    <col min="14" max="16384" width="9.140625" style="9"/>
  </cols>
  <sheetData>
    <row r="1" spans="1:10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10">
      <c r="A3" s="26" t="s">
        <v>69</v>
      </c>
      <c r="J3" s="45"/>
    </row>
    <row r="4" spans="1:10">
      <c r="A4" s="174" t="s">
        <v>91</v>
      </c>
      <c r="C4" s="12"/>
    </row>
    <row r="5" spans="1:10">
      <c r="A5" s="175" t="s">
        <v>90</v>
      </c>
    </row>
    <row r="6" spans="1:10">
      <c r="A6" s="77"/>
    </row>
    <row r="7" spans="1:10">
      <c r="A7" s="12" t="s">
        <v>139</v>
      </c>
    </row>
    <row r="8" spans="1:10">
      <c r="A8" s="66" t="s">
        <v>40</v>
      </c>
      <c r="B8" s="71" t="s">
        <v>39</v>
      </c>
      <c r="C8" s="107" t="s">
        <v>53</v>
      </c>
      <c r="D8" s="82"/>
      <c r="E8" s="82"/>
      <c r="F8" s="82"/>
      <c r="G8" s="93"/>
    </row>
    <row r="9" spans="1:10">
      <c r="A9" s="67" t="s">
        <v>15</v>
      </c>
      <c r="B9" s="72" t="s">
        <v>171</v>
      </c>
      <c r="C9" s="45"/>
      <c r="D9" s="45"/>
      <c r="E9" s="45"/>
      <c r="F9" s="45"/>
      <c r="G9" s="68"/>
    </row>
    <row r="10" spans="1:10">
      <c r="A10" s="67" t="s">
        <v>95</v>
      </c>
      <c r="B10" s="72" t="s">
        <v>7</v>
      </c>
      <c r="C10" s="45"/>
      <c r="D10" s="45"/>
      <c r="E10" s="45"/>
      <c r="F10" s="45"/>
      <c r="G10" s="68"/>
    </row>
    <row r="11" spans="1:10">
      <c r="A11" s="67" t="s">
        <v>73</v>
      </c>
      <c r="B11" s="72" t="s">
        <v>8</v>
      </c>
      <c r="C11" s="45"/>
      <c r="D11" s="45"/>
      <c r="E11" s="45"/>
      <c r="F11" s="45"/>
      <c r="G11" s="68"/>
    </row>
    <row r="12" spans="1:10">
      <c r="A12" s="67" t="s">
        <v>74</v>
      </c>
      <c r="B12" s="72" t="s">
        <v>75</v>
      </c>
      <c r="C12" s="45"/>
      <c r="E12" s="45"/>
      <c r="F12" s="45"/>
      <c r="G12" s="68"/>
    </row>
    <row r="13" spans="1:10">
      <c r="A13" s="67" t="s">
        <v>125</v>
      </c>
      <c r="B13" s="98">
        <v>121921.45900000003</v>
      </c>
      <c r="C13" s="60" t="s">
        <v>124</v>
      </c>
      <c r="D13" s="45"/>
      <c r="E13" s="45"/>
      <c r="F13" s="45"/>
      <c r="G13" s="68"/>
    </row>
    <row r="14" spans="1:10">
      <c r="A14" s="67" t="s">
        <v>46</v>
      </c>
      <c r="B14" s="73">
        <v>14</v>
      </c>
      <c r="C14" s="45" t="s">
        <v>96</v>
      </c>
      <c r="D14" s="45"/>
      <c r="E14" s="45"/>
      <c r="F14" s="45"/>
      <c r="G14" s="68"/>
    </row>
    <row r="15" spans="1:10">
      <c r="A15" s="69" t="s">
        <v>52</v>
      </c>
      <c r="B15" s="99">
        <v>0.04</v>
      </c>
      <c r="C15" s="45" t="s">
        <v>70</v>
      </c>
      <c r="D15" s="45"/>
      <c r="E15" s="45"/>
      <c r="F15" s="45"/>
      <c r="G15" s="68"/>
    </row>
    <row r="16" spans="1:10">
      <c r="A16" s="69" t="s">
        <v>63</v>
      </c>
      <c r="B16" s="120">
        <v>0.1</v>
      </c>
      <c r="C16" s="45" t="s">
        <v>64</v>
      </c>
      <c r="D16" s="45"/>
      <c r="E16" s="45"/>
      <c r="F16" s="45"/>
      <c r="G16" s="68"/>
    </row>
    <row r="17" spans="1:12">
      <c r="A17" s="69" t="s">
        <v>126</v>
      </c>
      <c r="B17" s="73">
        <v>6470</v>
      </c>
      <c r="C17" s="45" t="s">
        <v>127</v>
      </c>
      <c r="D17" s="45"/>
      <c r="E17" s="45"/>
      <c r="F17" s="45"/>
      <c r="G17" s="68"/>
    </row>
    <row r="18" spans="1:12">
      <c r="A18" s="69" t="s">
        <v>150</v>
      </c>
      <c r="B18" s="73">
        <v>3.4119999999999999</v>
      </c>
      <c r="C18" s="45"/>
      <c r="D18" s="45"/>
      <c r="E18" s="45"/>
      <c r="F18" s="45"/>
      <c r="G18" s="68"/>
    </row>
    <row r="19" spans="1:12">
      <c r="A19" s="67" t="s">
        <v>42</v>
      </c>
      <c r="B19" s="73">
        <v>-2.2999999999999998</v>
      </c>
      <c r="C19" s="45"/>
      <c r="D19" s="45"/>
      <c r="E19" s="45"/>
      <c r="F19" s="45"/>
      <c r="G19" s="68"/>
    </row>
    <row r="20" spans="1:12">
      <c r="A20" s="157" t="s">
        <v>98</v>
      </c>
      <c r="B20" s="121" t="s">
        <v>99</v>
      </c>
      <c r="C20" s="42"/>
      <c r="D20" s="42"/>
      <c r="E20" s="42"/>
      <c r="F20" s="42"/>
      <c r="G20" s="70"/>
    </row>
    <row r="21" spans="1:12">
      <c r="A21" s="76" t="s">
        <v>76</v>
      </c>
    </row>
    <row r="22" spans="1:12">
      <c r="A22" s="29" t="s">
        <v>28</v>
      </c>
    </row>
    <row r="23" spans="1:12">
      <c r="A23" s="31" t="s">
        <v>27</v>
      </c>
    </row>
    <row r="25" spans="1:12">
      <c r="A25" s="12" t="str">
        <f>CONCATENATE("Energy Usage and O&amp;M Costs by Water Heater Type - ",State,", ", SpaceHeat,", Starting with ",StartWH," ",TankSize)</f>
        <v>Energy Usage and O&amp;M Costs by Water Heater Type - Oregon, Gas FAF, Starting with Electric Resistance &lt;=55 Gallons</v>
      </c>
    </row>
    <row r="26" spans="1:12" ht="47.25">
      <c r="A26" s="89" t="s">
        <v>0</v>
      </c>
      <c r="B26" s="89" t="s">
        <v>138</v>
      </c>
      <c r="C26" s="89" t="s">
        <v>137</v>
      </c>
      <c r="D26" s="89" t="s">
        <v>136</v>
      </c>
      <c r="E26" s="89" t="s">
        <v>17</v>
      </c>
      <c r="F26" s="89" t="s">
        <v>53</v>
      </c>
      <c r="G26" s="82"/>
      <c r="H26" s="82"/>
      <c r="I26" s="82"/>
      <c r="J26" s="82"/>
      <c r="K26" s="82"/>
      <c r="L26" s="93"/>
    </row>
    <row r="27" spans="1:12">
      <c r="A27" s="2" t="s">
        <v>8</v>
      </c>
      <c r="B27" s="112">
        <v>3355.4343604471896</v>
      </c>
      <c r="C27" s="113">
        <v>0</v>
      </c>
      <c r="D27" s="114">
        <v>4.0147653217481896</v>
      </c>
      <c r="E27" s="115">
        <v>1</v>
      </c>
      <c r="F27" s="60" t="s">
        <v>62</v>
      </c>
      <c r="G27" s="45"/>
      <c r="H27" s="45"/>
      <c r="I27" s="45"/>
      <c r="J27" s="45"/>
      <c r="K27" s="45"/>
      <c r="L27" s="68"/>
    </row>
    <row r="28" spans="1:12">
      <c r="A28" s="2" t="s">
        <v>11</v>
      </c>
      <c r="B28" s="112">
        <v>1593.8313212124149</v>
      </c>
      <c r="C28" s="113">
        <v>0</v>
      </c>
      <c r="D28" s="114">
        <v>8.8912994251335906</v>
      </c>
      <c r="E28" s="115">
        <v>1</v>
      </c>
      <c r="F28" s="60" t="s">
        <v>62</v>
      </c>
      <c r="G28" s="45"/>
      <c r="H28" s="45"/>
      <c r="I28" s="45"/>
      <c r="J28" s="45"/>
      <c r="K28" s="45"/>
      <c r="L28" s="68"/>
    </row>
    <row r="29" spans="1:12">
      <c r="A29" s="2" t="s">
        <v>12</v>
      </c>
      <c r="B29" s="112">
        <v>0</v>
      </c>
      <c r="C29" s="113">
        <v>17.346578845220922</v>
      </c>
      <c r="D29" s="114">
        <v>12.364813725618941</v>
      </c>
      <c r="E29" s="115">
        <v>0</v>
      </c>
      <c r="F29" s="60" t="s">
        <v>62</v>
      </c>
      <c r="G29" s="45"/>
      <c r="H29" s="45"/>
      <c r="I29" s="45"/>
      <c r="J29" s="45"/>
      <c r="K29" s="45"/>
      <c r="L29" s="68"/>
    </row>
    <row r="30" spans="1:12">
      <c r="A30" s="2" t="s">
        <v>13</v>
      </c>
      <c r="B30" s="112">
        <v>0</v>
      </c>
      <c r="C30" s="113">
        <v>13.162899583423945</v>
      </c>
      <c r="D30" s="114">
        <v>66.879220980384858</v>
      </c>
      <c r="E30" s="115">
        <v>0</v>
      </c>
      <c r="F30" s="60" t="s">
        <v>62</v>
      </c>
      <c r="G30" s="45"/>
      <c r="H30" s="45"/>
      <c r="I30" s="45"/>
      <c r="J30" s="45"/>
      <c r="K30" s="45"/>
      <c r="L30" s="68"/>
    </row>
    <row r="31" spans="1:12">
      <c r="A31" s="79" t="s">
        <v>14</v>
      </c>
      <c r="B31" s="116">
        <v>0</v>
      </c>
      <c r="C31" s="117">
        <v>9.1880867494806662</v>
      </c>
      <c r="D31" s="118">
        <v>14.794662287278264</v>
      </c>
      <c r="E31" s="119">
        <v>0</v>
      </c>
      <c r="F31" s="106" t="s">
        <v>62</v>
      </c>
      <c r="G31" s="42"/>
      <c r="H31" s="42"/>
      <c r="I31" s="42"/>
      <c r="J31" s="42"/>
      <c r="K31" s="42"/>
      <c r="L31" s="70"/>
    </row>
    <row r="32" spans="1:12">
      <c r="A32" s="2"/>
      <c r="B32" s="112"/>
      <c r="C32" s="113"/>
      <c r="D32" s="114"/>
      <c r="E32" s="115"/>
      <c r="F32" s="60"/>
      <c r="G32" s="45"/>
      <c r="H32" s="45"/>
      <c r="I32" s="45"/>
      <c r="J32" s="45"/>
      <c r="K32" s="45"/>
      <c r="L32" s="45"/>
    </row>
    <row r="33" spans="1:1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59"/>
      <c r="L33" s="78"/>
    </row>
    <row r="34" spans="1:12">
      <c r="A34" s="12" t="str">
        <f>CONCATENATE("Capital Cost by Water Heater Type - ",State,", ", SpaceHeat,", Starting with ",StartWH," ",TankSize)</f>
        <v>Capital Cost by Water Heater Type - Oregon, Gas FAF, Starting with Electric Resistance &lt;=55 Gallons</v>
      </c>
      <c r="B34" s="78"/>
      <c r="C34" s="78"/>
      <c r="D34" s="5"/>
      <c r="E34" s="2"/>
      <c r="F34" s="2"/>
      <c r="G34" s="78"/>
      <c r="H34" s="78"/>
      <c r="I34" s="78"/>
      <c r="J34" s="78"/>
      <c r="K34" s="78"/>
      <c r="L34" s="78"/>
    </row>
    <row r="35" spans="1:12" ht="31.5">
      <c r="A35" s="104" t="s">
        <v>0</v>
      </c>
      <c r="B35" s="104" t="s">
        <v>135</v>
      </c>
      <c r="C35" s="104" t="s">
        <v>67</v>
      </c>
      <c r="D35" s="105" t="s">
        <v>53</v>
      </c>
      <c r="E35" s="105"/>
      <c r="F35" s="105"/>
      <c r="G35" s="105"/>
      <c r="H35" s="105"/>
      <c r="I35" s="105"/>
      <c r="J35" s="105"/>
      <c r="K35" s="105"/>
      <c r="L35" s="105"/>
    </row>
    <row r="36" spans="1:12">
      <c r="A36" s="2" t="s">
        <v>8</v>
      </c>
      <c r="B36" s="108">
        <v>590</v>
      </c>
      <c r="C36" s="109" t="s">
        <v>57</v>
      </c>
      <c r="D36" s="55" t="s">
        <v>58</v>
      </c>
    </row>
    <row r="37" spans="1:12">
      <c r="A37" s="2" t="s">
        <v>11</v>
      </c>
      <c r="B37" s="108">
        <v>1621</v>
      </c>
      <c r="C37" s="109" t="s">
        <v>56</v>
      </c>
      <c r="D37" s="55" t="s">
        <v>59</v>
      </c>
    </row>
    <row r="38" spans="1:12">
      <c r="A38" s="2" t="s">
        <v>12</v>
      </c>
      <c r="B38" s="108">
        <v>785</v>
      </c>
      <c r="C38" s="109" t="s">
        <v>55</v>
      </c>
      <c r="D38" s="55" t="s">
        <v>60</v>
      </c>
    </row>
    <row r="39" spans="1:12">
      <c r="A39" s="2" t="s">
        <v>13</v>
      </c>
      <c r="B39" s="108">
        <v>3760</v>
      </c>
      <c r="C39" s="109" t="s">
        <v>55</v>
      </c>
      <c r="D39" s="55" t="s">
        <v>60</v>
      </c>
    </row>
    <row r="40" spans="1:12">
      <c r="A40" s="42" t="s">
        <v>14</v>
      </c>
      <c r="B40" s="110">
        <v>1861.3517860501238</v>
      </c>
      <c r="C40" s="111" t="s">
        <v>61</v>
      </c>
      <c r="D40" s="106" t="s">
        <v>54</v>
      </c>
      <c r="E40" s="42"/>
      <c r="F40" s="42"/>
      <c r="G40" s="42"/>
      <c r="H40" s="42"/>
      <c r="I40" s="42"/>
      <c r="J40" s="42"/>
      <c r="K40" s="42"/>
      <c r="L40" s="42"/>
    </row>
    <row r="41" spans="1:12">
      <c r="A41" s="45"/>
      <c r="B41" s="108"/>
      <c r="C41" s="143"/>
      <c r="D41" s="60"/>
      <c r="E41" s="45"/>
      <c r="F41" s="45"/>
      <c r="G41" s="45"/>
      <c r="H41" s="45"/>
      <c r="I41" s="45"/>
      <c r="J41" s="45"/>
      <c r="K41" s="45"/>
      <c r="L41" s="45"/>
    </row>
    <row r="43" spans="1:12" s="16" customFormat="1">
      <c r="A43" s="65" t="s">
        <v>26</v>
      </c>
    </row>
    <row r="44" spans="1:12" s="16" customFormat="1" ht="31.5">
      <c r="A44" s="141" t="s">
        <v>1</v>
      </c>
      <c r="B44" s="142" t="s">
        <v>2</v>
      </c>
      <c r="C44" s="142" t="s">
        <v>3</v>
      </c>
      <c r="D44" s="142" t="s">
        <v>4</v>
      </c>
      <c r="E44" s="142" t="s">
        <v>5</v>
      </c>
      <c r="F44" s="142" t="s">
        <v>6</v>
      </c>
      <c r="G44" s="142" t="s">
        <v>22</v>
      </c>
      <c r="H44" s="142" t="s">
        <v>23</v>
      </c>
    </row>
    <row r="45" spans="1:12" s="16" customFormat="1">
      <c r="A45" s="130">
        <v>5112121</v>
      </c>
      <c r="B45" s="101" t="s">
        <v>7</v>
      </c>
      <c r="C45" s="101" t="s">
        <v>8</v>
      </c>
      <c r="D45" s="101" t="s">
        <v>8</v>
      </c>
      <c r="E45" s="101" t="s">
        <v>9</v>
      </c>
      <c r="F45" s="101" t="s">
        <v>10</v>
      </c>
      <c r="G45" s="101" t="s">
        <v>24</v>
      </c>
      <c r="H45" s="101" t="s">
        <v>25</v>
      </c>
    </row>
    <row r="46" spans="1:12" s="16" customFormat="1">
      <c r="A46" s="130">
        <v>5112121</v>
      </c>
      <c r="B46" s="101" t="s">
        <v>7</v>
      </c>
      <c r="C46" s="101" t="s">
        <v>8</v>
      </c>
      <c r="D46" s="101" t="s">
        <v>11</v>
      </c>
      <c r="E46" s="101" t="s">
        <v>9</v>
      </c>
      <c r="F46" s="101" t="s">
        <v>10</v>
      </c>
      <c r="G46" s="101" t="s">
        <v>24</v>
      </c>
      <c r="H46" s="101" t="s">
        <v>25</v>
      </c>
    </row>
    <row r="47" spans="1:12" s="16" customFormat="1">
      <c r="A47" s="130">
        <v>5112121</v>
      </c>
      <c r="B47" s="101" t="s">
        <v>7</v>
      </c>
      <c r="C47" s="101" t="s">
        <v>8</v>
      </c>
      <c r="D47" s="101" t="s">
        <v>12</v>
      </c>
      <c r="E47" s="101" t="s">
        <v>9</v>
      </c>
      <c r="F47" s="101" t="s">
        <v>10</v>
      </c>
      <c r="G47" s="101" t="s">
        <v>24</v>
      </c>
      <c r="H47" s="101" t="s">
        <v>25</v>
      </c>
    </row>
    <row r="48" spans="1:12" s="16" customFormat="1">
      <c r="A48" s="130">
        <v>5112121</v>
      </c>
      <c r="B48" s="101" t="s">
        <v>7</v>
      </c>
      <c r="C48" s="101" t="s">
        <v>8</v>
      </c>
      <c r="D48" s="101" t="s">
        <v>13</v>
      </c>
      <c r="E48" s="101" t="s">
        <v>9</v>
      </c>
      <c r="F48" s="101" t="s">
        <v>10</v>
      </c>
      <c r="G48" s="101" t="s">
        <v>24</v>
      </c>
      <c r="H48" s="101" t="s">
        <v>25</v>
      </c>
    </row>
    <row r="49" spans="1:8" s="16" customFormat="1">
      <c r="A49" s="130">
        <v>5112121</v>
      </c>
      <c r="B49" s="101" t="s">
        <v>7</v>
      </c>
      <c r="C49" s="101" t="s">
        <v>8</v>
      </c>
      <c r="D49" s="101" t="s">
        <v>14</v>
      </c>
      <c r="E49" s="101" t="s">
        <v>9</v>
      </c>
      <c r="F49" s="101" t="s">
        <v>10</v>
      </c>
      <c r="G49" s="101" t="s">
        <v>24</v>
      </c>
      <c r="H49" s="101" t="s">
        <v>25</v>
      </c>
    </row>
    <row r="50" spans="1:8" s="16" customFormat="1">
      <c r="A50" s="74" t="s">
        <v>29</v>
      </c>
    </row>
    <row r="51" spans="1:8" s="16" customForma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31"/>
  <sheetViews>
    <sheetView workbookViewId="0"/>
  </sheetViews>
  <sheetFormatPr defaultRowHeight="15"/>
  <cols>
    <col min="1" max="1" width="22.85546875" customWidth="1"/>
    <col min="2" max="2" width="12.28515625" customWidth="1"/>
    <col min="3" max="9" width="9.7109375" customWidth="1"/>
  </cols>
  <sheetData>
    <row r="1" spans="1:23" ht="15.75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 s="9" customFormat="1" ht="22.5" customHeight="1">
      <c r="A3" s="26" t="s">
        <v>71</v>
      </c>
    </row>
    <row r="4" spans="1:23" s="9" customFormat="1" ht="15.75">
      <c r="A4" s="29" t="s">
        <v>37</v>
      </c>
    </row>
    <row r="5" spans="1:23" s="9" customFormat="1" ht="15.75">
      <c r="A5" s="30" t="s">
        <v>31</v>
      </c>
    </row>
    <row r="6" spans="1:23" s="9" customFormat="1" ht="15.75">
      <c r="A6" s="30" t="s">
        <v>32</v>
      </c>
    </row>
    <row r="7" spans="1:23" s="9" customFormat="1" ht="15.75">
      <c r="A7" s="126"/>
    </row>
    <row r="8" spans="1:23" s="9" customFormat="1" ht="15.75">
      <c r="A8" s="127" t="str">
        <f>CONCATENATE($A$3," - ",'Input Assumptions'!$B$9," ", 'Input Assumptions'!$B$10," Space Heat, ", 'Input Assumptions'!$B$11," ", 'Input Assumptions'!$B$12)</f>
        <v>Non-Price Factor Assumptions ($/$) - Oregon Gas FAF Space Heat, Electric Resistance &lt;=55 Gallons</v>
      </c>
    </row>
    <row r="9" spans="1:23" s="23" customFormat="1" ht="15.75">
      <c r="A9" s="144" t="str">
        <f>+'Device Energy Use'!A4</f>
        <v>Water Heat Ending</v>
      </c>
      <c r="B9" s="145">
        <v>2014</v>
      </c>
      <c r="C9" s="145">
        <v>2015</v>
      </c>
      <c r="D9" s="145">
        <v>2016</v>
      </c>
      <c r="E9" s="145">
        <v>2017</v>
      </c>
      <c r="F9" s="145">
        <v>2018</v>
      </c>
      <c r="G9" s="145">
        <v>2019</v>
      </c>
      <c r="H9" s="145">
        <v>2020</v>
      </c>
      <c r="I9" s="145">
        <v>2021</v>
      </c>
      <c r="J9" s="145">
        <v>2022</v>
      </c>
      <c r="K9" s="145">
        <v>2023</v>
      </c>
      <c r="L9" s="145">
        <v>2024</v>
      </c>
      <c r="M9" s="145">
        <v>2025</v>
      </c>
      <c r="N9" s="145">
        <v>2026</v>
      </c>
      <c r="O9" s="145">
        <v>2027</v>
      </c>
      <c r="P9" s="145">
        <v>2028</v>
      </c>
      <c r="Q9" s="145">
        <v>2029</v>
      </c>
      <c r="R9" s="145">
        <v>2030</v>
      </c>
      <c r="S9" s="145">
        <v>2031</v>
      </c>
      <c r="T9" s="145">
        <v>2032</v>
      </c>
      <c r="U9" s="145">
        <v>2033</v>
      </c>
      <c r="V9" s="145">
        <v>2034</v>
      </c>
      <c r="W9" s="145">
        <v>2035</v>
      </c>
    </row>
    <row r="10" spans="1:23" s="9" customFormat="1" ht="15.75">
      <c r="A10" s="9" t="str">
        <f>+'Device Energy Use'!A5</f>
        <v>Electric Resistance</v>
      </c>
      <c r="B10" s="24">
        <v>10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</row>
    <row r="11" spans="1:23" s="9" customFormat="1" ht="15.75">
      <c r="A11" s="9" t="str">
        <f>+'Device Energy Use'!A6</f>
        <v>HPWH</v>
      </c>
      <c r="B11" s="24">
        <v>-10</v>
      </c>
      <c r="C11" s="36">
        <f t="shared" ref="C11:W11" si="0">B11*$I$16</f>
        <v>-9.2629999999999999</v>
      </c>
      <c r="D11" s="36">
        <f t="shared" si="0"/>
        <v>-8.5803168999999997</v>
      </c>
      <c r="E11" s="36">
        <f t="shared" si="0"/>
        <v>-7.9479475444699998</v>
      </c>
      <c r="F11" s="36">
        <f t="shared" si="0"/>
        <v>-7.362183810442561</v>
      </c>
      <c r="G11" s="36">
        <f t="shared" si="0"/>
        <v>-6.8195908636129445</v>
      </c>
      <c r="H11" s="36">
        <f t="shared" si="0"/>
        <v>-6.3169870169646707</v>
      </c>
      <c r="I11" s="36">
        <f t="shared" si="0"/>
        <v>-5.8514250738143749</v>
      </c>
      <c r="J11" s="36">
        <f t="shared" si="0"/>
        <v>-5.4201750458742559</v>
      </c>
      <c r="K11" s="36">
        <f t="shared" si="0"/>
        <v>-5.0207081449933231</v>
      </c>
      <c r="L11" s="36">
        <f t="shared" si="0"/>
        <v>-4.6506819547073155</v>
      </c>
      <c r="M11" s="36">
        <f t="shared" si="0"/>
        <v>-4.3079266946453867</v>
      </c>
      <c r="N11" s="36">
        <f t="shared" si="0"/>
        <v>-3.9904324972500218</v>
      </c>
      <c r="O11" s="36">
        <f t="shared" si="0"/>
        <v>-3.6963376222026953</v>
      </c>
      <c r="P11" s="36">
        <f t="shared" si="0"/>
        <v>-3.4239175394463568</v>
      </c>
      <c r="Q11" s="36">
        <f t="shared" si="0"/>
        <v>-3.1715748167891604</v>
      </c>
      <c r="R11" s="36">
        <f t="shared" si="0"/>
        <v>-2.9378297527917994</v>
      </c>
      <c r="S11" s="36">
        <f t="shared" si="0"/>
        <v>-2.7213117000110438</v>
      </c>
      <c r="T11" s="36">
        <f t="shared" si="0"/>
        <v>-2.5207510277202299</v>
      </c>
      <c r="U11" s="36">
        <f t="shared" si="0"/>
        <v>-2.3349716769772488</v>
      </c>
      <c r="V11" s="36">
        <f t="shared" si="0"/>
        <v>-2.1628842643840258</v>
      </c>
      <c r="W11" s="36">
        <f t="shared" si="0"/>
        <v>-2.0034796940989232</v>
      </c>
    </row>
    <row r="12" spans="1:23" s="9" customFormat="1" ht="15.75">
      <c r="A12" s="9" t="str">
        <f>+'Device Energy Use'!A7</f>
        <v>Gas Tank</v>
      </c>
      <c r="B12" s="24">
        <v>-2</v>
      </c>
      <c r="C12" s="36">
        <f t="shared" ref="C12:W12" si="1">B12</f>
        <v>-2</v>
      </c>
      <c r="D12" s="36">
        <f t="shared" si="1"/>
        <v>-2</v>
      </c>
      <c r="E12" s="36">
        <f t="shared" si="1"/>
        <v>-2</v>
      </c>
      <c r="F12" s="36">
        <f t="shared" si="1"/>
        <v>-2</v>
      </c>
      <c r="G12" s="36">
        <f t="shared" si="1"/>
        <v>-2</v>
      </c>
      <c r="H12" s="36">
        <f t="shared" si="1"/>
        <v>-2</v>
      </c>
      <c r="I12" s="36">
        <f t="shared" si="1"/>
        <v>-2</v>
      </c>
      <c r="J12" s="36">
        <f t="shared" si="1"/>
        <v>-2</v>
      </c>
      <c r="K12" s="36">
        <f t="shared" si="1"/>
        <v>-2</v>
      </c>
      <c r="L12" s="36">
        <f t="shared" si="1"/>
        <v>-2</v>
      </c>
      <c r="M12" s="36">
        <f t="shared" si="1"/>
        <v>-2</v>
      </c>
      <c r="N12" s="36">
        <f t="shared" si="1"/>
        <v>-2</v>
      </c>
      <c r="O12" s="36">
        <f t="shared" si="1"/>
        <v>-2</v>
      </c>
      <c r="P12" s="36">
        <f t="shared" si="1"/>
        <v>-2</v>
      </c>
      <c r="Q12" s="36">
        <f t="shared" si="1"/>
        <v>-2</v>
      </c>
      <c r="R12" s="36">
        <f t="shared" si="1"/>
        <v>-2</v>
      </c>
      <c r="S12" s="36">
        <f t="shared" si="1"/>
        <v>-2</v>
      </c>
      <c r="T12" s="36">
        <f t="shared" si="1"/>
        <v>-2</v>
      </c>
      <c r="U12" s="36">
        <f t="shared" si="1"/>
        <v>-2</v>
      </c>
      <c r="V12" s="36">
        <f t="shared" si="1"/>
        <v>-2</v>
      </c>
      <c r="W12" s="36">
        <f t="shared" si="1"/>
        <v>-2</v>
      </c>
    </row>
    <row r="13" spans="1:23" s="9" customFormat="1" ht="15.75">
      <c r="A13" s="9" t="str">
        <f>+'Device Energy Use'!A8</f>
        <v>Instant Gas</v>
      </c>
      <c r="B13" s="24">
        <v>-10</v>
      </c>
      <c r="C13" s="36">
        <f t="shared" ref="C13:W13" si="2">B13*$I$16</f>
        <v>-9.2629999999999999</v>
      </c>
      <c r="D13" s="36">
        <f t="shared" si="2"/>
        <v>-8.5803168999999997</v>
      </c>
      <c r="E13" s="36">
        <f t="shared" si="2"/>
        <v>-7.9479475444699998</v>
      </c>
      <c r="F13" s="36">
        <f t="shared" si="2"/>
        <v>-7.362183810442561</v>
      </c>
      <c r="G13" s="36">
        <f t="shared" si="2"/>
        <v>-6.8195908636129445</v>
      </c>
      <c r="H13" s="36">
        <f t="shared" si="2"/>
        <v>-6.3169870169646707</v>
      </c>
      <c r="I13" s="36">
        <f t="shared" si="2"/>
        <v>-5.8514250738143749</v>
      </c>
      <c r="J13" s="36">
        <f t="shared" si="2"/>
        <v>-5.4201750458742559</v>
      </c>
      <c r="K13" s="36">
        <f t="shared" si="2"/>
        <v>-5.0207081449933231</v>
      </c>
      <c r="L13" s="36">
        <f t="shared" si="2"/>
        <v>-4.6506819547073155</v>
      </c>
      <c r="M13" s="36">
        <f t="shared" si="2"/>
        <v>-4.3079266946453867</v>
      </c>
      <c r="N13" s="36">
        <f t="shared" si="2"/>
        <v>-3.9904324972500218</v>
      </c>
      <c r="O13" s="36">
        <f t="shared" si="2"/>
        <v>-3.6963376222026953</v>
      </c>
      <c r="P13" s="36">
        <f t="shared" si="2"/>
        <v>-3.4239175394463568</v>
      </c>
      <c r="Q13" s="36">
        <f t="shared" si="2"/>
        <v>-3.1715748167891604</v>
      </c>
      <c r="R13" s="36">
        <f t="shared" si="2"/>
        <v>-2.9378297527917994</v>
      </c>
      <c r="S13" s="36">
        <f t="shared" si="2"/>
        <v>-2.7213117000110438</v>
      </c>
      <c r="T13" s="36">
        <f t="shared" si="2"/>
        <v>-2.5207510277202299</v>
      </c>
      <c r="U13" s="36">
        <f t="shared" si="2"/>
        <v>-2.3349716769772488</v>
      </c>
      <c r="V13" s="36">
        <f t="shared" si="2"/>
        <v>-2.1628842643840258</v>
      </c>
      <c r="W13" s="36">
        <f t="shared" si="2"/>
        <v>-2.0034796940989232</v>
      </c>
    </row>
    <row r="14" spans="1:23" s="9" customFormat="1" ht="15.75">
      <c r="A14" s="9" t="str">
        <f>+'Device Energy Use'!A9</f>
        <v>Condensing Gas</v>
      </c>
      <c r="B14" s="24">
        <v>-10</v>
      </c>
      <c r="C14" s="36">
        <f t="shared" ref="C14:W14" si="3">B14*$I$16</f>
        <v>-9.2629999999999999</v>
      </c>
      <c r="D14" s="36">
        <f t="shared" si="3"/>
        <v>-8.5803168999999997</v>
      </c>
      <c r="E14" s="36">
        <f t="shared" si="3"/>
        <v>-7.9479475444699998</v>
      </c>
      <c r="F14" s="36">
        <f t="shared" si="3"/>
        <v>-7.362183810442561</v>
      </c>
      <c r="G14" s="36">
        <f t="shared" si="3"/>
        <v>-6.8195908636129445</v>
      </c>
      <c r="H14" s="36">
        <f t="shared" si="3"/>
        <v>-6.3169870169646707</v>
      </c>
      <c r="I14" s="36">
        <f t="shared" si="3"/>
        <v>-5.8514250738143749</v>
      </c>
      <c r="J14" s="36">
        <f t="shared" si="3"/>
        <v>-5.4201750458742559</v>
      </c>
      <c r="K14" s="36">
        <f t="shared" si="3"/>
        <v>-5.0207081449933231</v>
      </c>
      <c r="L14" s="36">
        <f t="shared" si="3"/>
        <v>-4.6506819547073155</v>
      </c>
      <c r="M14" s="36">
        <f t="shared" si="3"/>
        <v>-4.3079266946453867</v>
      </c>
      <c r="N14" s="36">
        <f t="shared" si="3"/>
        <v>-3.9904324972500218</v>
      </c>
      <c r="O14" s="36">
        <f t="shared" si="3"/>
        <v>-3.6963376222026953</v>
      </c>
      <c r="P14" s="36">
        <f t="shared" si="3"/>
        <v>-3.4239175394463568</v>
      </c>
      <c r="Q14" s="36">
        <f t="shared" si="3"/>
        <v>-3.1715748167891604</v>
      </c>
      <c r="R14" s="36">
        <f t="shared" si="3"/>
        <v>-2.9378297527917994</v>
      </c>
      <c r="S14" s="36">
        <f t="shared" si="3"/>
        <v>-2.7213117000110438</v>
      </c>
      <c r="T14" s="36">
        <f t="shared" si="3"/>
        <v>-2.5207510277202299</v>
      </c>
      <c r="U14" s="36">
        <f t="shared" si="3"/>
        <v>-2.3349716769772488</v>
      </c>
      <c r="V14" s="36">
        <f t="shared" si="3"/>
        <v>-2.1628842643840258</v>
      </c>
      <c r="W14" s="36">
        <f t="shared" si="3"/>
        <v>-2.0034796940989232</v>
      </c>
    </row>
    <row r="15" spans="1:23" s="9" customFormat="1" ht="15.75"/>
    <row r="16" spans="1:23" s="9" customFormat="1" ht="15.75">
      <c r="A16" s="37" t="s">
        <v>92</v>
      </c>
      <c r="I16" s="36">
        <v>0.92630000000000001</v>
      </c>
    </row>
    <row r="17" spans="1:23" s="9" customFormat="1" ht="15.75">
      <c r="A17" s="32"/>
    </row>
    <row r="18" spans="1:23" s="9" customFormat="1" ht="15.75">
      <c r="A18" s="127" t="str">
        <f>CONCATENATE("Impact of Non-Price Factors on Market Share (%)"," - ",'Input Assumptions'!$B$9," ", 'Input Assumptions'!$B$10," Space Heat, ", 'Input Assumptions'!$B$11," ", 'Input Assumptions'!$B$12)</f>
        <v>Impact of Non-Price Factors on Market Share (%) - Oregon Gas FAF Space Heat, Electric Resistance &lt;=55 Gallons</v>
      </c>
    </row>
    <row r="19" spans="1:23" s="9" customFormat="1" ht="15.75">
      <c r="A19" s="144" t="str">
        <f t="shared" ref="A19:W19" si="4">A9</f>
        <v>Water Heat Ending</v>
      </c>
      <c r="B19" s="145">
        <f t="shared" si="4"/>
        <v>2014</v>
      </c>
      <c r="C19" s="145">
        <f t="shared" si="4"/>
        <v>2015</v>
      </c>
      <c r="D19" s="145">
        <f t="shared" si="4"/>
        <v>2016</v>
      </c>
      <c r="E19" s="145">
        <f t="shared" si="4"/>
        <v>2017</v>
      </c>
      <c r="F19" s="145">
        <f t="shared" si="4"/>
        <v>2018</v>
      </c>
      <c r="G19" s="145">
        <f t="shared" si="4"/>
        <v>2019</v>
      </c>
      <c r="H19" s="145">
        <f t="shared" si="4"/>
        <v>2020</v>
      </c>
      <c r="I19" s="145">
        <f t="shared" si="4"/>
        <v>2021</v>
      </c>
      <c r="J19" s="145">
        <f t="shared" si="4"/>
        <v>2022</v>
      </c>
      <c r="K19" s="145">
        <f t="shared" si="4"/>
        <v>2023</v>
      </c>
      <c r="L19" s="145">
        <f t="shared" si="4"/>
        <v>2024</v>
      </c>
      <c r="M19" s="145">
        <f t="shared" si="4"/>
        <v>2025</v>
      </c>
      <c r="N19" s="145">
        <f t="shared" si="4"/>
        <v>2026</v>
      </c>
      <c r="O19" s="145">
        <f t="shared" si="4"/>
        <v>2027</v>
      </c>
      <c r="P19" s="145">
        <f t="shared" si="4"/>
        <v>2028</v>
      </c>
      <c r="Q19" s="145">
        <f t="shared" si="4"/>
        <v>2029</v>
      </c>
      <c r="R19" s="145">
        <f t="shared" si="4"/>
        <v>2030</v>
      </c>
      <c r="S19" s="145">
        <f t="shared" si="4"/>
        <v>2031</v>
      </c>
      <c r="T19" s="145">
        <f t="shared" si="4"/>
        <v>2032</v>
      </c>
      <c r="U19" s="145">
        <f t="shared" si="4"/>
        <v>2033</v>
      </c>
      <c r="V19" s="145">
        <f t="shared" si="4"/>
        <v>2034</v>
      </c>
      <c r="W19" s="145">
        <f t="shared" si="4"/>
        <v>2035</v>
      </c>
    </row>
    <row r="20" spans="1:23" s="9" customFormat="1" ht="15.75">
      <c r="A20" s="10" t="str">
        <f>A10</f>
        <v>Electric Resistance</v>
      </c>
      <c r="B20" s="128">
        <f>EXP(B10)</f>
        <v>22026.465794806718</v>
      </c>
      <c r="C20" s="128">
        <f>EXP(C10)</f>
        <v>1</v>
      </c>
      <c r="D20" s="128">
        <f t="shared" ref="D20:W24" si="5">EXP(D10)</f>
        <v>1</v>
      </c>
      <c r="E20" s="128">
        <f t="shared" si="5"/>
        <v>1</v>
      </c>
      <c r="F20" s="128">
        <f t="shared" si="5"/>
        <v>1</v>
      </c>
      <c r="G20" s="128">
        <f t="shared" si="5"/>
        <v>1</v>
      </c>
      <c r="H20" s="128">
        <f t="shared" si="5"/>
        <v>1</v>
      </c>
      <c r="I20" s="128">
        <f t="shared" si="5"/>
        <v>1</v>
      </c>
      <c r="J20" s="128">
        <f t="shared" si="5"/>
        <v>1</v>
      </c>
      <c r="K20" s="128">
        <f t="shared" si="5"/>
        <v>1</v>
      </c>
      <c r="L20" s="128">
        <f t="shared" si="5"/>
        <v>1</v>
      </c>
      <c r="M20" s="128">
        <f t="shared" si="5"/>
        <v>1</v>
      </c>
      <c r="N20" s="128">
        <f t="shared" si="5"/>
        <v>1</v>
      </c>
      <c r="O20" s="128">
        <f t="shared" si="5"/>
        <v>1</v>
      </c>
      <c r="P20" s="128">
        <f t="shared" si="5"/>
        <v>1</v>
      </c>
      <c r="Q20" s="128">
        <f t="shared" si="5"/>
        <v>1</v>
      </c>
      <c r="R20" s="128">
        <f t="shared" si="5"/>
        <v>1</v>
      </c>
      <c r="S20" s="128">
        <f t="shared" si="5"/>
        <v>1</v>
      </c>
      <c r="T20" s="128">
        <f t="shared" si="5"/>
        <v>1</v>
      </c>
      <c r="U20" s="128">
        <f t="shared" si="5"/>
        <v>1</v>
      </c>
      <c r="V20" s="128">
        <f t="shared" si="5"/>
        <v>1</v>
      </c>
      <c r="W20" s="128">
        <f t="shared" si="5"/>
        <v>1</v>
      </c>
    </row>
    <row r="21" spans="1:23" s="9" customFormat="1" ht="15.75">
      <c r="A21" s="10" t="str">
        <f>A11</f>
        <v>HPWH</v>
      </c>
      <c r="B21" s="128">
        <f>EXP(B11)</f>
        <v>4.5399929762484854E-5</v>
      </c>
      <c r="C21" s="128">
        <f t="shared" ref="C21:R24" si="6">EXP(C11)</f>
        <v>9.4870286940392634E-5</v>
      </c>
      <c r="D21" s="128">
        <f t="shared" si="6"/>
        <v>1.8776546510123642E-4</v>
      </c>
      <c r="E21" s="128">
        <f t="shared" si="6"/>
        <v>3.5338673135440333E-4</v>
      </c>
      <c r="F21" s="128">
        <f t="shared" si="6"/>
        <v>6.3481063861947802E-4</v>
      </c>
      <c r="G21" s="128">
        <f t="shared" si="6"/>
        <v>1.0921676764187808E-3</v>
      </c>
      <c r="H21" s="128">
        <f t="shared" si="6"/>
        <v>1.8053748836946277E-3</v>
      </c>
      <c r="I21" s="128">
        <f t="shared" si="6"/>
        <v>2.8757980121219356E-3</v>
      </c>
      <c r="J21" s="128">
        <f t="shared" si="6"/>
        <v>4.4263717618983544E-3</v>
      </c>
      <c r="K21" s="128">
        <f t="shared" si="6"/>
        <v>6.599851402385312E-3</v>
      </c>
      <c r="L21" s="128">
        <f t="shared" si="6"/>
        <v>9.5550835739620938E-3</v>
      </c>
      <c r="M21" s="128">
        <f t="shared" si="6"/>
        <v>1.3461430337210025E-2</v>
      </c>
      <c r="N21" s="128">
        <f t="shared" si="6"/>
        <v>1.8491714774308395E-2</v>
      </c>
      <c r="O21" s="128">
        <f t="shared" si="6"/>
        <v>2.4814239375826518E-2</v>
      </c>
      <c r="P21" s="128">
        <f t="shared" si="6"/>
        <v>3.2584533378041639E-2</v>
      </c>
      <c r="Q21" s="128">
        <f t="shared" si="6"/>
        <v>4.1937501990398925E-2</v>
      </c>
      <c r="R21" s="128">
        <f t="shared" si="6"/>
        <v>5.2980585026743042E-2</v>
      </c>
      <c r="S21" s="128">
        <f t="shared" si="5"/>
        <v>6.578840315615643E-2</v>
      </c>
      <c r="T21" s="128">
        <f t="shared" si="5"/>
        <v>8.0399202040149567E-2</v>
      </c>
      <c r="U21" s="128">
        <f t="shared" si="5"/>
        <v>9.6813224530790096E-2</v>
      </c>
      <c r="V21" s="128">
        <f t="shared" si="5"/>
        <v>0.11499297213176096</v>
      </c>
      <c r="W21" s="128">
        <f t="shared" si="5"/>
        <v>0.13486517623877975</v>
      </c>
    </row>
    <row r="22" spans="1:23" ht="15.75">
      <c r="A22" s="10" t="str">
        <f>A12</f>
        <v>Gas Tank</v>
      </c>
      <c r="B22" s="128">
        <f t="shared" ref="B22:B24" si="7">EXP(B12)</f>
        <v>0.1353352832366127</v>
      </c>
      <c r="C22" s="128">
        <f t="shared" si="6"/>
        <v>0.1353352832366127</v>
      </c>
      <c r="D22" s="128">
        <f t="shared" si="5"/>
        <v>0.1353352832366127</v>
      </c>
      <c r="E22" s="128">
        <f t="shared" si="5"/>
        <v>0.1353352832366127</v>
      </c>
      <c r="F22" s="128">
        <f t="shared" si="5"/>
        <v>0.1353352832366127</v>
      </c>
      <c r="G22" s="128">
        <f t="shared" si="5"/>
        <v>0.1353352832366127</v>
      </c>
      <c r="H22" s="128">
        <f t="shared" si="5"/>
        <v>0.1353352832366127</v>
      </c>
      <c r="I22" s="128">
        <f t="shared" si="5"/>
        <v>0.1353352832366127</v>
      </c>
      <c r="J22" s="128">
        <f t="shared" si="5"/>
        <v>0.1353352832366127</v>
      </c>
      <c r="K22" s="128">
        <f t="shared" si="5"/>
        <v>0.1353352832366127</v>
      </c>
      <c r="L22" s="128">
        <f t="shared" si="5"/>
        <v>0.1353352832366127</v>
      </c>
      <c r="M22" s="128">
        <f t="shared" si="5"/>
        <v>0.1353352832366127</v>
      </c>
      <c r="N22" s="128">
        <f t="shared" si="5"/>
        <v>0.1353352832366127</v>
      </c>
      <c r="O22" s="128">
        <f t="shared" si="5"/>
        <v>0.1353352832366127</v>
      </c>
      <c r="P22" s="128">
        <f t="shared" si="5"/>
        <v>0.1353352832366127</v>
      </c>
      <c r="Q22" s="128">
        <f t="shared" si="5"/>
        <v>0.1353352832366127</v>
      </c>
      <c r="R22" s="128">
        <f t="shared" si="5"/>
        <v>0.1353352832366127</v>
      </c>
      <c r="S22" s="128">
        <f t="shared" si="5"/>
        <v>0.1353352832366127</v>
      </c>
      <c r="T22" s="128">
        <f t="shared" si="5"/>
        <v>0.1353352832366127</v>
      </c>
      <c r="U22" s="128">
        <f t="shared" si="5"/>
        <v>0.1353352832366127</v>
      </c>
      <c r="V22" s="128">
        <f t="shared" si="5"/>
        <v>0.1353352832366127</v>
      </c>
      <c r="W22" s="128">
        <f t="shared" si="5"/>
        <v>0.1353352832366127</v>
      </c>
    </row>
    <row r="23" spans="1:23" ht="15.75">
      <c r="A23" s="10" t="str">
        <f>A13</f>
        <v>Instant Gas</v>
      </c>
      <c r="B23" s="128">
        <f t="shared" si="7"/>
        <v>4.5399929762484854E-5</v>
      </c>
      <c r="C23" s="128">
        <f t="shared" si="6"/>
        <v>9.4870286940392634E-5</v>
      </c>
      <c r="D23" s="128">
        <f t="shared" si="5"/>
        <v>1.8776546510123642E-4</v>
      </c>
      <c r="E23" s="128">
        <f t="shared" si="5"/>
        <v>3.5338673135440333E-4</v>
      </c>
      <c r="F23" s="128">
        <f t="shared" si="5"/>
        <v>6.3481063861947802E-4</v>
      </c>
      <c r="G23" s="128">
        <f t="shared" si="5"/>
        <v>1.0921676764187808E-3</v>
      </c>
      <c r="H23" s="128">
        <f t="shared" si="5"/>
        <v>1.8053748836946277E-3</v>
      </c>
      <c r="I23" s="128">
        <f t="shared" si="5"/>
        <v>2.8757980121219356E-3</v>
      </c>
      <c r="J23" s="128">
        <f t="shared" si="5"/>
        <v>4.4263717618983544E-3</v>
      </c>
      <c r="K23" s="128">
        <f t="shared" si="5"/>
        <v>6.599851402385312E-3</v>
      </c>
      <c r="L23" s="128">
        <f t="shared" si="5"/>
        <v>9.5550835739620938E-3</v>
      </c>
      <c r="M23" s="128">
        <f t="shared" si="5"/>
        <v>1.3461430337210025E-2</v>
      </c>
      <c r="N23" s="128">
        <f t="shared" si="5"/>
        <v>1.8491714774308395E-2</v>
      </c>
      <c r="O23" s="128">
        <f t="shared" si="5"/>
        <v>2.4814239375826518E-2</v>
      </c>
      <c r="P23" s="128">
        <f t="shared" si="5"/>
        <v>3.2584533378041639E-2</v>
      </c>
      <c r="Q23" s="128">
        <f t="shared" si="5"/>
        <v>4.1937501990398925E-2</v>
      </c>
      <c r="R23" s="128">
        <f t="shared" si="5"/>
        <v>5.2980585026743042E-2</v>
      </c>
      <c r="S23" s="128">
        <f t="shared" si="5"/>
        <v>6.578840315615643E-2</v>
      </c>
      <c r="T23" s="128">
        <f t="shared" si="5"/>
        <v>8.0399202040149567E-2</v>
      </c>
      <c r="U23" s="128">
        <f t="shared" si="5"/>
        <v>9.6813224530790096E-2</v>
      </c>
      <c r="V23" s="128">
        <f t="shared" si="5"/>
        <v>0.11499297213176096</v>
      </c>
      <c r="W23" s="128">
        <f t="shared" si="5"/>
        <v>0.13486517623877975</v>
      </c>
    </row>
    <row r="24" spans="1:23" ht="15.75">
      <c r="A24" s="10" t="str">
        <f>A14</f>
        <v>Condensing Gas</v>
      </c>
      <c r="B24" s="128">
        <f t="shared" si="7"/>
        <v>4.5399929762484854E-5</v>
      </c>
      <c r="C24" s="128">
        <f t="shared" si="6"/>
        <v>9.4870286940392634E-5</v>
      </c>
      <c r="D24" s="128">
        <f t="shared" si="5"/>
        <v>1.8776546510123642E-4</v>
      </c>
      <c r="E24" s="128">
        <f t="shared" si="5"/>
        <v>3.5338673135440333E-4</v>
      </c>
      <c r="F24" s="128">
        <f t="shared" si="5"/>
        <v>6.3481063861947802E-4</v>
      </c>
      <c r="G24" s="128">
        <f t="shared" si="5"/>
        <v>1.0921676764187808E-3</v>
      </c>
      <c r="H24" s="128">
        <f t="shared" si="5"/>
        <v>1.8053748836946277E-3</v>
      </c>
      <c r="I24" s="128">
        <f t="shared" si="5"/>
        <v>2.8757980121219356E-3</v>
      </c>
      <c r="J24" s="128">
        <f t="shared" si="5"/>
        <v>4.4263717618983544E-3</v>
      </c>
      <c r="K24" s="128">
        <f t="shared" si="5"/>
        <v>6.599851402385312E-3</v>
      </c>
      <c r="L24" s="128">
        <f t="shared" si="5"/>
        <v>9.5550835739620938E-3</v>
      </c>
      <c r="M24" s="128">
        <f t="shared" si="5"/>
        <v>1.3461430337210025E-2</v>
      </c>
      <c r="N24" s="128">
        <f t="shared" si="5"/>
        <v>1.8491714774308395E-2</v>
      </c>
      <c r="O24" s="128">
        <f t="shared" si="5"/>
        <v>2.4814239375826518E-2</v>
      </c>
      <c r="P24" s="128">
        <f t="shared" si="5"/>
        <v>3.2584533378041639E-2</v>
      </c>
      <c r="Q24" s="128">
        <f t="shared" si="5"/>
        <v>4.1937501990398925E-2</v>
      </c>
      <c r="R24" s="128">
        <f t="shared" si="5"/>
        <v>5.2980585026743042E-2</v>
      </c>
      <c r="S24" s="128">
        <f t="shared" si="5"/>
        <v>6.578840315615643E-2</v>
      </c>
      <c r="T24" s="128">
        <f t="shared" si="5"/>
        <v>8.0399202040149567E-2</v>
      </c>
      <c r="U24" s="128">
        <f t="shared" si="5"/>
        <v>9.6813224530790096E-2</v>
      </c>
      <c r="V24" s="128">
        <f t="shared" si="5"/>
        <v>0.11499297213176096</v>
      </c>
      <c r="W24" s="128">
        <f t="shared" si="5"/>
        <v>0.13486517623877975</v>
      </c>
    </row>
    <row r="25" spans="1:23" ht="15.75">
      <c r="A25" s="10"/>
    </row>
    <row r="26" spans="1:23" s="9" customFormat="1" ht="15.75">
      <c r="A26" s="37" t="s">
        <v>33</v>
      </c>
    </row>
    <row r="27" spans="1:23" s="9" customFormat="1" ht="15.75">
      <c r="A27" s="35" t="s">
        <v>34</v>
      </c>
    </row>
    <row r="28" spans="1:23" s="9" customFormat="1" ht="15.75">
      <c r="A28" s="35" t="s">
        <v>41</v>
      </c>
    </row>
    <row r="29" spans="1:23" s="9" customFormat="1" ht="15.75">
      <c r="A29" s="35" t="s">
        <v>35</v>
      </c>
    </row>
    <row r="30" spans="1:23" s="9" customFormat="1" ht="15.75">
      <c r="A30" s="35" t="s">
        <v>36</v>
      </c>
    </row>
    <row r="31" spans="1:23" ht="15.75">
      <c r="A3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A9"/>
  <sheetViews>
    <sheetView tabSelected="1" workbookViewId="0">
      <selection activeCell="A5" sqref="A5:W6"/>
    </sheetView>
  </sheetViews>
  <sheetFormatPr defaultColWidth="9.140625" defaultRowHeight="15.75"/>
  <cols>
    <col min="1" max="1" width="12.7109375" style="9" customWidth="1"/>
    <col min="2" max="16384" width="9.140625" style="9"/>
  </cols>
  <sheetData>
    <row r="1" spans="1:27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7" ht="26.25" customHeight="1">
      <c r="A3" s="26" t="str">
        <f>CONCATENATE('Input Assumptions'!B9," Retail Rates (2012$/mmBtu)")</f>
        <v>Oregon Retail Rates (2012$/mmBtu)</v>
      </c>
    </row>
    <row r="4" spans="1:27">
      <c r="B4" s="12">
        <v>2014</v>
      </c>
      <c r="C4" s="12">
        <v>2015</v>
      </c>
      <c r="D4" s="12">
        <v>2016</v>
      </c>
      <c r="E4" s="12">
        <v>2017</v>
      </c>
      <c r="F4" s="12">
        <v>2018</v>
      </c>
      <c r="G4" s="12">
        <v>2019</v>
      </c>
      <c r="H4" s="12">
        <v>2020</v>
      </c>
      <c r="I4" s="12">
        <v>2021</v>
      </c>
      <c r="J4" s="12">
        <v>2022</v>
      </c>
      <c r="K4" s="12">
        <v>2023</v>
      </c>
      <c r="L4" s="12">
        <v>2024</v>
      </c>
      <c r="M4" s="12">
        <v>2025</v>
      </c>
      <c r="N4" s="12">
        <v>2026</v>
      </c>
      <c r="O4" s="12">
        <v>2027</v>
      </c>
      <c r="P4" s="12">
        <v>2028</v>
      </c>
      <c r="Q4" s="12">
        <v>2029</v>
      </c>
      <c r="R4" s="12">
        <v>2030</v>
      </c>
      <c r="S4" s="12">
        <v>2031</v>
      </c>
      <c r="T4" s="12">
        <v>2032</v>
      </c>
      <c r="U4" s="12">
        <v>2033</v>
      </c>
      <c r="V4" s="12">
        <v>2034</v>
      </c>
      <c r="W4" s="12">
        <v>2035</v>
      </c>
    </row>
    <row r="5" spans="1:27">
      <c r="A5" s="9" t="s">
        <v>18</v>
      </c>
      <c r="B5" s="64">
        <v>29.492097059999992</v>
      </c>
      <c r="C5" s="64">
        <v>29.875494321779989</v>
      </c>
      <c r="D5" s="64">
        <v>30.263875747963127</v>
      </c>
      <c r="E5" s="64">
        <v>30.657306132686646</v>
      </c>
      <c r="F5" s="64">
        <v>31.05585111241157</v>
      </c>
      <c r="G5" s="64">
        <v>31.459577176872919</v>
      </c>
      <c r="H5" s="64">
        <v>31.868551680172263</v>
      </c>
      <c r="I5" s="64">
        <v>32.282842852014497</v>
      </c>
      <c r="J5" s="64">
        <v>32.702519809090681</v>
      </c>
      <c r="K5" s="64">
        <v>33.127652566608859</v>
      </c>
      <c r="L5" s="64">
        <v>33.558312049974774</v>
      </c>
      <c r="M5" s="64">
        <v>33.994570106624444</v>
      </c>
      <c r="N5" s="64">
        <v>34.436499518010557</v>
      </c>
      <c r="O5" s="64">
        <v>34.88417401174469</v>
      </c>
      <c r="P5" s="64">
        <v>35.337668273897371</v>
      </c>
      <c r="Q5" s="64">
        <v>35.79705796145803</v>
      </c>
      <c r="R5" s="64">
        <v>36.262419714956984</v>
      </c>
      <c r="S5" s="64">
        <v>36.733831171251424</v>
      </c>
      <c r="T5" s="64">
        <v>37.211370976477689</v>
      </c>
      <c r="U5" s="64">
        <v>37.695118799171894</v>
      </c>
      <c r="V5" s="64">
        <v>38.185155343561128</v>
      </c>
      <c r="W5" s="64">
        <v>38.681562363027417</v>
      </c>
      <c r="X5" s="10"/>
      <c r="Y5" s="10"/>
      <c r="Z5" s="10"/>
      <c r="AA5" s="10"/>
    </row>
    <row r="6" spans="1:27">
      <c r="A6" s="9" t="s">
        <v>19</v>
      </c>
      <c r="B6" s="64">
        <v>11.301568249999997</v>
      </c>
      <c r="C6" s="64">
        <v>11.471091773749997</v>
      </c>
      <c r="D6" s="64">
        <v>11.643158150356246</v>
      </c>
      <c r="E6" s="64">
        <v>11.817805522611589</v>
      </c>
      <c r="F6" s="64">
        <v>11.995072605450762</v>
      </c>
      <c r="G6" s="64">
        <v>12.174998694532523</v>
      </c>
      <c r="H6" s="64">
        <v>12.35762367495051</v>
      </c>
      <c r="I6" s="64">
        <v>12.542988030074767</v>
      </c>
      <c r="J6" s="64">
        <v>12.731132850525887</v>
      </c>
      <c r="K6" s="64">
        <v>12.922099843283775</v>
      </c>
      <c r="L6" s="64">
        <v>13.115931340933029</v>
      </c>
      <c r="M6" s="64">
        <v>13.312670311047023</v>
      </c>
      <c r="N6" s="64">
        <v>13.512360365712727</v>
      </c>
      <c r="O6" s="64">
        <v>13.715045771198417</v>
      </c>
      <c r="P6" s="64">
        <v>13.920771457766392</v>
      </c>
      <c r="Q6" s="64">
        <v>14.129583029632887</v>
      </c>
      <c r="R6" s="64">
        <v>14.341526775077378</v>
      </c>
      <c r="S6" s="64">
        <v>14.556649676703538</v>
      </c>
      <c r="T6" s="64">
        <v>14.774999421854089</v>
      </c>
      <c r="U6" s="64">
        <v>14.996624413181898</v>
      </c>
      <c r="V6" s="64">
        <v>15.221573779379625</v>
      </c>
      <c r="W6" s="64">
        <v>15.449897386070319</v>
      </c>
      <c r="X6" s="11"/>
      <c r="Y6" s="11"/>
      <c r="Z6" s="11"/>
      <c r="AA6" s="11"/>
    </row>
    <row r="8" spans="1:27">
      <c r="A8" s="29" t="s">
        <v>72</v>
      </c>
    </row>
    <row r="9" spans="1:27">
      <c r="A9" s="77" t="s">
        <v>90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8"/>
  <sheetViews>
    <sheetView workbookViewId="0">
      <selection activeCell="A5" sqref="A5:W5"/>
    </sheetView>
  </sheetViews>
  <sheetFormatPr defaultRowHeight="15.75"/>
  <cols>
    <col min="1" max="1" width="25.7109375" style="9" customWidth="1"/>
    <col min="2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3">
      <c r="A3" s="12" t="s">
        <v>128</v>
      </c>
    </row>
    <row r="4" spans="1:23">
      <c r="B4" s="9">
        <v>2014</v>
      </c>
      <c r="C4" s="9">
        <v>2015</v>
      </c>
      <c r="D4" s="9">
        <v>2016</v>
      </c>
      <c r="E4" s="9">
        <v>2017</v>
      </c>
      <c r="F4" s="9">
        <v>2018</v>
      </c>
      <c r="G4" s="9">
        <v>2019</v>
      </c>
      <c r="H4" s="9">
        <v>2020</v>
      </c>
      <c r="I4" s="9">
        <v>2021</v>
      </c>
      <c r="J4" s="9">
        <v>2022</v>
      </c>
      <c r="K4" s="9">
        <v>2023</v>
      </c>
      <c r="L4" s="9">
        <v>2024</v>
      </c>
      <c r="M4" s="9">
        <v>2025</v>
      </c>
      <c r="N4" s="9">
        <v>2026</v>
      </c>
      <c r="O4" s="9">
        <v>2027</v>
      </c>
      <c r="P4" s="9">
        <v>2028</v>
      </c>
      <c r="Q4" s="9">
        <v>2029</v>
      </c>
      <c r="R4" s="9">
        <v>2030</v>
      </c>
      <c r="S4" s="9">
        <v>2031</v>
      </c>
      <c r="T4" s="9">
        <v>2032</v>
      </c>
      <c r="U4" s="9">
        <v>2033</v>
      </c>
      <c r="V4" s="9">
        <v>2034</v>
      </c>
      <c r="W4" s="9">
        <v>2035</v>
      </c>
    </row>
    <row r="5" spans="1:23">
      <c r="A5" s="9" t="s">
        <v>130</v>
      </c>
      <c r="B5" s="64">
        <v>4.3899999999999997</v>
      </c>
      <c r="C5" s="64">
        <v>4.2699999999999996</v>
      </c>
      <c r="D5" s="64">
        <v>4.2699999999999996</v>
      </c>
      <c r="E5" s="64">
        <v>4.32</v>
      </c>
      <c r="F5" s="64">
        <v>4.3899999999999997</v>
      </c>
      <c r="G5" s="64">
        <v>4.47</v>
      </c>
      <c r="H5" s="64">
        <v>4.66</v>
      </c>
      <c r="I5" s="64">
        <v>4.75</v>
      </c>
      <c r="J5" s="64">
        <v>4.8499999999999996</v>
      </c>
      <c r="K5" s="64">
        <v>4.95</v>
      </c>
      <c r="L5" s="64">
        <v>5.04</v>
      </c>
      <c r="M5" s="64">
        <v>5.27</v>
      </c>
      <c r="N5" s="64">
        <v>5.4</v>
      </c>
      <c r="O5" s="64">
        <v>5.53</v>
      </c>
      <c r="P5" s="64">
        <v>5.67</v>
      </c>
      <c r="Q5" s="64">
        <v>5.81</v>
      </c>
      <c r="R5" s="64">
        <v>6.06</v>
      </c>
      <c r="S5" s="64">
        <v>6.21</v>
      </c>
      <c r="T5" s="64">
        <v>6.36</v>
      </c>
      <c r="U5" s="64">
        <v>6.52</v>
      </c>
      <c r="V5" s="64">
        <v>6.69</v>
      </c>
      <c r="W5" s="64">
        <v>6.85</v>
      </c>
    </row>
    <row r="7" spans="1:23">
      <c r="A7" s="29" t="s">
        <v>129</v>
      </c>
    </row>
    <row r="8" spans="1:23">
      <c r="A8" s="29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Y7"/>
  <sheetViews>
    <sheetView workbookViewId="0"/>
  </sheetViews>
  <sheetFormatPr defaultColWidth="9.140625" defaultRowHeight="15.75"/>
  <cols>
    <col min="1" max="1" width="12.7109375" style="9" customWidth="1"/>
    <col min="2" max="3" width="9.140625" style="9"/>
    <col min="4" max="4" width="9.28515625" style="9" customWidth="1"/>
    <col min="5" max="16384" width="9.140625" style="9"/>
  </cols>
  <sheetData>
    <row r="1" spans="1:51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51">
      <c r="A3" s="26" t="s">
        <v>160</v>
      </c>
    </row>
    <row r="4" spans="1:51" ht="16.5" customHeight="1">
      <c r="B4" s="12">
        <v>1986</v>
      </c>
      <c r="C4" s="12">
        <v>1987</v>
      </c>
      <c r="D4" s="12">
        <v>1988</v>
      </c>
      <c r="E4" s="12">
        <v>1989</v>
      </c>
      <c r="F4" s="12">
        <v>1990</v>
      </c>
      <c r="G4" s="12">
        <v>1991</v>
      </c>
      <c r="H4" s="12">
        <v>1992</v>
      </c>
      <c r="I4" s="12">
        <v>1993</v>
      </c>
      <c r="J4" s="12">
        <v>1994</v>
      </c>
      <c r="K4" s="12">
        <v>1995</v>
      </c>
      <c r="L4" s="12">
        <v>1996</v>
      </c>
      <c r="M4" s="12">
        <v>1997</v>
      </c>
      <c r="N4" s="12">
        <v>1998</v>
      </c>
      <c r="O4" s="12">
        <v>1999</v>
      </c>
      <c r="P4" s="12">
        <v>2000</v>
      </c>
      <c r="Q4" s="12">
        <v>2001</v>
      </c>
      <c r="R4" s="12">
        <v>2002</v>
      </c>
      <c r="S4" s="12">
        <v>2003</v>
      </c>
      <c r="T4" s="12">
        <v>2004</v>
      </c>
      <c r="U4" s="12">
        <v>2005</v>
      </c>
      <c r="V4" s="12">
        <v>2006</v>
      </c>
      <c r="W4" s="12">
        <v>2007</v>
      </c>
      <c r="X4" s="12">
        <v>2008</v>
      </c>
      <c r="Y4" s="12">
        <v>2009</v>
      </c>
      <c r="Z4" s="12">
        <v>2010</v>
      </c>
      <c r="AA4" s="12">
        <v>2011</v>
      </c>
      <c r="AB4" s="12">
        <v>2012</v>
      </c>
      <c r="AC4" s="12">
        <v>2013</v>
      </c>
      <c r="AD4" s="12">
        <v>2014</v>
      </c>
      <c r="AE4" s="12">
        <v>2015</v>
      </c>
      <c r="AF4" s="12">
        <v>2016</v>
      </c>
      <c r="AG4" s="12">
        <v>2017</v>
      </c>
      <c r="AH4" s="12">
        <v>2018</v>
      </c>
      <c r="AI4" s="12">
        <v>2019</v>
      </c>
      <c r="AJ4" s="12">
        <v>2020</v>
      </c>
      <c r="AK4" s="12">
        <v>2021</v>
      </c>
      <c r="AL4" s="12">
        <v>2022</v>
      </c>
      <c r="AM4" s="12">
        <v>2023</v>
      </c>
      <c r="AN4" s="12">
        <v>2024</v>
      </c>
      <c r="AO4" s="12">
        <v>2025</v>
      </c>
      <c r="AP4" s="12">
        <v>2026</v>
      </c>
      <c r="AQ4" s="12">
        <v>2027</v>
      </c>
      <c r="AR4" s="12">
        <v>2028</v>
      </c>
      <c r="AS4" s="12">
        <v>2029</v>
      </c>
      <c r="AT4" s="12">
        <v>2030</v>
      </c>
      <c r="AU4" s="12">
        <v>2031</v>
      </c>
      <c r="AV4" s="12">
        <v>2032</v>
      </c>
      <c r="AW4" s="12">
        <v>2033</v>
      </c>
      <c r="AX4" s="12">
        <v>2034</v>
      </c>
      <c r="AY4" s="12">
        <v>2035</v>
      </c>
    </row>
    <row r="5" spans="1:51" ht="18" customHeight="1">
      <c r="A5" s="9" t="s">
        <v>65</v>
      </c>
      <c r="B5" s="100">
        <v>0.64119999999999999</v>
      </c>
      <c r="C5" s="100">
        <v>0.65359999999999996</v>
      </c>
      <c r="D5" s="100">
        <v>0.67</v>
      </c>
      <c r="E5" s="100">
        <v>0.68910000000000005</v>
      </c>
      <c r="F5" s="100">
        <v>0.71</v>
      </c>
      <c r="G5" s="100">
        <v>0.73029999999999995</v>
      </c>
      <c r="H5" s="100">
        <v>0.74450000000000005</v>
      </c>
      <c r="I5" s="100">
        <v>0.75929999999999997</v>
      </c>
      <c r="J5" s="100">
        <v>0.77359999999999995</v>
      </c>
      <c r="K5" s="100">
        <v>0.78790000000000004</v>
      </c>
      <c r="L5" s="100">
        <v>0.80169999999999997</v>
      </c>
      <c r="M5" s="100">
        <v>0.81420000000000003</v>
      </c>
      <c r="N5" s="100">
        <v>0.82279999999999998</v>
      </c>
      <c r="O5" s="100">
        <v>0.83430000000000004</v>
      </c>
      <c r="P5" s="100">
        <v>0.85209999999999997</v>
      </c>
      <c r="Q5" s="100">
        <v>0.87250000000000005</v>
      </c>
      <c r="R5" s="100">
        <v>0.8881</v>
      </c>
      <c r="S5" s="100">
        <v>0.90780000000000005</v>
      </c>
      <c r="T5" s="100">
        <v>0.93559999999999999</v>
      </c>
      <c r="U5" s="100">
        <v>0.96870000000000001</v>
      </c>
      <c r="V5" s="100">
        <v>1</v>
      </c>
      <c r="W5" s="100">
        <v>1.0289999999999999</v>
      </c>
      <c r="X5" s="100">
        <v>1.0516000000000001</v>
      </c>
      <c r="Y5" s="100">
        <v>1.0609999999999999</v>
      </c>
      <c r="Z5" s="100">
        <v>1.0751999999999999</v>
      </c>
      <c r="AA5" s="100">
        <v>1.0981000000000001</v>
      </c>
      <c r="AB5" s="100">
        <v>1.1175999999999999</v>
      </c>
      <c r="AC5" s="100">
        <v>1.1375</v>
      </c>
      <c r="AD5" s="100">
        <v>1.1549</v>
      </c>
      <c r="AE5" s="100">
        <v>1.1735</v>
      </c>
      <c r="AF5" s="100">
        <v>1.1930000000000001</v>
      </c>
      <c r="AG5" s="100">
        <v>1.2121</v>
      </c>
      <c r="AH5" s="100">
        <v>1.2324999999999999</v>
      </c>
      <c r="AI5" s="100">
        <v>1.2525999999999999</v>
      </c>
      <c r="AJ5" s="100">
        <v>1.2734000000000001</v>
      </c>
      <c r="AK5" s="100">
        <v>1.2952999999999999</v>
      </c>
      <c r="AL5" s="100">
        <v>1.3178000000000001</v>
      </c>
      <c r="AM5" s="100">
        <v>1.3408</v>
      </c>
      <c r="AN5" s="100">
        <v>1.3636999999999999</v>
      </c>
      <c r="AO5" s="100">
        <v>1.387</v>
      </c>
      <c r="AP5" s="100">
        <v>1.4109</v>
      </c>
      <c r="AQ5" s="100">
        <v>1.4353</v>
      </c>
      <c r="AR5" s="100">
        <v>1.4602999999999999</v>
      </c>
      <c r="AS5" s="100">
        <v>1.4864999999999999</v>
      </c>
      <c r="AT5" s="100">
        <v>1.5133000000000001</v>
      </c>
      <c r="AU5" s="100">
        <v>1.5411999999999999</v>
      </c>
      <c r="AV5" s="100">
        <v>1.5692999999999999</v>
      </c>
      <c r="AW5" s="100">
        <v>1.5978000000000001</v>
      </c>
      <c r="AX5" s="100">
        <v>1.627</v>
      </c>
      <c r="AY5" s="100">
        <v>1.6566000000000001</v>
      </c>
    </row>
    <row r="7" spans="1:51">
      <c r="A7" s="29" t="s">
        <v>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14"/>
  <sheetViews>
    <sheetView workbookViewId="0"/>
  </sheetViews>
  <sheetFormatPr defaultRowHeight="15.75"/>
  <cols>
    <col min="1" max="1" width="50" style="9" customWidth="1"/>
    <col min="2" max="2" width="13.5703125" style="9" customWidth="1"/>
    <col min="3" max="3" width="15" style="9" customWidth="1"/>
    <col min="4" max="4" width="12.7109375" style="9" customWidth="1"/>
    <col min="5" max="5" width="9.7109375" style="9" customWidth="1"/>
    <col min="6" max="16384" width="9.140625" style="9"/>
  </cols>
  <sheetData>
    <row r="1" spans="1:23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2" spans="1:23">
      <c r="G2" s="131"/>
    </row>
    <row r="3" spans="1:23">
      <c r="A3" s="12" t="s">
        <v>134</v>
      </c>
      <c r="G3" s="131"/>
    </row>
    <row r="4" spans="1:23" ht="31.5">
      <c r="A4" s="66" t="s">
        <v>164</v>
      </c>
      <c r="B4" s="137" t="s">
        <v>133</v>
      </c>
    </row>
    <row r="5" spans="1:23">
      <c r="A5" s="171" t="s">
        <v>161</v>
      </c>
      <c r="B5" s="134">
        <f>'Consumer Cost'!B7</f>
        <v>80.745641400925365</v>
      </c>
    </row>
    <row r="6" spans="1:23">
      <c r="A6" s="170" t="s">
        <v>162</v>
      </c>
      <c r="B6" s="135">
        <f>'Utility Cost'!B4</f>
        <v>67.475210944312948</v>
      </c>
    </row>
    <row r="7" spans="1:23">
      <c r="A7" s="57" t="s">
        <v>163</v>
      </c>
      <c r="B7" s="135">
        <f>NPV(DiscountRate,B14:W14)</f>
        <v>148.22085234523834</v>
      </c>
    </row>
    <row r="8" spans="1:23">
      <c r="B8" s="131"/>
    </row>
    <row r="9" spans="1:23">
      <c r="B9" s="131"/>
    </row>
    <row r="10" spans="1:23">
      <c r="A10" s="12" t="s">
        <v>159</v>
      </c>
      <c r="B10" s="131"/>
    </row>
    <row r="11" spans="1:23">
      <c r="A11" s="105"/>
      <c r="B11" s="165">
        <f>'Utility Cost'!B7</f>
        <v>2014</v>
      </c>
      <c r="C11" s="165">
        <f>'Utility Cost'!C7</f>
        <v>2015</v>
      </c>
      <c r="D11" s="165">
        <f>'Utility Cost'!D7</f>
        <v>2016</v>
      </c>
      <c r="E11" s="165">
        <f>'Utility Cost'!E7</f>
        <v>2017</v>
      </c>
      <c r="F11" s="165">
        <f>'Utility Cost'!F7</f>
        <v>2018</v>
      </c>
      <c r="G11" s="165">
        <f>'Utility Cost'!G7</f>
        <v>2019</v>
      </c>
      <c r="H11" s="165">
        <f>'Utility Cost'!H7</f>
        <v>2020</v>
      </c>
      <c r="I11" s="165">
        <f>'Utility Cost'!I7</f>
        <v>2021</v>
      </c>
      <c r="J11" s="165">
        <f>'Utility Cost'!J7</f>
        <v>2022</v>
      </c>
      <c r="K11" s="165">
        <f>'Utility Cost'!K7</f>
        <v>2023</v>
      </c>
      <c r="L11" s="165">
        <f>'Utility Cost'!L7</f>
        <v>2024</v>
      </c>
      <c r="M11" s="165">
        <f>'Utility Cost'!M7</f>
        <v>2025</v>
      </c>
      <c r="N11" s="165">
        <f>'Utility Cost'!N7</f>
        <v>2026</v>
      </c>
      <c r="O11" s="165">
        <f>'Utility Cost'!O7</f>
        <v>2027</v>
      </c>
      <c r="P11" s="165">
        <f>'Utility Cost'!P7</f>
        <v>2028</v>
      </c>
      <c r="Q11" s="165">
        <f>'Utility Cost'!Q7</f>
        <v>2029</v>
      </c>
      <c r="R11" s="165">
        <f>'Utility Cost'!R7</f>
        <v>2030</v>
      </c>
      <c r="S11" s="165">
        <f>'Utility Cost'!S7</f>
        <v>2031</v>
      </c>
      <c r="T11" s="165">
        <f>'Utility Cost'!T7</f>
        <v>2032</v>
      </c>
      <c r="U11" s="165">
        <f>'Utility Cost'!U7</f>
        <v>2033</v>
      </c>
      <c r="V11" s="165">
        <f>'Utility Cost'!V7</f>
        <v>2034</v>
      </c>
      <c r="W11" s="165">
        <f>'Utility Cost'!W7</f>
        <v>2035</v>
      </c>
    </row>
    <row r="12" spans="1:23">
      <c r="A12" s="9" t="s">
        <v>157</v>
      </c>
      <c r="B12" s="159">
        <f>'Utility Cost'!B10</f>
        <v>0</v>
      </c>
      <c r="C12" s="159">
        <f>'Utility Cost'!C10</f>
        <v>0.62136006874990013</v>
      </c>
      <c r="D12" s="159">
        <f>'Utility Cost'!D10</f>
        <v>1.1980301699927642</v>
      </c>
      <c r="E12" s="159">
        <f>'Utility Cost'!E10</f>
        <v>1.7534067229373409</v>
      </c>
      <c r="F12" s="159">
        <f>'Utility Cost'!F10</f>
        <v>2.2920818535389325</v>
      </c>
      <c r="G12" s="159">
        <f>'Utility Cost'!G10</f>
        <v>2.815482896866683</v>
      </c>
      <c r="H12" s="159">
        <f>'Utility Cost'!H10</f>
        <v>3.4001611609738744</v>
      </c>
      <c r="I12" s="159">
        <f>'Utility Cost'!I10</f>
        <v>3.9041491184185144</v>
      </c>
      <c r="J12" s="159">
        <f>'Utility Cost'!J10</f>
        <v>4.3993121296609363</v>
      </c>
      <c r="K12" s="159">
        <f>'Utility Cost'!K10</f>
        <v>4.877727655475609</v>
      </c>
      <c r="L12" s="159">
        <f>'Utility Cost'!L10</f>
        <v>5.3279611680762295</v>
      </c>
      <c r="M12" s="159">
        <f>'Utility Cost'!M10</f>
        <v>5.915318021174679</v>
      </c>
      <c r="N12" s="159">
        <f>'Utility Cost'!N10</f>
        <v>6.379904267720133</v>
      </c>
      <c r="O12" s="159">
        <f>'Utility Cost'!O10</f>
        <v>6.8254059573612906</v>
      </c>
      <c r="P12" s="159">
        <f>'Utility Cost'!P10</f>
        <v>7.2625396232443924</v>
      </c>
      <c r="Q12" s="159">
        <f>'Utility Cost'!Q10</f>
        <v>7.6772620115760448</v>
      </c>
      <c r="R12" s="159">
        <f>'Utility Cost'!R10</f>
        <v>8.216668252581961</v>
      </c>
      <c r="S12" s="159">
        <f>'Utility Cost'!S10</f>
        <v>8.5977041333867135</v>
      </c>
      <c r="T12" s="159">
        <f>'Utility Cost'!T10</f>
        <v>8.9510116542011211</v>
      </c>
      <c r="U12" s="159">
        <f>'Utility Cost'!U10</f>
        <v>9.2898393298360524</v>
      </c>
      <c r="V12" s="159">
        <f>'Utility Cost'!V10</f>
        <v>9.6140895051193418</v>
      </c>
      <c r="W12" s="159">
        <f>'Utility Cost'!W10</f>
        <v>9.8950152548430079</v>
      </c>
    </row>
    <row r="13" spans="1:23">
      <c r="A13" s="42" t="s">
        <v>156</v>
      </c>
      <c r="B13" s="164">
        <f>-('Consumer Cost'!B49-'Consumer Cost'!B12)</f>
        <v>0</v>
      </c>
      <c r="C13" s="164">
        <f>-('Consumer Cost'!C49-'Consumer Cost'!C12)</f>
        <v>-6.7598274110451939E-2</v>
      </c>
      <c r="D13" s="164">
        <f>-('Consumer Cost'!D49-'Consumer Cost'!D12)</f>
        <v>0.78634008436718972</v>
      </c>
      <c r="E13" s="164">
        <f>-('Consumer Cost'!E49-'Consumer Cost'!E12)</f>
        <v>1.5997050468955436</v>
      </c>
      <c r="F13" s="164">
        <f>-('Consumer Cost'!F49-'Consumer Cost'!F12)</f>
        <v>2.3763222169584708</v>
      </c>
      <c r="G13" s="164">
        <f>-('Consumer Cost'!G49-'Consumer Cost'!G12)</f>
        <v>3.1202724113870985</v>
      </c>
      <c r="H13" s="164">
        <f>-('Consumer Cost'!H49-'Consumer Cost'!H12)</f>
        <v>3.8359211692229422</v>
      </c>
      <c r="I13" s="164">
        <f>-('Consumer Cost'!I49-'Consumer Cost'!I12)</f>
        <v>4.5278815220057993</v>
      </c>
      <c r="J13" s="164">
        <f>-('Consumer Cost'!J49-'Consumer Cost'!J12)</f>
        <v>5.2008843880727866</v>
      </c>
      <c r="K13" s="164">
        <f>-('Consumer Cost'!K49-'Consumer Cost'!K12)</f>
        <v>5.8595380646683068</v>
      </c>
      <c r="L13" s="164">
        <f>-('Consumer Cost'!L49-'Consumer Cost'!L12)</f>
        <v>6.5079736806501103</v>
      </c>
      <c r="M13" s="164">
        <f>-('Consumer Cost'!M49-'Consumer Cost'!M12)</f>
        <v>7.1493975943211225</v>
      </c>
      <c r="N13" s="164">
        <f>-('Consumer Cost'!N49-'Consumer Cost'!N12)</f>
        <v>7.7856020163884807</v>
      </c>
      <c r="O13" s="164">
        <f>-('Consumer Cost'!O49-'Consumer Cost'!O12)</f>
        <v>8.4165146898366388</v>
      </c>
      <c r="P13" s="164">
        <f>-('Consumer Cost'!P49-'Consumer Cost'!P12)</f>
        <v>9.0398863594693921</v>
      </c>
      <c r="Q13" s="164">
        <f>-('Consumer Cost'!Q49-'Consumer Cost'!Q12)</f>
        <v>9.6512094831161122</v>
      </c>
      <c r="R13" s="164">
        <f>-('Consumer Cost'!R49-'Consumer Cost'!R12)</f>
        <v>10.243927018526115</v>
      </c>
      <c r="S13" s="164">
        <f>-('Consumer Cost'!S49-'Consumer Cost'!S12)</f>
        <v>10.809931043215663</v>
      </c>
      <c r="T13" s="164">
        <f>-('Consumer Cost'!T49-'Consumer Cost'!T12)</f>
        <v>11.340284271727469</v>
      </c>
      <c r="U13" s="164">
        <f>-('Consumer Cost'!U49-'Consumer Cost'!U12)</f>
        <v>11.826045878846202</v>
      </c>
      <c r="V13" s="164">
        <f>-('Consumer Cost'!V49-'Consumer Cost'!V12)</f>
        <v>12.259064246898532</v>
      </c>
      <c r="W13" s="164">
        <f>-('Consumer Cost'!W49-'Consumer Cost'!W12)</f>
        <v>12.632617728074102</v>
      </c>
    </row>
    <row r="14" spans="1:23">
      <c r="A14" s="9" t="s">
        <v>158</v>
      </c>
      <c r="B14" s="159">
        <f>B12+B13</f>
        <v>0</v>
      </c>
      <c r="C14" s="159">
        <f t="shared" ref="C14:W14" si="0">C12+C13</f>
        <v>0.55376179463944819</v>
      </c>
      <c r="D14" s="159">
        <f t="shared" si="0"/>
        <v>1.984370254359954</v>
      </c>
      <c r="E14" s="159">
        <f t="shared" si="0"/>
        <v>3.3531117698328847</v>
      </c>
      <c r="F14" s="159">
        <f t="shared" si="0"/>
        <v>4.6684040704974032</v>
      </c>
      <c r="G14" s="159">
        <f t="shared" si="0"/>
        <v>5.9357553082537819</v>
      </c>
      <c r="H14" s="159">
        <f t="shared" si="0"/>
        <v>7.2360823301968171</v>
      </c>
      <c r="I14" s="159">
        <f t="shared" si="0"/>
        <v>8.4320306404243137</v>
      </c>
      <c r="J14" s="159">
        <f t="shared" si="0"/>
        <v>9.600196517733723</v>
      </c>
      <c r="K14" s="159">
        <f t="shared" si="0"/>
        <v>10.737265720143917</v>
      </c>
      <c r="L14" s="159">
        <f t="shared" si="0"/>
        <v>11.835934848726339</v>
      </c>
      <c r="M14" s="159">
        <f t="shared" si="0"/>
        <v>13.064715615495802</v>
      </c>
      <c r="N14" s="159">
        <f t="shared" si="0"/>
        <v>14.165506284108613</v>
      </c>
      <c r="O14" s="159">
        <f t="shared" si="0"/>
        <v>15.241920647197929</v>
      </c>
      <c r="P14" s="159">
        <f t="shared" si="0"/>
        <v>16.302425982713785</v>
      </c>
      <c r="Q14" s="159">
        <f t="shared" si="0"/>
        <v>17.328471494692156</v>
      </c>
      <c r="R14" s="159">
        <f t="shared" si="0"/>
        <v>18.460595271108076</v>
      </c>
      <c r="S14" s="159">
        <f t="shared" si="0"/>
        <v>19.407635176602376</v>
      </c>
      <c r="T14" s="159">
        <f t="shared" si="0"/>
        <v>20.291295925928591</v>
      </c>
      <c r="U14" s="159">
        <f t="shared" si="0"/>
        <v>21.115885208682254</v>
      </c>
      <c r="V14" s="159">
        <f t="shared" si="0"/>
        <v>21.873153752017874</v>
      </c>
      <c r="W14" s="159">
        <f t="shared" si="0"/>
        <v>22.527632982917112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Y10"/>
  <sheetViews>
    <sheetView workbookViewId="0"/>
  </sheetViews>
  <sheetFormatPr defaultRowHeight="15.75"/>
  <cols>
    <col min="1" max="1" width="54.7109375" style="9" customWidth="1"/>
    <col min="2" max="2" width="13.85546875" style="9" customWidth="1"/>
    <col min="3" max="5" width="12.42578125" style="9" bestFit="1" customWidth="1"/>
    <col min="6" max="23" width="14.28515625" style="9" bestFit="1" customWidth="1"/>
    <col min="24" max="16384" width="9.140625" style="9"/>
  </cols>
  <sheetData>
    <row r="1" spans="1:25">
      <c r="A1" s="148" t="str">
        <f>CONCATENATE("Segment:  ",State,", Single Family, ", SpaceHeat, ", ", TankSize,", ", StartWH, " is starting water heater")</f>
        <v>Segment:  Oregon, Single Family, Gas FAF, &lt;=55 Gallons, Electric Resistance is starting water heater</v>
      </c>
    </row>
    <row r="3" spans="1:25" ht="31.5">
      <c r="A3" s="155"/>
      <c r="B3" s="137" t="s">
        <v>147</v>
      </c>
    </row>
    <row r="4" spans="1:25">
      <c r="A4" s="154" t="s">
        <v>146</v>
      </c>
      <c r="B4" s="156">
        <f>NPV(DiscountRate,B10:W10)</f>
        <v>67.475210944312948</v>
      </c>
      <c r="D4" s="45"/>
      <c r="E4" s="45"/>
      <c r="F4" s="45"/>
      <c r="G4" s="45"/>
      <c r="H4" s="124"/>
      <c r="I4" s="45"/>
      <c r="J4" s="45"/>
      <c r="K4" s="45"/>
    </row>
    <row r="6" spans="1:25">
      <c r="A6" s="12" t="s">
        <v>143</v>
      </c>
    </row>
    <row r="7" spans="1:25">
      <c r="A7" s="155"/>
      <c r="B7" s="82">
        <f>'Net Reduction in Gas'!B10</f>
        <v>2014</v>
      </c>
      <c r="C7" s="82">
        <f>'Net Reduction in Gas'!C10</f>
        <v>2015</v>
      </c>
      <c r="D7" s="82">
        <f>'Net Reduction in Gas'!D10</f>
        <v>2016</v>
      </c>
      <c r="E7" s="82">
        <f>'Net Reduction in Gas'!E10</f>
        <v>2017</v>
      </c>
      <c r="F7" s="82">
        <f>'Net Reduction in Gas'!F10</f>
        <v>2018</v>
      </c>
      <c r="G7" s="82">
        <f>'Net Reduction in Gas'!G10</f>
        <v>2019</v>
      </c>
      <c r="H7" s="82">
        <f>'Net Reduction in Gas'!H10</f>
        <v>2020</v>
      </c>
      <c r="I7" s="82">
        <f>'Net Reduction in Gas'!I10</f>
        <v>2021</v>
      </c>
      <c r="J7" s="82">
        <f>'Net Reduction in Gas'!J10</f>
        <v>2022</v>
      </c>
      <c r="K7" s="82">
        <f>'Net Reduction in Gas'!K10</f>
        <v>2023</v>
      </c>
      <c r="L7" s="82">
        <f>'Net Reduction in Gas'!L10</f>
        <v>2024</v>
      </c>
      <c r="M7" s="82">
        <f>'Net Reduction in Gas'!M10</f>
        <v>2025</v>
      </c>
      <c r="N7" s="82">
        <f>'Net Reduction in Gas'!N10</f>
        <v>2026</v>
      </c>
      <c r="O7" s="82">
        <f>'Net Reduction in Gas'!O10</f>
        <v>2027</v>
      </c>
      <c r="P7" s="82">
        <f>'Net Reduction in Gas'!P10</f>
        <v>2028</v>
      </c>
      <c r="Q7" s="82">
        <f>'Net Reduction in Gas'!Q10</f>
        <v>2029</v>
      </c>
      <c r="R7" s="82">
        <f>'Net Reduction in Gas'!R10</f>
        <v>2030</v>
      </c>
      <c r="S7" s="82">
        <f>'Net Reduction in Gas'!S10</f>
        <v>2031</v>
      </c>
      <c r="T7" s="82">
        <f>'Net Reduction in Gas'!T10</f>
        <v>2032</v>
      </c>
      <c r="U7" s="82">
        <f>'Net Reduction in Gas'!U10</f>
        <v>2033</v>
      </c>
      <c r="V7" s="82">
        <f>'Net Reduction in Gas'!V10</f>
        <v>2034</v>
      </c>
      <c r="W7" s="93">
        <f>'Net Reduction in Gas'!W10</f>
        <v>2035</v>
      </c>
    </row>
    <row r="8" spans="1:25">
      <c r="A8" s="67" t="s">
        <v>169</v>
      </c>
      <c r="B8" s="133">
        <f>'Net Reduction in Gas'!B13</f>
        <v>0</v>
      </c>
      <c r="C8" s="133">
        <f>'Net Reduction in Gas'!C13</f>
        <v>0.14551758050348951</v>
      </c>
      <c r="D8" s="133">
        <f>'Net Reduction in Gas'!D13</f>
        <v>0.28056912646200571</v>
      </c>
      <c r="E8" s="133">
        <f>'Net Reduction in Gas'!E13</f>
        <v>0.40588118586512517</v>
      </c>
      <c r="F8" s="133">
        <f>'Net Reduction in Gas'!F13</f>
        <v>0.52211431743483661</v>
      </c>
      <c r="G8" s="133">
        <f>'Net Reduction in Gas'!G13</f>
        <v>0.6298619456077591</v>
      </c>
      <c r="H8" s="133">
        <f>'Net Reduction in Gas'!H13</f>
        <v>0.72964831780555239</v>
      </c>
      <c r="I8" s="133">
        <f>'Net Reduction in Gas'!I13</f>
        <v>0.82192613019337146</v>
      </c>
      <c r="J8" s="133">
        <f>'Net Reduction in Gas'!J13</f>
        <v>0.90707466590947139</v>
      </c>
      <c r="K8" s="133">
        <f>'Net Reduction in Gas'!K13</f>
        <v>0.98539952635870887</v>
      </c>
      <c r="L8" s="133">
        <f>'Net Reduction in Gas'!L13</f>
        <v>1.0571351523960772</v>
      </c>
      <c r="M8" s="133">
        <f>'Net Reduction in Gas'!M13</f>
        <v>1.1224512374145501</v>
      </c>
      <c r="N8" s="133">
        <f>'Net Reduction in Gas'!N13</f>
        <v>1.181463753281506</v>
      </c>
      <c r="O8" s="133">
        <f>'Net Reduction in Gas'!O13</f>
        <v>1.2342506252009566</v>
      </c>
      <c r="P8" s="133">
        <f>'Net Reduction in Gas'!P13</f>
        <v>1.2808711857573885</v>
      </c>
      <c r="Q8" s="133">
        <f>'Net Reduction in Gas'!Q13</f>
        <v>1.3213876095655843</v>
      </c>
      <c r="R8" s="133">
        <f>'Net Reduction in Gas'!R13</f>
        <v>1.3558858502610498</v>
      </c>
      <c r="S8" s="133">
        <f>'Net Reduction in Gas'!S13</f>
        <v>1.3844934192249136</v>
      </c>
      <c r="T8" s="133">
        <f>'Net Reduction in Gas'!T13</f>
        <v>1.4073917695284781</v>
      </c>
      <c r="U8" s="133">
        <f>'Net Reduction in Gas'!U13</f>
        <v>1.4248219831036892</v>
      </c>
      <c r="V8" s="133">
        <f>'Net Reduction in Gas'!V13</f>
        <v>1.4370836330522183</v>
      </c>
      <c r="W8" s="133">
        <f>'Net Reduction in Gas'!W13</f>
        <v>1.4445277744296363</v>
      </c>
      <c r="X8" s="131"/>
    </row>
    <row r="9" spans="1:25">
      <c r="A9" s="67" t="s">
        <v>144</v>
      </c>
      <c r="B9" s="45">
        <f>'Wholesale Price'!B5</f>
        <v>4.3899999999999997</v>
      </c>
      <c r="C9" s="45">
        <f>'Wholesale Price'!C5</f>
        <v>4.2699999999999996</v>
      </c>
      <c r="D9" s="45">
        <f>'Wholesale Price'!D5</f>
        <v>4.2699999999999996</v>
      </c>
      <c r="E9" s="45">
        <f>'Wholesale Price'!E5</f>
        <v>4.32</v>
      </c>
      <c r="F9" s="45">
        <f>'Wholesale Price'!F5</f>
        <v>4.3899999999999997</v>
      </c>
      <c r="G9" s="45">
        <f>'Wholesale Price'!G5</f>
        <v>4.47</v>
      </c>
      <c r="H9" s="45">
        <f>'Wholesale Price'!H5</f>
        <v>4.66</v>
      </c>
      <c r="I9" s="45">
        <f>'Wholesale Price'!I5</f>
        <v>4.75</v>
      </c>
      <c r="J9" s="45">
        <f>'Wholesale Price'!J5</f>
        <v>4.8499999999999996</v>
      </c>
      <c r="K9" s="45">
        <f>'Wholesale Price'!K5</f>
        <v>4.95</v>
      </c>
      <c r="L9" s="45">
        <f>'Wholesale Price'!L5</f>
        <v>5.04</v>
      </c>
      <c r="M9" s="45">
        <f>'Wholesale Price'!M5</f>
        <v>5.27</v>
      </c>
      <c r="N9" s="45">
        <f>'Wholesale Price'!N5</f>
        <v>5.4</v>
      </c>
      <c r="O9" s="45">
        <f>'Wholesale Price'!O5</f>
        <v>5.53</v>
      </c>
      <c r="P9" s="45">
        <f>'Wholesale Price'!P5</f>
        <v>5.67</v>
      </c>
      <c r="Q9" s="45">
        <f>'Wholesale Price'!Q5</f>
        <v>5.81</v>
      </c>
      <c r="R9" s="45">
        <f>'Wholesale Price'!R5</f>
        <v>6.06</v>
      </c>
      <c r="S9" s="45">
        <f>'Wholesale Price'!S5</f>
        <v>6.21</v>
      </c>
      <c r="T9" s="45">
        <f>'Wholesale Price'!T5</f>
        <v>6.36</v>
      </c>
      <c r="U9" s="45">
        <f>'Wholesale Price'!U5</f>
        <v>6.52</v>
      </c>
      <c r="V9" s="45">
        <f>'Wholesale Price'!V5</f>
        <v>6.69</v>
      </c>
      <c r="W9" s="45">
        <f>'Wholesale Price'!W5</f>
        <v>6.85</v>
      </c>
      <c r="X9" s="45"/>
      <c r="Y9" s="45"/>
    </row>
    <row r="10" spans="1:25">
      <c r="A10" s="57" t="s">
        <v>145</v>
      </c>
      <c r="B10" s="158">
        <f>B8*B9</f>
        <v>0</v>
      </c>
      <c r="C10" s="158">
        <f>C8*C9</f>
        <v>0.62136006874990013</v>
      </c>
      <c r="D10" s="158">
        <f t="shared" ref="D10:W10" si="0">D8*D9</f>
        <v>1.1980301699927642</v>
      </c>
      <c r="E10" s="158">
        <f t="shared" si="0"/>
        <v>1.7534067229373409</v>
      </c>
      <c r="F10" s="158">
        <f t="shared" si="0"/>
        <v>2.2920818535389325</v>
      </c>
      <c r="G10" s="158">
        <f t="shared" si="0"/>
        <v>2.815482896866683</v>
      </c>
      <c r="H10" s="158">
        <f t="shared" si="0"/>
        <v>3.4001611609738744</v>
      </c>
      <c r="I10" s="158">
        <f t="shared" si="0"/>
        <v>3.9041491184185144</v>
      </c>
      <c r="J10" s="158">
        <f t="shared" si="0"/>
        <v>4.3993121296609363</v>
      </c>
      <c r="K10" s="158">
        <f t="shared" si="0"/>
        <v>4.877727655475609</v>
      </c>
      <c r="L10" s="158">
        <f t="shared" si="0"/>
        <v>5.3279611680762295</v>
      </c>
      <c r="M10" s="158">
        <f t="shared" si="0"/>
        <v>5.915318021174679</v>
      </c>
      <c r="N10" s="158">
        <f t="shared" si="0"/>
        <v>6.379904267720133</v>
      </c>
      <c r="O10" s="158">
        <f t="shared" si="0"/>
        <v>6.8254059573612906</v>
      </c>
      <c r="P10" s="158">
        <f t="shared" si="0"/>
        <v>7.2625396232443924</v>
      </c>
      <c r="Q10" s="158">
        <f t="shared" si="0"/>
        <v>7.6772620115760448</v>
      </c>
      <c r="R10" s="158">
        <f t="shared" si="0"/>
        <v>8.216668252581961</v>
      </c>
      <c r="S10" s="158">
        <f t="shared" si="0"/>
        <v>8.5977041333867135</v>
      </c>
      <c r="T10" s="158">
        <f t="shared" si="0"/>
        <v>8.9510116542011211</v>
      </c>
      <c r="U10" s="158">
        <f t="shared" si="0"/>
        <v>9.2898393298360524</v>
      </c>
      <c r="V10" s="158">
        <f t="shared" si="0"/>
        <v>9.6140895051193418</v>
      </c>
      <c r="W10" s="158">
        <f t="shared" si="0"/>
        <v>9.8950152548430079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11</vt:i4>
      </vt:variant>
    </vt:vector>
  </HeadingPairs>
  <TitlesOfParts>
    <vt:vector size="35" baseType="lpstr">
      <vt:lpstr>Summary-Charts</vt:lpstr>
      <vt:lpstr>Summary-Results</vt:lpstr>
      <vt:lpstr>Input Assumptions</vt:lpstr>
      <vt:lpstr>Non-Price Factors</vt:lpstr>
      <vt:lpstr>Retail Rates</vt:lpstr>
      <vt:lpstr>Wholesale Price</vt:lpstr>
      <vt:lpstr>Inflation</vt:lpstr>
      <vt:lpstr>Total Resource Cost</vt:lpstr>
      <vt:lpstr>Utility Cost</vt:lpstr>
      <vt:lpstr>Consumer Cost</vt:lpstr>
      <vt:lpstr>Net Reduction in Gas</vt:lpstr>
      <vt:lpstr>Energy Usage</vt:lpstr>
      <vt:lpstr>Water Heater Stock</vt:lpstr>
      <vt:lpstr>Water Heaters Retired</vt:lpstr>
      <vt:lpstr>Water Heaters Purchased</vt:lpstr>
      <vt:lpstr>Average Market Share</vt:lpstr>
      <vt:lpstr>Marginal Market Share</vt:lpstr>
      <vt:lpstr>Total Allocation Weight</vt:lpstr>
      <vt:lpstr>Marginal Allocation Weight</vt:lpstr>
      <vt:lpstr>Levelized Costs</vt:lpstr>
      <vt:lpstr>Fuel Cost</vt:lpstr>
      <vt:lpstr>Device Energy Use</vt:lpstr>
      <vt:lpstr>Capital Cost</vt:lpstr>
      <vt:lpstr>O&amp;M Cost</vt:lpstr>
      <vt:lpstr>CapitalChargeRate</vt:lpstr>
      <vt:lpstr>ConvertMMBTU</vt:lpstr>
      <vt:lpstr>DiscountRate</vt:lpstr>
      <vt:lpstr>HeatRate</vt:lpstr>
      <vt:lpstr>Households</vt:lpstr>
      <vt:lpstr>Lifetime</vt:lpstr>
      <vt:lpstr>SpaceHeat</vt:lpstr>
      <vt:lpstr>StartWH</vt:lpstr>
      <vt:lpstr>State</vt:lpstr>
      <vt:lpstr>TankSize</vt:lpstr>
      <vt:lpstr>VarianceFactor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Massoud Jourabchi</cp:lastModifiedBy>
  <dcterms:created xsi:type="dcterms:W3CDTF">2014-08-12T20:22:43Z</dcterms:created>
  <dcterms:modified xsi:type="dcterms:W3CDTF">2015-01-14T18:55:23Z</dcterms:modified>
</cp:coreProperties>
</file>