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60" windowWidth="13950" windowHeight="6300" activeTab="5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D10" i="45"/>
  <c r="A1" i="30"/>
  <c r="E10" i="45" l="1"/>
  <c r="A1" i="43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F10" i="45" l="1"/>
  <c r="D9" i="49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G10" i="45" l="1"/>
  <c r="B75" i="39"/>
  <c r="B45" i="40"/>
  <c r="B44"/>
  <c r="B43"/>
  <c r="B9" i="49"/>
  <c r="C9"/>
  <c r="C12" i="48"/>
  <c r="B12"/>
  <c r="C16" i="34"/>
  <c r="C17"/>
  <c r="C18"/>
  <c r="C19"/>
  <c r="C7"/>
  <c r="C8"/>
  <c r="C9"/>
  <c r="C10"/>
  <c r="B6" i="21"/>
  <c r="C6" i="34" s="1"/>
  <c r="B15" i="21"/>
  <c r="C15" i="34" s="1"/>
  <c r="H10" i="45" l="1"/>
  <c r="A25" i="30"/>
  <c r="A34"/>
  <c r="C42" i="40"/>
  <c r="I10" i="45" l="1"/>
  <c r="D20"/>
  <c r="E20"/>
  <c r="F20"/>
  <c r="G20"/>
  <c r="H20"/>
  <c r="I20"/>
  <c r="C20"/>
  <c r="B22"/>
  <c r="B23"/>
  <c r="B24"/>
  <c r="B21"/>
  <c r="B20"/>
  <c r="J10" l="1"/>
  <c r="A18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K10" l="1"/>
  <c r="J20"/>
  <c r="A12" i="46"/>
  <c r="A4"/>
  <c r="C14" i="45"/>
  <c r="C13"/>
  <c r="C12"/>
  <c r="C22" s="1"/>
  <c r="C11"/>
  <c r="C23" l="1"/>
  <c r="C24"/>
  <c r="C21"/>
  <c r="L10"/>
  <c r="K20"/>
  <c r="D14"/>
  <c r="D13"/>
  <c r="D12"/>
  <c r="D22" s="1"/>
  <c r="D11"/>
  <c r="A9"/>
  <c r="A19" s="1"/>
  <c r="M10" l="1"/>
  <c r="L20"/>
  <c r="D21"/>
  <c r="D23"/>
  <c r="D24"/>
  <c r="E11"/>
  <c r="E12"/>
  <c r="E22" s="1"/>
  <c r="E13"/>
  <c r="E14"/>
  <c r="E24" l="1"/>
  <c r="E23"/>
  <c r="E21"/>
  <c r="N10"/>
  <c r="M20"/>
  <c r="F14"/>
  <c r="F13"/>
  <c r="F12"/>
  <c r="F22" s="1"/>
  <c r="F1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O10" i="45" l="1"/>
  <c r="N20"/>
  <c r="F21"/>
  <c r="F23"/>
  <c r="F24"/>
  <c r="D5" i="43"/>
  <c r="B31" i="29" s="1"/>
  <c r="D9" i="43"/>
  <c r="B72" i="29" s="1"/>
  <c r="E6" i="42"/>
  <c r="B23" i="29" s="1"/>
  <c r="D8" i="43"/>
  <c r="B71" i="29" s="1"/>
  <c r="B69"/>
  <c r="B32"/>
  <c r="G11" i="45"/>
  <c r="G12"/>
  <c r="G22" s="1"/>
  <c r="G13"/>
  <c r="G14"/>
  <c r="E8" i="42"/>
  <c r="E5"/>
  <c r="E9"/>
  <c r="D7" i="43"/>
  <c r="E7" i="42"/>
  <c r="G21" i="45" l="1"/>
  <c r="G24"/>
  <c r="G23"/>
  <c r="P10"/>
  <c r="O20"/>
  <c r="B60" i="29"/>
  <c r="B35"/>
  <c r="B68"/>
  <c r="B34"/>
  <c r="B25"/>
  <c r="B62"/>
  <c r="B59"/>
  <c r="B22"/>
  <c r="B26"/>
  <c r="B63"/>
  <c r="B24"/>
  <c r="B61"/>
  <c r="B70"/>
  <c r="B33"/>
  <c r="H14" i="45"/>
  <c r="H13"/>
  <c r="H12"/>
  <c r="H22" s="1"/>
  <c r="H1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H57" i="29" s="1"/>
  <c r="H48" s="1"/>
  <c r="G13" i="3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N10" i="48" s="1"/>
  <c r="N7" i="49" s="1"/>
  <c r="N11" i="51" s="1"/>
  <c r="M16" i="25"/>
  <c r="M4" s="1"/>
  <c r="L16"/>
  <c r="L4" s="1"/>
  <c r="K16"/>
  <c r="K4" s="1"/>
  <c r="J16"/>
  <c r="J4" s="1"/>
  <c r="I16"/>
  <c r="I4" s="1"/>
  <c r="H16"/>
  <c r="H4" s="1"/>
  <c r="G16"/>
  <c r="G4" s="1"/>
  <c r="G5" s="1"/>
  <c r="G10" i="48" s="1"/>
  <c r="G7" i="49" s="1"/>
  <c r="G11" i="51" s="1"/>
  <c r="F16" i="25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H24" i="45" l="1"/>
  <c r="Q10"/>
  <c r="P20"/>
  <c r="H21"/>
  <c r="H23"/>
  <c r="A29" i="29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12"/>
  <c r="I22" s="1"/>
  <c r="I13"/>
  <c r="I14"/>
  <c r="B4" i="31"/>
  <c r="B4" i="23" s="1"/>
  <c r="B12"/>
  <c r="L5" i="15"/>
  <c r="E5"/>
  <c r="E5" i="14" s="1"/>
  <c r="E5" i="31" s="1"/>
  <c r="M5" i="15"/>
  <c r="U5"/>
  <c r="U5" i="14" s="1"/>
  <c r="V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M4" i="48" s="1"/>
  <c r="B38" i="29"/>
  <c r="U38"/>
  <c r="T10" i="25"/>
  <c r="T4" i="48" s="1"/>
  <c r="B5" i="25"/>
  <c r="B10" i="48" s="1"/>
  <c r="B7" i="49" s="1"/>
  <c r="B11" i="51" s="1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 i="48" s="1"/>
  <c r="U7" i="49" s="1"/>
  <c r="U11" i="51" s="1"/>
  <c r="U10" i="25"/>
  <c r="U4" i="48" s="1"/>
  <c r="K75" i="29"/>
  <c r="A41" i="25"/>
  <c r="L38" i="29"/>
  <c r="N4" i="14"/>
  <c r="A9"/>
  <c r="D5" i="25"/>
  <c r="D10" i="48" s="1"/>
  <c r="D7" i="49" s="1"/>
  <c r="D11" i="51" s="1"/>
  <c r="F10" i="25"/>
  <c r="F4" i="48" s="1"/>
  <c r="R5" i="15"/>
  <c r="R5" i="14" s="1"/>
  <c r="R10" i="25"/>
  <c r="R4" i="48" s="1"/>
  <c r="B5" i="15"/>
  <c r="T5"/>
  <c r="T5" i="14" s="1"/>
  <c r="J5" i="25"/>
  <c r="J10" i="48" s="1"/>
  <c r="J7" i="49" s="1"/>
  <c r="J11" i="51" s="1"/>
  <c r="J10" i="25"/>
  <c r="J4" i="48" s="1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R10" i="48" s="1"/>
  <c r="R7" i="49" s="1"/>
  <c r="R11" i="51" s="1"/>
  <c r="B10" i="25"/>
  <c r="B4" i="48" s="1"/>
  <c r="C75" i="29"/>
  <c r="C38"/>
  <c r="S75"/>
  <c r="S38"/>
  <c r="A55" i="25"/>
  <c r="A50"/>
  <c r="F5"/>
  <c r="F10" i="48" s="1"/>
  <c r="F7" i="49" s="1"/>
  <c r="F11" i="51" s="1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V4" i="48" s="1"/>
  <c r="A66" i="25"/>
  <c r="T75" i="29"/>
  <c r="Q10" i="25"/>
  <c r="Q4" i="48" s="1"/>
  <c r="P75" i="29"/>
  <c r="P38"/>
  <c r="A31" i="25"/>
  <c r="M4" i="14"/>
  <c r="E4"/>
  <c r="W10" i="25"/>
  <c r="W4" i="48" s="1"/>
  <c r="W5" i="25"/>
  <c r="W10" i="48" s="1"/>
  <c r="W7" i="49" s="1"/>
  <c r="W11" i="51" s="1"/>
  <c r="G10" i="25"/>
  <c r="G4" i="48" s="1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 i="48" s="1"/>
  <c r="E7" i="49" s="1"/>
  <c r="E11" i="51" s="1"/>
  <c r="E10" i="25"/>
  <c r="E4" i="48" s="1"/>
  <c r="Q5" i="25"/>
  <c r="Q10" i="48" s="1"/>
  <c r="Q7" i="49" s="1"/>
  <c r="Q11" i="51" s="1"/>
  <c r="H10" i="25"/>
  <c r="H4" i="48" s="1"/>
  <c r="H5" i="25"/>
  <c r="H10" i="48" s="1"/>
  <c r="H7" i="49" s="1"/>
  <c r="H11" i="51" s="1"/>
  <c r="I10" i="25"/>
  <c r="I4" i="48" s="1"/>
  <c r="I5" i="25"/>
  <c r="I10" i="48" s="1"/>
  <c r="I7" i="49" s="1"/>
  <c r="I11" i="51" s="1"/>
  <c r="P5" i="25"/>
  <c r="P10" i="48" s="1"/>
  <c r="P7" i="49" s="1"/>
  <c r="P11" i="51" s="1"/>
  <c r="P10" i="25"/>
  <c r="P4" i="48" s="1"/>
  <c r="L5" i="25"/>
  <c r="L10" i="48" s="1"/>
  <c r="L7" i="49" s="1"/>
  <c r="L11" i="51" s="1"/>
  <c r="L10" i="25"/>
  <c r="L4" i="48" s="1"/>
  <c r="T5" i="25"/>
  <c r="T10" i="48" s="1"/>
  <c r="T7" i="49" s="1"/>
  <c r="T11" i="51" s="1"/>
  <c r="O10" i="25"/>
  <c r="O4" i="48" s="1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4" i="48" s="1"/>
  <c r="S5" i="25"/>
  <c r="S10" i="48" s="1"/>
  <c r="S7" i="49" s="1"/>
  <c r="S11" i="51" s="1"/>
  <c r="E75" i="29"/>
  <c r="E38"/>
  <c r="M38"/>
  <c r="M75"/>
  <c r="O5" i="25"/>
  <c r="O10" i="48" s="1"/>
  <c r="O7" i="49" s="1"/>
  <c r="O11" i="51" s="1"/>
  <c r="C10" i="25"/>
  <c r="C4" i="48" s="1"/>
  <c r="C5" i="25"/>
  <c r="C10" i="48" s="1"/>
  <c r="C7" i="49" s="1"/>
  <c r="C11" i="51" s="1"/>
  <c r="K10" i="25"/>
  <c r="K4" i="48" s="1"/>
  <c r="K5" i="25"/>
  <c r="K10" i="48" s="1"/>
  <c r="K7" i="49" s="1"/>
  <c r="K11" i="51" s="1"/>
  <c r="D10" i="25"/>
  <c r="D4" i="48" s="1"/>
  <c r="N38" i="29"/>
  <c r="N75"/>
  <c r="N10" i="25"/>
  <c r="N4" i="48" s="1"/>
  <c r="V5" i="25"/>
  <c r="V10" i="48" s="1"/>
  <c r="V7" i="49" s="1"/>
  <c r="V11" i="51" s="1"/>
  <c r="Q38" i="29"/>
  <c r="Q75"/>
  <c r="C4" i="14"/>
  <c r="S4"/>
  <c r="M5" i="25"/>
  <c r="M10" i="48" s="1"/>
  <c r="M7" i="49" s="1"/>
  <c r="M11" i="51" s="1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J8" i="15"/>
  <c r="J8" i="14" s="1"/>
  <c r="B8" i="15"/>
  <c r="Q8"/>
  <c r="Q8" i="14" s="1"/>
  <c r="I8" i="15"/>
  <c r="I8" i="14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O5" i="15"/>
  <c r="O5" i="14" s="1"/>
  <c r="O5" i="31" s="1"/>
  <c r="G5" i="15"/>
  <c r="G5" i="14" s="1"/>
  <c r="G5" i="31" s="1"/>
  <c r="V5" i="15"/>
  <c r="V5" i="14" s="1"/>
  <c r="N5" i="15"/>
  <c r="N5" i="14" s="1"/>
  <c r="N5" i="31" s="1"/>
  <c r="F5" i="15"/>
  <c r="F5" i="14" s="1"/>
  <c r="F5" i="31" s="1"/>
  <c r="S5" i="15"/>
  <c r="S5" i="14" s="1"/>
  <c r="K5" i="15"/>
  <c r="K5" i="14" s="1"/>
  <c r="K5" i="31" s="1"/>
  <c r="C5" i="15"/>
  <c r="C5" i="14" s="1"/>
  <c r="C5" i="31" s="1"/>
  <c r="C9" l="1"/>
  <c r="D8"/>
  <c r="H9"/>
  <c r="H8"/>
  <c r="G9"/>
  <c r="F8"/>
  <c r="C8"/>
  <c r="D9"/>
  <c r="E8"/>
  <c r="E9"/>
  <c r="G8"/>
  <c r="F9"/>
  <c r="I24" i="45"/>
  <c r="I9" i="31"/>
  <c r="I23" i="45"/>
  <c r="I8" i="31"/>
  <c r="I21" i="45"/>
  <c r="R10"/>
  <c r="Q5" i="31"/>
  <c r="Q20" i="45"/>
  <c r="L5" i="14"/>
  <c r="L5" i="31" s="1"/>
  <c r="B8" i="14"/>
  <c r="B9"/>
  <c r="M5"/>
  <c r="M5" i="31" s="1"/>
  <c r="B5" i="14"/>
  <c r="B5" i="31" s="1"/>
  <c r="J13" i="45"/>
  <c r="J14"/>
  <c r="J12"/>
  <c r="J22" s="1"/>
  <c r="J1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13" s="1"/>
  <c r="I6" i="15"/>
  <c r="I6" i="14" s="1"/>
  <c r="I13" s="1"/>
  <c r="P6" i="15"/>
  <c r="P6" i="14" s="1"/>
  <c r="P13" s="1"/>
  <c r="H6" i="15"/>
  <c r="H6" i="14" s="1"/>
  <c r="W6" i="15"/>
  <c r="W6" i="14" s="1"/>
  <c r="W13" s="1"/>
  <c r="O6" i="15"/>
  <c r="O6" i="14" s="1"/>
  <c r="O13" s="1"/>
  <c r="G6" i="15"/>
  <c r="G6" i="14" s="1"/>
  <c r="T6" i="15"/>
  <c r="T6" i="14" s="1"/>
  <c r="T13" s="1"/>
  <c r="L6" i="15"/>
  <c r="L6" i="14" s="1"/>
  <c r="L13" s="1"/>
  <c r="D6" i="15"/>
  <c r="D6" i="14" s="1"/>
  <c r="S6" i="15"/>
  <c r="S6" i="14" s="1"/>
  <c r="S13" s="1"/>
  <c r="C6" i="15"/>
  <c r="C6" i="14" s="1"/>
  <c r="R6" i="15"/>
  <c r="R6" i="14" s="1"/>
  <c r="R13" s="1"/>
  <c r="B6" i="15"/>
  <c r="M6"/>
  <c r="M6" i="14" s="1"/>
  <c r="M13" s="1"/>
  <c r="K6" i="15"/>
  <c r="K6" i="14" s="1"/>
  <c r="K13" s="1"/>
  <c r="J6" i="15"/>
  <c r="J6" i="14" s="1"/>
  <c r="J13" s="1"/>
  <c r="V6" i="15"/>
  <c r="V6" i="14" s="1"/>
  <c r="V13" s="1"/>
  <c r="N6" i="15"/>
  <c r="N6" i="14" s="1"/>
  <c r="N13" s="1"/>
  <c r="U6" i="15"/>
  <c r="U6" i="14" s="1"/>
  <c r="U13" s="1"/>
  <c r="F6" i="15"/>
  <c r="F6" i="14" s="1"/>
  <c r="E6" i="15"/>
  <c r="E6" i="14" s="1"/>
  <c r="S4" i="31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L7" l="1"/>
  <c r="M7"/>
  <c r="G13" i="14"/>
  <c r="G6" i="31"/>
  <c r="I6"/>
  <c r="B8"/>
  <c r="E13" i="14"/>
  <c r="E6" i="31"/>
  <c r="C13" i="14"/>
  <c r="C6" i="31"/>
  <c r="H13" i="14"/>
  <c r="H6" i="31"/>
  <c r="D13" i="14"/>
  <c r="D6" i="31"/>
  <c r="B9"/>
  <c r="F13" i="14"/>
  <c r="F6" i="31"/>
  <c r="J24" i="45"/>
  <c r="J9" i="31"/>
  <c r="J23" i="45"/>
  <c r="J8" i="31"/>
  <c r="S10" i="45"/>
  <c r="R5" i="31"/>
  <c r="R20" i="45"/>
  <c r="J21"/>
  <c r="J6" i="31"/>
  <c r="B7" i="14"/>
  <c r="B7" i="31" s="1"/>
  <c r="B6" i="14"/>
  <c r="K11" i="45"/>
  <c r="K12"/>
  <c r="K22" s="1"/>
  <c r="K14"/>
  <c r="K9" i="31" s="1"/>
  <c r="K13" i="45"/>
  <c r="K8" i="31" s="1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6" i="31" l="1"/>
  <c r="B5" i="32" s="1"/>
  <c r="B5" i="23" s="1"/>
  <c r="B13" i="14"/>
  <c r="T10" i="45"/>
  <c r="S5" i="31"/>
  <c r="S20" i="45"/>
  <c r="K21"/>
  <c r="K6" i="31"/>
  <c r="K24" i="45"/>
  <c r="K23"/>
  <c r="P4" i="32"/>
  <c r="L13" i="45"/>
  <c r="L8" i="31" s="1"/>
  <c r="L14" i="45"/>
  <c r="L9" i="31" s="1"/>
  <c r="L12" i="45"/>
  <c r="L11"/>
  <c r="L6" i="31" s="1"/>
  <c r="J4" i="32"/>
  <c r="I16" i="23"/>
  <c r="O17"/>
  <c r="R15"/>
  <c r="N16"/>
  <c r="H17"/>
  <c r="V15"/>
  <c r="W16"/>
  <c r="P13"/>
  <c r="C15"/>
  <c r="C17" i="33" s="1"/>
  <c r="C61" i="29" s="1"/>
  <c r="M15" i="23"/>
  <c r="D7" i="32"/>
  <c r="D7" i="23" s="1"/>
  <c r="U14"/>
  <c r="S15"/>
  <c r="L15"/>
  <c r="F14"/>
  <c r="K15"/>
  <c r="J14"/>
  <c r="E15"/>
  <c r="F6" i="32"/>
  <c r="F6" i="23" s="1"/>
  <c r="G15"/>
  <c r="E4" i="32"/>
  <c r="T4"/>
  <c r="N4"/>
  <c r="C4"/>
  <c r="D4"/>
  <c r="S4"/>
  <c r="K4"/>
  <c r="O4"/>
  <c r="W4"/>
  <c r="M4"/>
  <c r="B6" l="1"/>
  <c r="B6" i="23" s="1"/>
  <c r="C6" i="40" s="1"/>
  <c r="B8" i="32"/>
  <c r="B8" i="23" s="1"/>
  <c r="C8" i="40" s="1"/>
  <c r="B7" i="32"/>
  <c r="B7" i="23" s="1"/>
  <c r="C7" i="40" s="1"/>
  <c r="B9" i="32"/>
  <c r="B9" i="23" s="1"/>
  <c r="C9" i="40" s="1"/>
  <c r="U10" i="45"/>
  <c r="T5" i="31"/>
  <c r="T20" i="45"/>
  <c r="L23"/>
  <c r="L21"/>
  <c r="L22"/>
  <c r="L24"/>
  <c r="M14"/>
  <c r="M9" i="31" s="1"/>
  <c r="M11" i="45"/>
  <c r="M6" i="31" s="1"/>
  <c r="M13" i="45"/>
  <c r="M8" i="31" s="1"/>
  <c r="M12" i="45"/>
  <c r="C7" i="32"/>
  <c r="C7" i="23" s="1"/>
  <c r="C8" i="33" s="1"/>
  <c r="C24" i="29" s="1"/>
  <c r="C5" i="40"/>
  <c r="C17" i="23"/>
  <c r="C19" i="33" s="1"/>
  <c r="C63" i="29" s="1"/>
  <c r="C16" i="23"/>
  <c r="C18" i="33" s="1"/>
  <c r="C62" i="29" s="1"/>
  <c r="C13" i="23"/>
  <c r="C15" i="33" s="1"/>
  <c r="C59" i="29" s="1"/>
  <c r="C14" i="23"/>
  <c r="C16" i="33" s="1"/>
  <c r="C60" i="29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C23" i="29" s="1"/>
  <c r="R16" i="23"/>
  <c r="C9" i="32"/>
  <c r="C9" i="23" s="1"/>
  <c r="C10" i="33" s="1"/>
  <c r="C26" i="29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V10" i="45" l="1"/>
  <c r="U5" i="31"/>
  <c r="U20" i="45"/>
  <c r="M22"/>
  <c r="M23"/>
  <c r="M21"/>
  <c r="M24"/>
  <c r="C58" i="29"/>
  <c r="N12" i="45"/>
  <c r="N13"/>
  <c r="N8" i="31" s="1"/>
  <c r="N11" i="45"/>
  <c r="N6" i="31" s="1"/>
  <c r="N14" i="45"/>
  <c r="N9" i="31" s="1"/>
  <c r="C14" i="33"/>
  <c r="C6"/>
  <c r="C22" i="29" s="1"/>
  <c r="C9" i="33"/>
  <c r="C25" i="29" s="1"/>
  <c r="H9" i="32"/>
  <c r="H9" i="23" s="1"/>
  <c r="H8" i="32"/>
  <c r="H8" i="23" s="1"/>
  <c r="H6" i="32"/>
  <c r="H6" i="23" s="1"/>
  <c r="H7" i="32"/>
  <c r="H7" i="23" s="1"/>
  <c r="H5" i="32"/>
  <c r="H5" i="23" s="1"/>
  <c r="W10" i="45" l="1"/>
  <c r="V5" i="31"/>
  <c r="V20" i="45"/>
  <c r="N24"/>
  <c r="N21"/>
  <c r="N23"/>
  <c r="N22"/>
  <c r="C21" i="29"/>
  <c r="O14" i="45"/>
  <c r="O9" i="31" s="1"/>
  <c r="O11" i="45"/>
  <c r="O6" i="31" s="1"/>
  <c r="O13" i="45"/>
  <c r="O8" i="31" s="1"/>
  <c r="O12" i="45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W5" i="31" l="1"/>
  <c r="W20" i="45"/>
  <c r="O22"/>
  <c r="O23"/>
  <c r="O21"/>
  <c r="O24"/>
  <c r="P12"/>
  <c r="P13"/>
  <c r="P8" i="31" s="1"/>
  <c r="P11" i="45"/>
  <c r="P6" i="31" s="1"/>
  <c r="P14" i="45"/>
  <c r="P9" i="31" s="1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Q9" i="31" s="1"/>
  <c r="P24" i="45"/>
  <c r="Q11"/>
  <c r="Q6" i="31" s="1"/>
  <c r="P21" i="45"/>
  <c r="Q13"/>
  <c r="Q8" i="31" s="1"/>
  <c r="P23" i="45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17" s="1"/>
  <c r="B59" i="25"/>
  <c r="B56"/>
  <c r="B38"/>
  <c r="B19"/>
  <c r="B41" i="29" s="1"/>
  <c r="B14" s="1"/>
  <c r="B55" i="25"/>
  <c r="B37"/>
  <c r="B18"/>
  <c r="B40" i="29" s="1"/>
  <c r="B13" s="1"/>
  <c r="B5" i="21"/>
  <c r="B40" i="25"/>
  <c r="B58"/>
  <c r="B21"/>
  <c r="B43" i="29" s="1"/>
  <c r="B16" s="1"/>
  <c r="B20" i="25"/>
  <c r="B42" i="29" s="1"/>
  <c r="B15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R12" i="45" l="1"/>
  <c r="Q22"/>
  <c r="B79" i="29"/>
  <c r="B52" s="1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R8" i="31" s="1"/>
  <c r="Q23" i="45"/>
  <c r="Q21"/>
  <c r="R11"/>
  <c r="Q24"/>
  <c r="R14"/>
  <c r="R9" i="31" s="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R21" i="45" l="1"/>
  <c r="R6" i="31"/>
  <c r="C69" i="29"/>
  <c r="D16" i="34"/>
  <c r="C68" i="29"/>
  <c r="D15" i="34"/>
  <c r="C72" i="29"/>
  <c r="D19" i="34"/>
  <c r="S13" i="45"/>
  <c r="R23"/>
  <c r="S14"/>
  <c r="S9" i="31" s="1"/>
  <c r="S11" i="45"/>
  <c r="S6" i="31" s="1"/>
  <c r="S12" i="45"/>
  <c r="R22"/>
  <c r="B11" i="25"/>
  <c r="B76" i="29"/>
  <c r="R24" i="45"/>
  <c r="B12" i="25"/>
  <c r="B12" i="29"/>
  <c r="C17" i="21"/>
  <c r="C18"/>
  <c r="B49" i="29"/>
  <c r="C64" i="25"/>
  <c r="C46"/>
  <c r="C27"/>
  <c r="C77" i="29" s="1"/>
  <c r="C65" i="25"/>
  <c r="C28"/>
  <c r="C78" i="29" s="1"/>
  <c r="C47" i="25"/>
  <c r="C50"/>
  <c r="C68"/>
  <c r="C31"/>
  <c r="C81" i="29" s="1"/>
  <c r="B3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S23" i="45" l="1"/>
  <c r="S8" i="31"/>
  <c r="B13" i="5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T6" i="31" s="1"/>
  <c r="S21" i="45"/>
  <c r="T14"/>
  <c r="T9" i="31" s="1"/>
  <c r="S24" i="45"/>
  <c r="T13"/>
  <c r="T8" i="31" s="1"/>
  <c r="B13" i="25"/>
  <c r="B5" i="48" s="1"/>
  <c r="C29" i="25"/>
  <c r="C79" i="29" s="1"/>
  <c r="C66" i="25"/>
  <c r="C49"/>
  <c r="C48"/>
  <c r="C30"/>
  <c r="C80" i="29" s="1"/>
  <c r="C67" i="25"/>
  <c r="C14" i="21"/>
  <c r="C51" i="29"/>
  <c r="C5" i="21"/>
  <c r="C7" i="46" s="1"/>
  <c r="C57" i="25"/>
  <c r="C39"/>
  <c r="C20"/>
  <c r="C42" i="29" s="1"/>
  <c r="C59" i="25"/>
  <c r="C22"/>
  <c r="C44" i="29" s="1"/>
  <c r="C41" i="25"/>
  <c r="C54" i="29"/>
  <c r="C56" i="25"/>
  <c r="C19"/>
  <c r="C41" i="29" s="1"/>
  <c r="C38" i="25"/>
  <c r="C21"/>
  <c r="C43" i="29" s="1"/>
  <c r="C40" i="25"/>
  <c r="C58"/>
  <c r="C55"/>
  <c r="C18"/>
  <c r="C40" i="29" s="1"/>
  <c r="C37" i="25"/>
  <c r="N5" i="32"/>
  <c r="N5" i="23" s="1"/>
  <c r="N7" i="32"/>
  <c r="N7" i="23" s="1"/>
  <c r="N9" i="32"/>
  <c r="N9" i="23" s="1"/>
  <c r="N6" i="32"/>
  <c r="N6" i="23" s="1"/>
  <c r="N8" i="32"/>
  <c r="N8" i="23" s="1"/>
  <c r="T21" i="45" l="1"/>
  <c r="B8" i="49"/>
  <c r="B10" s="1"/>
  <c r="B12" i="51" s="1"/>
  <c r="B14" s="1"/>
  <c r="B6" i="48"/>
  <c r="B7" s="1"/>
  <c r="C67" i="29"/>
  <c r="C16"/>
  <c r="C17"/>
  <c r="C14"/>
  <c r="C30"/>
  <c r="C15"/>
  <c r="U13" i="45"/>
  <c r="U8" i="31" s="1"/>
  <c r="U12" i="45"/>
  <c r="T22"/>
  <c r="U14"/>
  <c r="U9" i="31" s="1"/>
  <c r="T23" i="45"/>
  <c r="T24"/>
  <c r="U11"/>
  <c r="C76" i="29"/>
  <c r="C39"/>
  <c r="C13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59" i="29" s="1"/>
  <c r="D18" i="33"/>
  <c r="D62" i="29" s="1"/>
  <c r="C52"/>
  <c r="D16" i="33"/>
  <c r="D60" i="29" s="1"/>
  <c r="D14" i="34"/>
  <c r="D17" i="33"/>
  <c r="D61" i="29" s="1"/>
  <c r="D19" i="33"/>
  <c r="D63" i="29" s="1"/>
  <c r="C26" i="25"/>
  <c r="C45"/>
  <c r="C53" i="29"/>
  <c r="C7" i="25"/>
  <c r="C36"/>
  <c r="C54"/>
  <c r="C17"/>
  <c r="C6"/>
  <c r="D6" i="33"/>
  <c r="D22" i="29" s="1"/>
  <c r="D10" i="33"/>
  <c r="D26" i="29" s="1"/>
  <c r="D9" i="33"/>
  <c r="D25" i="29" s="1"/>
  <c r="D8" i="33"/>
  <c r="D24" i="29" s="1"/>
  <c r="D7" i="33"/>
  <c r="D23" i="29" s="1"/>
  <c r="C50"/>
  <c r="D5" i="34"/>
  <c r="O5" i="32"/>
  <c r="O5" i="23" s="1"/>
  <c r="O9" i="32"/>
  <c r="O9" i="23" s="1"/>
  <c r="O7" i="32"/>
  <c r="O7" i="23" s="1"/>
  <c r="O8" i="32"/>
  <c r="O8" i="23" s="1"/>
  <c r="O6" i="32"/>
  <c r="O6" i="23" s="1"/>
  <c r="U21" i="45" l="1"/>
  <c r="U6" i="31"/>
  <c r="V14" i="45"/>
  <c r="V9" i="31" s="1"/>
  <c r="U24" i="45"/>
  <c r="V12"/>
  <c r="U22"/>
  <c r="V11"/>
  <c r="V6" i="31" s="1"/>
  <c r="V13" i="45"/>
  <c r="V8" i="31" s="1"/>
  <c r="C11" i="25"/>
  <c r="D58" i="29"/>
  <c r="D21"/>
  <c r="C24" i="40"/>
  <c r="C25"/>
  <c r="C22"/>
  <c r="C21"/>
  <c r="C12" i="25"/>
  <c r="D15" i="21"/>
  <c r="E15" i="34" s="1"/>
  <c r="D18" i="21"/>
  <c r="E18" i="34" s="1"/>
  <c r="D16" i="21"/>
  <c r="D19"/>
  <c r="D14" i="33"/>
  <c r="D17" i="21"/>
  <c r="C12" i="29"/>
  <c r="C49"/>
  <c r="D8" i="21"/>
  <c r="D9"/>
  <c r="C8" i="25"/>
  <c r="C11" i="48" s="1"/>
  <c r="C13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V23" i="45" l="1"/>
  <c r="V24"/>
  <c r="C6" i="48"/>
  <c r="C8" i="49"/>
  <c r="C10" s="1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W6" i="31" s="1"/>
  <c r="V21" i="45"/>
  <c r="W12"/>
  <c r="V22"/>
  <c r="W13"/>
  <c r="W8" i="31" s="1"/>
  <c r="W14" i="45"/>
  <c r="W9" i="31" s="1"/>
  <c r="C13" i="25"/>
  <c r="C5" i="48" s="1"/>
  <c r="C37" i="40" s="1"/>
  <c r="D49" i="25"/>
  <c r="D71" i="29"/>
  <c r="D64" i="25"/>
  <c r="D68" i="29"/>
  <c r="D27" i="25"/>
  <c r="D77" i="29" s="1"/>
  <c r="D46" i="25"/>
  <c r="D30"/>
  <c r="D80" i="29" s="1"/>
  <c r="D67" i="25"/>
  <c r="D47"/>
  <c r="D28"/>
  <c r="D78" i="29" s="1"/>
  <c r="D65" i="25"/>
  <c r="D29"/>
  <c r="D79" i="29" s="1"/>
  <c r="D31" i="25"/>
  <c r="D81" i="29" s="1"/>
  <c r="D50" i="25"/>
  <c r="D68"/>
  <c r="D66"/>
  <c r="D14" i="21"/>
  <c r="D13" i="46" s="1"/>
  <c r="D48" i="25"/>
  <c r="D56"/>
  <c r="D19"/>
  <c r="D41" i="29" s="1"/>
  <c r="D14" s="1"/>
  <c r="D38" i="25"/>
  <c r="D22"/>
  <c r="D44" i="29" s="1"/>
  <c r="D59" i="25"/>
  <c r="D41"/>
  <c r="D20"/>
  <c r="D42" i="29" s="1"/>
  <c r="D57" i="25"/>
  <c r="D39"/>
  <c r="D55"/>
  <c r="D37"/>
  <c r="D18"/>
  <c r="D40" i="29" s="1"/>
  <c r="D5" i="21"/>
  <c r="D9" i="46" s="1"/>
  <c r="D21" i="25"/>
  <c r="D43" i="29" s="1"/>
  <c r="D40" i="25"/>
  <c r="D58"/>
  <c r="Q5" i="32"/>
  <c r="Q5" i="23" s="1"/>
  <c r="Q9" i="32"/>
  <c r="Q9" i="23" s="1"/>
  <c r="Q6" i="32"/>
  <c r="Q6" i="23" s="1"/>
  <c r="Q7" i="32"/>
  <c r="Q7" i="23" s="1"/>
  <c r="Q8" i="32"/>
  <c r="Q8" i="23" s="1"/>
  <c r="W21" i="45" l="1"/>
  <c r="W24"/>
  <c r="D17" i="29"/>
  <c r="D16"/>
  <c r="D15"/>
  <c r="D30"/>
  <c r="D13"/>
  <c r="W22" i="45"/>
  <c r="W23"/>
  <c r="D67" i="29"/>
  <c r="D76"/>
  <c r="D39"/>
  <c r="D52"/>
  <c r="D5" i="46"/>
  <c r="D54" i="29"/>
  <c r="D16" i="46"/>
  <c r="D7"/>
  <c r="D53" i="29"/>
  <c r="D15" i="46"/>
  <c r="D6"/>
  <c r="D8"/>
  <c r="D51" i="29"/>
  <c r="D17" i="46"/>
  <c r="D14"/>
  <c r="E16" i="33"/>
  <c r="E60" i="29" s="1"/>
  <c r="D45" i="25"/>
  <c r="D26"/>
  <c r="D63"/>
  <c r="E17" i="33"/>
  <c r="E61" i="29" s="1"/>
  <c r="E15" i="33"/>
  <c r="E59" i="29" s="1"/>
  <c r="D7" i="25"/>
  <c r="E19" i="33"/>
  <c r="E63" i="29" s="1"/>
  <c r="E14" i="34"/>
  <c r="E18" i="33"/>
  <c r="E62" i="29" s="1"/>
  <c r="D36" i="25"/>
  <c r="D54"/>
  <c r="D17"/>
  <c r="D6"/>
  <c r="E10" i="33"/>
  <c r="E26" i="29" s="1"/>
  <c r="E9" i="33"/>
  <c r="E25" i="29" s="1"/>
  <c r="E8" i="33"/>
  <c r="E24" i="29" s="1"/>
  <c r="E7" i="33"/>
  <c r="E23" i="29" s="1"/>
  <c r="E5" i="34"/>
  <c r="E6" i="33"/>
  <c r="E22" i="29" s="1"/>
  <c r="D50"/>
  <c r="R5" i="32"/>
  <c r="R5" i="23" s="1"/>
  <c r="R8" i="32"/>
  <c r="R8" i="23" s="1"/>
  <c r="R7" i="32"/>
  <c r="R7" i="23" s="1"/>
  <c r="R9" i="32"/>
  <c r="R9" i="23" s="1"/>
  <c r="R6" i="32"/>
  <c r="R6" i="23" s="1"/>
  <c r="C7" i="48" l="1"/>
  <c r="C39" i="40" s="1"/>
  <c r="C38"/>
  <c r="C12" i="51"/>
  <c r="C14" s="1"/>
  <c r="D11" i="25"/>
  <c r="E58" i="29"/>
  <c r="E21"/>
  <c r="D12" i="25"/>
  <c r="D12" i="29"/>
  <c r="D49"/>
  <c r="E16" i="21"/>
  <c r="E17"/>
  <c r="E15"/>
  <c r="E19"/>
  <c r="E18"/>
  <c r="E14" i="33"/>
  <c r="E6" i="21"/>
  <c r="D8" i="25"/>
  <c r="D11" i="48" s="1"/>
  <c r="D13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D8" i="49" l="1"/>
  <c r="D10" s="1"/>
  <c r="D6" i="48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78" i="29" s="1"/>
  <c r="E29" i="25"/>
  <c r="E79" i="29" s="1"/>
  <c r="E30" i="25"/>
  <c r="E80" i="29" s="1"/>
  <c r="E48" i="25"/>
  <c r="E66"/>
  <c r="E49"/>
  <c r="E67"/>
  <c r="E64"/>
  <c r="E46"/>
  <c r="E27"/>
  <c r="E77" i="29" s="1"/>
  <c r="E31" i="25"/>
  <c r="E81" i="29" s="1"/>
  <c r="E50" i="25"/>
  <c r="E68"/>
  <c r="E14" i="21"/>
  <c r="E16" i="46" s="1"/>
  <c r="E37" i="25"/>
  <c r="E18"/>
  <c r="E40" i="29" s="1"/>
  <c r="E55" i="25"/>
  <c r="E58"/>
  <c r="E5" i="21"/>
  <c r="E5" i="46" s="1"/>
  <c r="E21" i="25"/>
  <c r="E43" i="29" s="1"/>
  <c r="E40" i="25"/>
  <c r="E22"/>
  <c r="E44" i="29" s="1"/>
  <c r="E41" i="25"/>
  <c r="E59"/>
  <c r="E38"/>
  <c r="E56"/>
  <c r="E19"/>
  <c r="E41" i="29" s="1"/>
  <c r="E20" i="25"/>
  <c r="E42" i="29" s="1"/>
  <c r="E39" i="25"/>
  <c r="E57"/>
  <c r="T8" i="32"/>
  <c r="T8" i="23" s="1"/>
  <c r="T5" i="32"/>
  <c r="T5" i="23" s="1"/>
  <c r="T6" i="32"/>
  <c r="T6" i="23" s="1"/>
  <c r="T9" i="32"/>
  <c r="T9" i="23" s="1"/>
  <c r="T7" i="32"/>
  <c r="T7" i="23" s="1"/>
  <c r="D7" i="48" l="1"/>
  <c r="E13" i="29"/>
  <c r="E16"/>
  <c r="E67"/>
  <c r="E17"/>
  <c r="E30"/>
  <c r="E14"/>
  <c r="E15"/>
  <c r="E76"/>
  <c r="E39"/>
  <c r="E54"/>
  <c r="E6" i="46"/>
  <c r="E53" i="29"/>
  <c r="E9" i="46"/>
  <c r="E7"/>
  <c r="E52" i="29"/>
  <c r="E8" i="46"/>
  <c r="E14"/>
  <c r="E51" i="29"/>
  <c r="E15" i="46"/>
  <c r="E13"/>
  <c r="E17"/>
  <c r="E45" i="25"/>
  <c r="F18" i="33"/>
  <c r="F62" i="29" s="1"/>
  <c r="F19" i="33"/>
  <c r="F63" i="29" s="1"/>
  <c r="F17" i="33"/>
  <c r="F61" i="29" s="1"/>
  <c r="E63" i="25"/>
  <c r="F16" i="33"/>
  <c r="F60" i="29" s="1"/>
  <c r="F14" i="34"/>
  <c r="F15" i="33"/>
  <c r="F59" i="29" s="1"/>
  <c r="E7" i="25"/>
  <c r="E26"/>
  <c r="F10" i="33"/>
  <c r="F26" i="29" s="1"/>
  <c r="E36" i="25"/>
  <c r="E54"/>
  <c r="F6" i="33"/>
  <c r="F22" i="29" s="1"/>
  <c r="F5" i="34"/>
  <c r="E17" i="25"/>
  <c r="F9" i="33"/>
  <c r="F25" i="29" s="1"/>
  <c r="F7" i="33"/>
  <c r="F23" i="29" s="1"/>
  <c r="F8" i="33"/>
  <c r="F24" i="29" s="1"/>
  <c r="E6" i="25"/>
  <c r="E50" i="29"/>
  <c r="U9" i="32"/>
  <c r="U9" i="23" s="1"/>
  <c r="U6" i="32"/>
  <c r="U6" i="23" s="1"/>
  <c r="U8" i="32"/>
  <c r="U8" i="23" s="1"/>
  <c r="U5" i="32"/>
  <c r="U5" i="23" s="1"/>
  <c r="U7" i="32"/>
  <c r="U7" i="23" s="1"/>
  <c r="D12" i="51" l="1"/>
  <c r="D14" s="1"/>
  <c r="E11" i="25"/>
  <c r="F58" i="29"/>
  <c r="F21"/>
  <c r="E12" i="25"/>
  <c r="E49" i="29"/>
  <c r="E12"/>
  <c r="F18" i="21"/>
  <c r="G18" i="34" s="1"/>
  <c r="F16" i="21"/>
  <c r="F15"/>
  <c r="F19"/>
  <c r="F17"/>
  <c r="F14" i="33"/>
  <c r="F10" i="21"/>
  <c r="F9"/>
  <c r="F5" i="33"/>
  <c r="F8" i="21"/>
  <c r="E8" i="25"/>
  <c r="E11" i="48" s="1"/>
  <c r="E13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6" i="48" l="1"/>
  <c r="E8" i="49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78" i="29" s="1"/>
  <c r="F47" i="25"/>
  <c r="F30"/>
  <c r="F80" i="29" s="1"/>
  <c r="F65" i="25"/>
  <c r="F27"/>
  <c r="F77" i="29" s="1"/>
  <c r="F64" i="25"/>
  <c r="F46"/>
  <c r="F50"/>
  <c r="F14" i="21"/>
  <c r="F15" i="46" s="1"/>
  <c r="F31" i="25"/>
  <c r="F81" i="29" s="1"/>
  <c r="F68" i="25"/>
  <c r="F29"/>
  <c r="F79" i="29" s="1"/>
  <c r="F48" i="25"/>
  <c r="F66"/>
  <c r="F41"/>
  <c r="F22"/>
  <c r="F44" i="29" s="1"/>
  <c r="F59" i="25"/>
  <c r="F38"/>
  <c r="F58"/>
  <c r="F21"/>
  <c r="F43" i="29" s="1"/>
  <c r="F40" i="25"/>
  <c r="F56"/>
  <c r="F18"/>
  <c r="F40" i="29" s="1"/>
  <c r="F55" i="25"/>
  <c r="F5" i="21"/>
  <c r="F5" i="46" s="1"/>
  <c r="F37" i="25"/>
  <c r="F19"/>
  <c r="F41" i="29" s="1"/>
  <c r="F20" i="25"/>
  <c r="F42" i="29" s="1"/>
  <c r="F39" i="25"/>
  <c r="F57"/>
  <c r="W9" i="32"/>
  <c r="W9" i="23" s="1"/>
  <c r="W8" i="32"/>
  <c r="W8" i="23" s="1"/>
  <c r="W6" i="32"/>
  <c r="W6" i="23" s="1"/>
  <c r="W7" i="32"/>
  <c r="W7" i="23" s="1"/>
  <c r="W5" i="32"/>
  <c r="W5" i="23" s="1"/>
  <c r="E7" i="48" l="1"/>
  <c r="F16" i="29"/>
  <c r="E12" i="51"/>
  <c r="E14" s="1"/>
  <c r="F17" i="29"/>
  <c r="F15"/>
  <c r="F30"/>
  <c r="F67"/>
  <c r="F14"/>
  <c r="F76"/>
  <c r="F39"/>
  <c r="F13"/>
  <c r="F14" i="46"/>
  <c r="F51" i="29"/>
  <c r="F17" i="46"/>
  <c r="F7"/>
  <c r="F53" i="29"/>
  <c r="F9" i="46"/>
  <c r="F6"/>
  <c r="F52" i="29"/>
  <c r="F13" i="46"/>
  <c r="F8"/>
  <c r="F54" i="29"/>
  <c r="F16" i="46"/>
  <c r="G14" i="34"/>
  <c r="F63" i="25"/>
  <c r="F45"/>
  <c r="G17" i="33"/>
  <c r="G61" i="29" s="1"/>
  <c r="G16" i="33"/>
  <c r="G60" i="29" s="1"/>
  <c r="G18" i="33"/>
  <c r="G62" i="29" s="1"/>
  <c r="G19" i="33"/>
  <c r="G63" i="29" s="1"/>
  <c r="G15" i="33"/>
  <c r="G59" i="29" s="1"/>
  <c r="F26" i="25"/>
  <c r="F7"/>
  <c r="G5" i="34"/>
  <c r="D7" i="40"/>
  <c r="D6"/>
  <c r="E5"/>
  <c r="D8"/>
  <c r="D9"/>
  <c r="D5"/>
  <c r="E8"/>
  <c r="E7"/>
  <c r="E6"/>
  <c r="E9"/>
  <c r="G9" i="33"/>
  <c r="G25" i="29" s="1"/>
  <c r="F36" i="25"/>
  <c r="G8" i="33"/>
  <c r="G24" i="29" s="1"/>
  <c r="G6" i="33"/>
  <c r="G22" i="29" s="1"/>
  <c r="F17" i="25"/>
  <c r="G7" i="33"/>
  <c r="G23" i="29" s="1"/>
  <c r="G10" i="33"/>
  <c r="G26" i="29" s="1"/>
  <c r="F6" i="25"/>
  <c r="F54"/>
  <c r="F50" i="29"/>
  <c r="F11" i="25" l="1"/>
  <c r="G58" i="29"/>
  <c r="G21"/>
  <c r="F12" i="25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F13" s="1"/>
  <c r="G5" i="33"/>
  <c r="F6" i="48" l="1"/>
  <c r="F8" i="49"/>
  <c r="F10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43" i="29" s="1"/>
  <c r="G28" i="25"/>
  <c r="G78" i="29" s="1"/>
  <c r="G47" i="25"/>
  <c r="G65"/>
  <c r="G67"/>
  <c r="G29"/>
  <c r="G79" i="29" s="1"/>
  <c r="G66" i="25"/>
  <c r="G30"/>
  <c r="G80" i="29" s="1"/>
  <c r="G49" i="25"/>
  <c r="G48"/>
  <c r="G68"/>
  <c r="G64"/>
  <c r="G31"/>
  <c r="G81" i="29" s="1"/>
  <c r="G50" i="25"/>
  <c r="G27"/>
  <c r="G77" i="29" s="1"/>
  <c r="G46" i="25"/>
  <c r="G14" i="21"/>
  <c r="G17" i="46" s="1"/>
  <c r="G40" i="25"/>
  <c r="G58"/>
  <c r="G39"/>
  <c r="G18"/>
  <c r="G40" i="29" s="1"/>
  <c r="G22" i="25"/>
  <c r="G44" i="29" s="1"/>
  <c r="G37" i="25"/>
  <c r="G57"/>
  <c r="G20"/>
  <c r="G42" i="29" s="1"/>
  <c r="G55" i="25"/>
  <c r="G56"/>
  <c r="G41"/>
  <c r="G59"/>
  <c r="G5" i="21"/>
  <c r="G7" i="46" s="1"/>
  <c r="G19" i="25"/>
  <c r="G41" i="29" s="1"/>
  <c r="G38" i="25"/>
  <c r="F7" i="48" l="1"/>
  <c r="G67" i="29"/>
  <c r="G17"/>
  <c r="G16"/>
  <c r="G30"/>
  <c r="G13"/>
  <c r="G15"/>
  <c r="G76"/>
  <c r="G39"/>
  <c r="G14"/>
  <c r="G53"/>
  <c r="G16" i="46"/>
  <c r="G6"/>
  <c r="G15"/>
  <c r="G9"/>
  <c r="G13"/>
  <c r="G5"/>
  <c r="G54" i="29"/>
  <c r="G52"/>
  <c r="G8" i="46"/>
  <c r="G51" i="29"/>
  <c r="G14" i="46"/>
  <c r="G63" i="25"/>
  <c r="G26"/>
  <c r="H14" i="34"/>
  <c r="G45" i="25"/>
  <c r="H16" i="33"/>
  <c r="H60" i="29" s="1"/>
  <c r="H15" i="33"/>
  <c r="H19"/>
  <c r="H63" i="29" s="1"/>
  <c r="H18" i="33"/>
  <c r="H62" i="29" s="1"/>
  <c r="G7" i="25"/>
  <c r="H17" i="33"/>
  <c r="H61" i="29" s="1"/>
  <c r="G54" i="25"/>
  <c r="H9" i="33"/>
  <c r="H25" i="29" s="1"/>
  <c r="H5" i="34"/>
  <c r="G36" i="25"/>
  <c r="G17"/>
  <c r="G6"/>
  <c r="H8" i="33"/>
  <c r="H24" i="29" s="1"/>
  <c r="H7" i="33"/>
  <c r="H23" i="29" s="1"/>
  <c r="H6" i="33"/>
  <c r="H22" i="29" s="1"/>
  <c r="H10" i="33"/>
  <c r="H26" i="29" s="1"/>
  <c r="G50"/>
  <c r="F12" i="51" l="1"/>
  <c r="F14" s="1"/>
  <c r="G11" i="25"/>
  <c r="H15" i="21"/>
  <c r="H59" i="29"/>
  <c r="H58" s="1"/>
  <c r="H21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s="1"/>
  <c r="G13" i="51" l="1"/>
  <c r="G6" i="48"/>
  <c r="G8" i="49"/>
  <c r="G10" s="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77" i="29" s="1"/>
  <c r="H46" i="25"/>
  <c r="H21"/>
  <c r="H43" i="29" s="1"/>
  <c r="H47" i="25"/>
  <c r="H65"/>
  <c r="H28"/>
  <c r="H78" i="29" s="1"/>
  <c r="H49" i="25"/>
  <c r="H30"/>
  <c r="H80" i="29" s="1"/>
  <c r="H67" i="25"/>
  <c r="H29"/>
  <c r="H79" i="29" s="1"/>
  <c r="H66" i="25"/>
  <c r="H50"/>
  <c r="H68"/>
  <c r="H31"/>
  <c r="H81" i="29" s="1"/>
  <c r="H14" i="21"/>
  <c r="H13" i="46" s="1"/>
  <c r="D29" i="40" s="1"/>
  <c r="H48" i="25"/>
  <c r="H40"/>
  <c r="H58"/>
  <c r="H39"/>
  <c r="H56"/>
  <c r="H41"/>
  <c r="H18"/>
  <c r="H40" i="29" s="1"/>
  <c r="H55" i="25"/>
  <c r="H38"/>
  <c r="H19"/>
  <c r="H41" i="29" s="1"/>
  <c r="H20" i="25"/>
  <c r="H42" i="29" s="1"/>
  <c r="H5" i="21"/>
  <c r="H7" i="46" s="1"/>
  <c r="H57" i="25"/>
  <c r="H22"/>
  <c r="H44" i="29" s="1"/>
  <c r="H59" i="25"/>
  <c r="H37"/>
  <c r="G7" i="48" l="1"/>
  <c r="H16" i="29"/>
  <c r="H30"/>
  <c r="H50"/>
  <c r="H14"/>
  <c r="H67"/>
  <c r="H15"/>
  <c r="H17"/>
  <c r="H76"/>
  <c r="H39"/>
  <c r="H13"/>
  <c r="H14" i="46"/>
  <c r="D30" i="40" s="1"/>
  <c r="D23"/>
  <c r="H5" i="46"/>
  <c r="H54" i="29"/>
  <c r="H53"/>
  <c r="H16" i="46"/>
  <c r="D32" i="40" s="1"/>
  <c r="H8" i="46"/>
  <c r="H6"/>
  <c r="H17"/>
  <c r="D33" i="40" s="1"/>
  <c r="H9" i="46"/>
  <c r="H52" i="29"/>
  <c r="H15" i="46"/>
  <c r="D31" i="40" s="1"/>
  <c r="H45" i="25"/>
  <c r="I19" i="33"/>
  <c r="I63" i="29" s="1"/>
  <c r="H26" i="25"/>
  <c r="H63"/>
  <c r="H7"/>
  <c r="I17" i="33"/>
  <c r="I61" i="29" s="1"/>
  <c r="I15" i="33"/>
  <c r="I59" i="29" s="1"/>
  <c r="I16" i="33"/>
  <c r="I60" i="29" s="1"/>
  <c r="I14" i="34"/>
  <c r="I18" i="33"/>
  <c r="I62" i="29" s="1"/>
  <c r="H36" i="25"/>
  <c r="H17"/>
  <c r="H54"/>
  <c r="I7" i="33"/>
  <c r="I23" i="29" s="1"/>
  <c r="H6" i="25"/>
  <c r="I5" i="34"/>
  <c r="I10" i="33"/>
  <c r="I26" i="29" s="1"/>
  <c r="I9" i="33"/>
  <c r="I25" i="29" s="1"/>
  <c r="I8" i="33"/>
  <c r="I24" i="29" s="1"/>
  <c r="I6" i="33"/>
  <c r="I22" i="29" s="1"/>
  <c r="H51"/>
  <c r="G12" i="51" l="1"/>
  <c r="G14" s="1"/>
  <c r="H11" i="25"/>
  <c r="I58" i="29"/>
  <c r="I21"/>
  <c r="D25" i="40"/>
  <c r="D22"/>
  <c r="D24"/>
  <c r="D21"/>
  <c r="H12" i="25"/>
  <c r="H49" i="29"/>
  <c r="I16" i="21"/>
  <c r="I19"/>
  <c r="I17"/>
  <c r="I15"/>
  <c r="I18"/>
  <c r="I14" i="33"/>
  <c r="H12" i="29"/>
  <c r="I10" i="21"/>
  <c r="I7"/>
  <c r="H8" i="25"/>
  <c r="H11" i="48" s="1"/>
  <c r="H13" s="1"/>
  <c r="I6" i="21"/>
  <c r="I5" i="33"/>
  <c r="I9" i="21"/>
  <c r="I8"/>
  <c r="H6" i="48" l="1"/>
  <c r="H8" i="49"/>
  <c r="H10" s="1"/>
  <c r="H13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78" i="29" s="1"/>
  <c r="I46" i="25"/>
  <c r="I50"/>
  <c r="I48"/>
  <c r="I31"/>
  <c r="I81" i="29" s="1"/>
  <c r="I29" i="25"/>
  <c r="I79" i="29" s="1"/>
  <c r="I67" i="25"/>
  <c r="I66"/>
  <c r="I30"/>
  <c r="I80" i="29" s="1"/>
  <c r="I49" i="25"/>
  <c r="I27"/>
  <c r="I77" i="29" s="1"/>
  <c r="I64" i="25"/>
  <c r="I14" i="21"/>
  <c r="I17" i="46" s="1"/>
  <c r="I38" i="25"/>
  <c r="I55"/>
  <c r="I22"/>
  <c r="I44" i="29" s="1"/>
  <c r="I59" i="25"/>
  <c r="I41"/>
  <c r="I37"/>
  <c r="I56"/>
  <c r="I19"/>
  <c r="I41" i="29" s="1"/>
  <c r="I18" i="25"/>
  <c r="I40" i="29" s="1"/>
  <c r="I21" i="25"/>
  <c r="I43" i="29" s="1"/>
  <c r="I5" i="21"/>
  <c r="I6" i="46" s="1"/>
  <c r="I40" i="25"/>
  <c r="I58"/>
  <c r="I57"/>
  <c r="I39"/>
  <c r="I20"/>
  <c r="I42" i="29" s="1"/>
  <c r="H12" i="51" l="1"/>
  <c r="H14" s="1"/>
  <c r="I16" i="29"/>
  <c r="I13"/>
  <c r="I30"/>
  <c r="I67"/>
  <c r="I14"/>
  <c r="I15"/>
  <c r="I76"/>
  <c r="I39"/>
  <c r="I17"/>
  <c r="I14" i="46"/>
  <c r="I52" i="29"/>
  <c r="I53"/>
  <c r="I8" i="46"/>
  <c r="I5"/>
  <c r="I7"/>
  <c r="I9"/>
  <c r="I51" i="29"/>
  <c r="I13" i="46"/>
  <c r="I16"/>
  <c r="I15"/>
  <c r="J18" i="33"/>
  <c r="J62" i="29" s="1"/>
  <c r="I45" i="25"/>
  <c r="I54" i="29"/>
  <c r="J16" i="33"/>
  <c r="J60" i="29" s="1"/>
  <c r="J14" i="34"/>
  <c r="J15" i="33"/>
  <c r="J59" i="29" s="1"/>
  <c r="I63" i="25"/>
  <c r="I26"/>
  <c r="I7"/>
  <c r="J17" i="33"/>
  <c r="J61" i="29" s="1"/>
  <c r="J19" i="33"/>
  <c r="J63" i="29" s="1"/>
  <c r="J10" i="33"/>
  <c r="J26" i="29" s="1"/>
  <c r="J6" i="33"/>
  <c r="J22" i="29" s="1"/>
  <c r="J8" i="33"/>
  <c r="J24" i="29" s="1"/>
  <c r="J5" i="34"/>
  <c r="I36" i="25"/>
  <c r="I54"/>
  <c r="I6"/>
  <c r="I17"/>
  <c r="J7" i="33"/>
  <c r="J23" i="29" s="1"/>
  <c r="J9" i="33"/>
  <c r="J25" i="29" s="1"/>
  <c r="I50"/>
  <c r="H7" i="48" l="1"/>
  <c r="D39" i="40" s="1"/>
  <c r="D38"/>
  <c r="I11" i="25"/>
  <c r="J58" i="29"/>
  <c r="J21"/>
  <c r="I12" i="25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I13" s="1"/>
  <c r="J7" i="21"/>
  <c r="J5" i="33"/>
  <c r="I6" i="48" l="1"/>
  <c r="I8" i="49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81" i="29" s="1"/>
  <c r="J50" i="25"/>
  <c r="J68"/>
  <c r="J28"/>
  <c r="J78" i="29" s="1"/>
  <c r="J47" i="25"/>
  <c r="J65"/>
  <c r="J67"/>
  <c r="J30"/>
  <c r="J80" i="29" s="1"/>
  <c r="J49" i="25"/>
  <c r="J46"/>
  <c r="J64"/>
  <c r="J27"/>
  <c r="J77" i="29" s="1"/>
  <c r="J48" i="25"/>
  <c r="J29"/>
  <c r="J79" i="29" s="1"/>
  <c r="J14" i="21"/>
  <c r="J16" i="46" s="1"/>
  <c r="J66" i="25"/>
  <c r="J41"/>
  <c r="J22"/>
  <c r="J44" i="29" s="1"/>
  <c r="J59" i="25"/>
  <c r="J20"/>
  <c r="J42" i="29" s="1"/>
  <c r="J58" i="25"/>
  <c r="J19"/>
  <c r="J41" i="29" s="1"/>
  <c r="J21" i="25"/>
  <c r="J43" i="29" s="1"/>
  <c r="J55" i="25"/>
  <c r="J40"/>
  <c r="J18"/>
  <c r="J40" i="29" s="1"/>
  <c r="J37" i="25"/>
  <c r="J39"/>
  <c r="J57"/>
  <c r="J56"/>
  <c r="J5" i="21"/>
  <c r="J7" i="46" s="1"/>
  <c r="J38" i="25"/>
  <c r="I7" i="48" l="1"/>
  <c r="I12" i="51"/>
  <c r="I14" s="1"/>
  <c r="J30" i="29"/>
  <c r="J14"/>
  <c r="J17"/>
  <c r="J67"/>
  <c r="J16"/>
  <c r="J15"/>
  <c r="J76"/>
  <c r="J39"/>
  <c r="J13"/>
  <c r="J51"/>
  <c r="J53"/>
  <c r="J6" i="46"/>
  <c r="J52" i="29"/>
  <c r="J54"/>
  <c r="J9" i="46"/>
  <c r="J14"/>
  <c r="J5"/>
  <c r="J8"/>
  <c r="J13"/>
  <c r="J17"/>
  <c r="J15"/>
  <c r="K19" i="33"/>
  <c r="K63" i="29" s="1"/>
  <c r="J63" i="25"/>
  <c r="J45"/>
  <c r="K17" i="33"/>
  <c r="K61" i="29" s="1"/>
  <c r="K14" i="34"/>
  <c r="K18" i="33"/>
  <c r="K62" i="29" s="1"/>
  <c r="K15" i="33"/>
  <c r="K59" i="29" s="1"/>
  <c r="K16" i="33"/>
  <c r="K60" i="29" s="1"/>
  <c r="J26" i="25"/>
  <c r="J7"/>
  <c r="J6"/>
  <c r="K7" i="33"/>
  <c r="K23" i="29" s="1"/>
  <c r="J36" i="25"/>
  <c r="J17"/>
  <c r="J54"/>
  <c r="K10" i="33"/>
  <c r="K26" i="29" s="1"/>
  <c r="K5" i="34"/>
  <c r="K8" i="33"/>
  <c r="K24" i="29" s="1"/>
  <c r="K6" i="33"/>
  <c r="K22" i="29" s="1"/>
  <c r="K9" i="33"/>
  <c r="K25" i="29" s="1"/>
  <c r="J50"/>
  <c r="J11" i="25" l="1"/>
  <c r="K58" i="29"/>
  <c r="K21"/>
  <c r="J12" i="25"/>
  <c r="J49" i="29"/>
  <c r="K19" i="21"/>
  <c r="L19" i="34" s="1"/>
  <c r="K15" i="21"/>
  <c r="K17"/>
  <c r="K14" i="33"/>
  <c r="K16" i="21"/>
  <c r="K18"/>
  <c r="J8" i="25"/>
  <c r="J11" i="48" s="1"/>
  <c r="J13" s="1"/>
  <c r="K6" i="21"/>
  <c r="K8"/>
  <c r="K7"/>
  <c r="J12" i="29"/>
  <c r="K10" i="21"/>
  <c r="K5" i="33"/>
  <c r="K9" i="21"/>
  <c r="J6" i="48" l="1"/>
  <c r="J8" i="49"/>
  <c r="J10" s="1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81" i="29" s="1"/>
  <c r="K72"/>
  <c r="K59" i="25"/>
  <c r="K68"/>
  <c r="K29"/>
  <c r="K79" i="29" s="1"/>
  <c r="K46" i="25"/>
  <c r="K27"/>
  <c r="K77" i="29" s="1"/>
  <c r="K50" i="25"/>
  <c r="K67"/>
  <c r="K30"/>
  <c r="K66"/>
  <c r="K14" i="21"/>
  <c r="K16" i="46" s="1"/>
  <c r="K28" i="25"/>
  <c r="K78" i="29" s="1"/>
  <c r="K64" i="25"/>
  <c r="K48"/>
  <c r="K65"/>
  <c r="K47"/>
  <c r="K49"/>
  <c r="K57"/>
  <c r="K56"/>
  <c r="K38"/>
  <c r="K19"/>
  <c r="K41" i="29" s="1"/>
  <c r="K39" i="25"/>
  <c r="K18"/>
  <c r="K40" i="29" s="1"/>
  <c r="K55" i="25"/>
  <c r="K37"/>
  <c r="K22"/>
  <c r="K44" i="29" s="1"/>
  <c r="K20" i="25"/>
  <c r="K42" i="29" s="1"/>
  <c r="K41" i="25"/>
  <c r="K5" i="21"/>
  <c r="K5" i="46" s="1"/>
  <c r="K21" i="25"/>
  <c r="K43" i="29" s="1"/>
  <c r="K58" i="25"/>
  <c r="K40"/>
  <c r="K13" i="29" l="1"/>
  <c r="K16"/>
  <c r="J7" i="48"/>
  <c r="J12" i="51"/>
  <c r="J14" s="1"/>
  <c r="K30" i="29"/>
  <c r="K15"/>
  <c r="K17"/>
  <c r="K67"/>
  <c r="K14"/>
  <c r="K54"/>
  <c r="K80"/>
  <c r="K76" s="1"/>
  <c r="K39"/>
  <c r="K51"/>
  <c r="K13" i="46"/>
  <c r="K6"/>
  <c r="K7"/>
  <c r="K9"/>
  <c r="K15"/>
  <c r="K8"/>
  <c r="K14"/>
  <c r="K17"/>
  <c r="K52" i="29"/>
  <c r="K26" i="25"/>
  <c r="K63"/>
  <c r="K7"/>
  <c r="L15" i="33"/>
  <c r="L59" i="29" s="1"/>
  <c r="L14" i="34"/>
  <c r="L19" i="33"/>
  <c r="L63" i="29" s="1"/>
  <c r="L17" i="33"/>
  <c r="L61" i="29" s="1"/>
  <c r="K45" i="25"/>
  <c r="L16" i="33"/>
  <c r="L60" i="29" s="1"/>
  <c r="L18" i="33"/>
  <c r="L62" i="29" s="1"/>
  <c r="K54" i="25"/>
  <c r="L6" i="33"/>
  <c r="L22" i="29" s="1"/>
  <c r="K36" i="25"/>
  <c r="L8" i="33"/>
  <c r="L24" i="29" s="1"/>
  <c r="L5" i="34"/>
  <c r="L10" i="33"/>
  <c r="L26" i="29" s="1"/>
  <c r="L9" i="33"/>
  <c r="L25" i="29" s="1"/>
  <c r="K6" i="25"/>
  <c r="K17"/>
  <c r="L7" i="33"/>
  <c r="L23" i="29" s="1"/>
  <c r="K11" i="25" l="1"/>
  <c r="K53" i="29"/>
  <c r="L58"/>
  <c r="L21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K13" s="1"/>
  <c r="L10" i="21"/>
  <c r="L7"/>
  <c r="K8" i="49" l="1"/>
  <c r="K10" s="1"/>
  <c r="K6" i="48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80" i="29" s="1"/>
  <c r="L64" i="25"/>
  <c r="L65"/>
  <c r="L28"/>
  <c r="L78" i="29" s="1"/>
  <c r="L27" i="25"/>
  <c r="L77" i="29" s="1"/>
  <c r="L46" i="25"/>
  <c r="L47"/>
  <c r="L50"/>
  <c r="L29"/>
  <c r="L79" i="29" s="1"/>
  <c r="L14" i="21"/>
  <c r="L15" i="46" s="1"/>
  <c r="L48" i="25"/>
  <c r="L68"/>
  <c r="L66"/>
  <c r="L31"/>
  <c r="L81" i="29" s="1"/>
  <c r="L55" i="25"/>
  <c r="L57"/>
  <c r="L37"/>
  <c r="L39"/>
  <c r="L20"/>
  <c r="L42" i="29" s="1"/>
  <c r="L15" s="1"/>
  <c r="L18" i="25"/>
  <c r="L40" i="29" s="1"/>
  <c r="L21" i="25"/>
  <c r="L43" i="29" s="1"/>
  <c r="L58" i="25"/>
  <c r="L40"/>
  <c r="L56"/>
  <c r="L59"/>
  <c r="L41"/>
  <c r="L22"/>
  <c r="L44" i="29" s="1"/>
  <c r="L5" i="21"/>
  <c r="L7" i="46" s="1"/>
  <c r="L38" i="25"/>
  <c r="L19"/>
  <c r="L41" i="29" s="1"/>
  <c r="L17" l="1"/>
  <c r="K7" i="48"/>
  <c r="K12" i="51"/>
  <c r="K14" s="1"/>
  <c r="L16" i="29"/>
  <c r="L67"/>
  <c r="L14"/>
  <c r="L30"/>
  <c r="L76"/>
  <c r="L39"/>
  <c r="L13"/>
  <c r="L52"/>
  <c r="L13" i="46"/>
  <c r="L9"/>
  <c r="L6"/>
  <c r="L17"/>
  <c r="L5"/>
  <c r="L8"/>
  <c r="L53" i="29"/>
  <c r="L54"/>
  <c r="L14" i="46"/>
  <c r="L16"/>
  <c r="L51" i="29"/>
  <c r="L45" i="25"/>
  <c r="L63"/>
  <c r="M17" i="33"/>
  <c r="M61" i="29" s="1"/>
  <c r="M16" i="33"/>
  <c r="M60" i="29" s="1"/>
  <c r="L7" i="25"/>
  <c r="M19" i="33"/>
  <c r="M63" i="29" s="1"/>
  <c r="M14" i="34"/>
  <c r="M18" i="33"/>
  <c r="M62" i="29" s="1"/>
  <c r="M15" i="33"/>
  <c r="M59" i="29" s="1"/>
  <c r="L26" i="25"/>
  <c r="M5" i="34"/>
  <c r="L54" i="25"/>
  <c r="M8" i="33"/>
  <c r="M24" i="29" s="1"/>
  <c r="M10" i="33"/>
  <c r="M26" i="29" s="1"/>
  <c r="M9" i="33"/>
  <c r="M25" i="29" s="1"/>
  <c r="M7" i="33"/>
  <c r="M23" i="29" s="1"/>
  <c r="M6" i="33"/>
  <c r="M22" i="29" s="1"/>
  <c r="L36" i="25"/>
  <c r="L6"/>
  <c r="L17"/>
  <c r="L50" i="29"/>
  <c r="L11" i="25" l="1"/>
  <c r="M58" i="29"/>
  <c r="M21"/>
  <c r="L12" i="25"/>
  <c r="L49" i="29"/>
  <c r="M16" i="21"/>
  <c r="N16" i="34" s="1"/>
  <c r="M19" i="21"/>
  <c r="M17"/>
  <c r="M18"/>
  <c r="M15"/>
  <c r="M14" i="33"/>
  <c r="L12" i="29"/>
  <c r="M9" i="21"/>
  <c r="M10"/>
  <c r="M6"/>
  <c r="M7"/>
  <c r="M8"/>
  <c r="M5" i="33"/>
  <c r="L8" i="25"/>
  <c r="L11" i="48" s="1"/>
  <c r="L13" s="1"/>
  <c r="L8" i="49" l="1"/>
  <c r="L10" s="1"/>
  <c r="L6" i="48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78" i="29" s="1"/>
  <c r="M27" i="25"/>
  <c r="M77" i="29" s="1"/>
  <c r="M68" i="25"/>
  <c r="M31"/>
  <c r="M50"/>
  <c r="M67"/>
  <c r="M30"/>
  <c r="M80" i="29" s="1"/>
  <c r="M66" i="25"/>
  <c r="M29"/>
  <c r="M48"/>
  <c r="M22"/>
  <c r="M44" i="29" s="1"/>
  <c r="M17" s="1"/>
  <c r="M46" i="25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42" i="29" s="1"/>
  <c r="M21" i="25"/>
  <c r="M43" i="29" s="1"/>
  <c r="M37" i="25"/>
  <c r="M55"/>
  <c r="M18"/>
  <c r="M40" i="29" s="1"/>
  <c r="M19" i="25"/>
  <c r="M41" i="29" s="1"/>
  <c r="M56" i="25"/>
  <c r="M38"/>
  <c r="L7" i="48" l="1"/>
  <c r="L12" i="51"/>
  <c r="L14" s="1"/>
  <c r="M15" i="29"/>
  <c r="M16"/>
  <c r="M67"/>
  <c r="M30"/>
  <c r="M14"/>
  <c r="M13"/>
  <c r="M81"/>
  <c r="M54" s="1"/>
  <c r="M79"/>
  <c r="M52" s="1"/>
  <c r="M39"/>
  <c r="E22" i="40"/>
  <c r="M51" i="29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N61" i="29" s="1"/>
  <c r="M45" i="25"/>
  <c r="N15" i="33"/>
  <c r="N59" i="29" s="1"/>
  <c r="N18" i="33"/>
  <c r="N62" i="29" s="1"/>
  <c r="M63" i="25"/>
  <c r="M26"/>
  <c r="N14" i="34"/>
  <c r="M7" i="25"/>
  <c r="N16" i="33"/>
  <c r="N60" i="29" s="1"/>
  <c r="N19" i="33"/>
  <c r="N63" i="29" s="1"/>
  <c r="N6" i="33"/>
  <c r="M36" i="25"/>
  <c r="N10" i="33"/>
  <c r="N26" i="29" s="1"/>
  <c r="N7" i="33"/>
  <c r="N23" i="29" s="1"/>
  <c r="M54" i="25"/>
  <c r="N8" i="33"/>
  <c r="N24" i="29" s="1"/>
  <c r="N5" i="34"/>
  <c r="N9" i="33"/>
  <c r="N25" i="29" s="1"/>
  <c r="M6" i="25"/>
  <c r="M17"/>
  <c r="M50" i="29"/>
  <c r="M11" i="25" l="1"/>
  <c r="N17" i="21"/>
  <c r="M76" i="29"/>
  <c r="N58"/>
  <c r="N6" i="21"/>
  <c r="N22" i="29"/>
  <c r="M49"/>
  <c r="E23" i="40"/>
  <c r="E25"/>
  <c r="E24"/>
  <c r="E21"/>
  <c r="M12" i="25"/>
  <c r="M12" i="29"/>
  <c r="N19" i="21"/>
  <c r="N15"/>
  <c r="N16"/>
  <c r="M8" i="25"/>
  <c r="M11" i="48" s="1"/>
  <c r="M13" s="1"/>
  <c r="N18" i="21"/>
  <c r="N14" i="33"/>
  <c r="N10" i="21"/>
  <c r="N7"/>
  <c r="N8"/>
  <c r="N9"/>
  <c r="N5" i="33"/>
  <c r="M13" i="51" l="1"/>
  <c r="M6" i="48"/>
  <c r="M8" i="49"/>
  <c r="M10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0" i="29" s="1"/>
  <c r="N48" i="25"/>
  <c r="N66"/>
  <c r="N29"/>
  <c r="N79" i="29" s="1"/>
  <c r="N37" i="25"/>
  <c r="N21" i="29"/>
  <c r="N67" i="25"/>
  <c r="N27"/>
  <c r="N77" i="29" s="1"/>
  <c r="N49" i="25"/>
  <c r="N64"/>
  <c r="N46"/>
  <c r="N50"/>
  <c r="N31"/>
  <c r="N81" i="29" s="1"/>
  <c r="N68" i="25"/>
  <c r="N47"/>
  <c r="N65"/>
  <c r="N14" i="21"/>
  <c r="N15" i="46" s="1"/>
  <c r="N28" i="25"/>
  <c r="N78" i="29" s="1"/>
  <c r="N30" i="25"/>
  <c r="N80" i="29" s="1"/>
  <c r="N22" i="25"/>
  <c r="N44" i="29" s="1"/>
  <c r="N59" i="25"/>
  <c r="N41"/>
  <c r="N56"/>
  <c r="N19"/>
  <c r="N41" i="29" s="1"/>
  <c r="N38" i="25"/>
  <c r="N21"/>
  <c r="N43" i="29" s="1"/>
  <c r="N39" i="25"/>
  <c r="N20"/>
  <c r="N42" i="29" s="1"/>
  <c r="N5" i="21"/>
  <c r="N5" i="46" s="1"/>
  <c r="N57" i="25"/>
  <c r="N40"/>
  <c r="N58"/>
  <c r="M12" i="51" l="1"/>
  <c r="M14" s="1"/>
  <c r="N52" i="29"/>
  <c r="N16"/>
  <c r="N15"/>
  <c r="N30"/>
  <c r="N67"/>
  <c r="N14"/>
  <c r="N17"/>
  <c r="N13"/>
  <c r="N76"/>
  <c r="N39"/>
  <c r="N54"/>
  <c r="N6" i="46"/>
  <c r="N7"/>
  <c r="N8"/>
  <c r="N51" i="29"/>
  <c r="N9" i="46"/>
  <c r="N17"/>
  <c r="N16"/>
  <c r="N53" i="29"/>
  <c r="N14" i="46"/>
  <c r="N13"/>
  <c r="O17" i="33"/>
  <c r="O61" i="29" s="1"/>
  <c r="N7" i="25"/>
  <c r="N45"/>
  <c r="N63"/>
  <c r="O15" i="33"/>
  <c r="O59" i="29" s="1"/>
  <c r="N26" i="25"/>
  <c r="O19" i="33"/>
  <c r="O63" i="29" s="1"/>
  <c r="O14" i="34"/>
  <c r="O16" i="33"/>
  <c r="O60" i="29" s="1"/>
  <c r="O18" i="33"/>
  <c r="O62" i="29" s="1"/>
  <c r="O7" i="33"/>
  <c r="O23" i="29" s="1"/>
  <c r="N54" i="25"/>
  <c r="N36"/>
  <c r="O5" i="34"/>
  <c r="N17" i="25"/>
  <c r="O8" i="33"/>
  <c r="O24" i="29" s="1"/>
  <c r="N6" i="25"/>
  <c r="O6" i="33"/>
  <c r="O22" i="29" s="1"/>
  <c r="O10" i="33"/>
  <c r="O26" i="29" s="1"/>
  <c r="O9" i="33"/>
  <c r="O25" i="29" s="1"/>
  <c r="N50"/>
  <c r="M7" i="48" l="1"/>
  <c r="E39" i="40" s="1"/>
  <c r="E38"/>
  <c r="N11" i="25"/>
  <c r="O17" i="21"/>
  <c r="O58" i="29"/>
  <c r="O21"/>
  <c r="N12" i="25"/>
  <c r="N12" i="29"/>
  <c r="N49"/>
  <c r="O18" i="21"/>
  <c r="P18" i="34" s="1"/>
  <c r="O16" i="21"/>
  <c r="O19"/>
  <c r="O15"/>
  <c r="O14" i="33"/>
  <c r="O8" i="21"/>
  <c r="O7"/>
  <c r="O10"/>
  <c r="N8" i="25"/>
  <c r="N11" i="48" s="1"/>
  <c r="N13" s="1"/>
  <c r="O6" i="21"/>
  <c r="O5" i="33"/>
  <c r="O9" i="21"/>
  <c r="N6" i="48" l="1"/>
  <c r="N8" i="49"/>
  <c r="N10" s="1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79" i="29" s="1"/>
  <c r="O48" i="25"/>
  <c r="O66"/>
  <c r="O30"/>
  <c r="O80" i="29" s="1"/>
  <c r="O71"/>
  <c r="O49" i="25"/>
  <c r="O67"/>
  <c r="O31"/>
  <c r="O81" i="29" s="1"/>
  <c r="O68" i="25"/>
  <c r="O50"/>
  <c r="O46"/>
  <c r="O65"/>
  <c r="O47"/>
  <c r="O28"/>
  <c r="O78" i="29" s="1"/>
  <c r="O14" i="21"/>
  <c r="O15" i="46" s="1"/>
  <c r="O27" i="25"/>
  <c r="O77" i="29" s="1"/>
  <c r="O64" i="25"/>
  <c r="O39"/>
  <c r="O20"/>
  <c r="O42" i="29" s="1"/>
  <c r="O57" i="25"/>
  <c r="O38"/>
  <c r="O56"/>
  <c r="O19"/>
  <c r="O41" i="29" s="1"/>
  <c r="O55" i="25"/>
  <c r="O37"/>
  <c r="O22"/>
  <c r="O44" i="29" s="1"/>
  <c r="O59" i="25"/>
  <c r="O41"/>
  <c r="O18"/>
  <c r="O40" i="29" s="1"/>
  <c r="O58" i="25"/>
  <c r="O40"/>
  <c r="O5" i="21"/>
  <c r="O5" i="46" s="1"/>
  <c r="O21" i="25"/>
  <c r="O43" i="29" s="1"/>
  <c r="O16" l="1"/>
  <c r="N7" i="48"/>
  <c r="N12" i="51"/>
  <c r="N14" s="1"/>
  <c r="O52" i="29"/>
  <c r="O15"/>
  <c r="O30"/>
  <c r="O13"/>
  <c r="O67"/>
  <c r="O17"/>
  <c r="O53"/>
  <c r="O76"/>
  <c r="O39"/>
  <c r="O14"/>
  <c r="O54"/>
  <c r="O51"/>
  <c r="O13" i="46"/>
  <c r="O6"/>
  <c r="O9"/>
  <c r="O7"/>
  <c r="O8"/>
  <c r="O16"/>
  <c r="O17"/>
  <c r="O14"/>
  <c r="P17" i="33"/>
  <c r="P61" i="29" s="1"/>
  <c r="O45" i="25"/>
  <c r="O63"/>
  <c r="O26"/>
  <c r="O7"/>
  <c r="P18" i="33"/>
  <c r="P62" i="29" s="1"/>
  <c r="P14" i="34"/>
  <c r="P15" i="33"/>
  <c r="P59" i="29" s="1"/>
  <c r="P16" i="33"/>
  <c r="P60" i="29" s="1"/>
  <c r="P19" i="33"/>
  <c r="P63" i="29" s="1"/>
  <c r="P7" i="33"/>
  <c r="P23" i="29" s="1"/>
  <c r="P9" i="33"/>
  <c r="P25" i="29" s="1"/>
  <c r="P6" i="33"/>
  <c r="P22" i="29" s="1"/>
  <c r="O36" i="25"/>
  <c r="O54"/>
  <c r="P5" i="34"/>
  <c r="O17" i="25"/>
  <c r="P10" i="33"/>
  <c r="P26" i="29" s="1"/>
  <c r="O6" i="25"/>
  <c r="P8" i="33"/>
  <c r="P24" i="29" s="1"/>
  <c r="O50"/>
  <c r="O11" i="25" l="1"/>
  <c r="P58" i="29"/>
  <c r="P21"/>
  <c r="O12" i="25"/>
  <c r="O49" i="29"/>
  <c r="O12"/>
  <c r="P17" i="21"/>
  <c r="Q17" i="34" s="1"/>
  <c r="P18" i="21"/>
  <c r="P14" i="33"/>
  <c r="P16" i="21"/>
  <c r="P19"/>
  <c r="P15"/>
  <c r="P7"/>
  <c r="P9"/>
  <c r="P6"/>
  <c r="P10"/>
  <c r="P8"/>
  <c r="O8" i="25"/>
  <c r="O11" i="48" s="1"/>
  <c r="O13" s="1"/>
  <c r="P5" i="33"/>
  <c r="O6" i="48" l="1"/>
  <c r="O8" i="49"/>
  <c r="O10" s="1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9" i="29" s="1"/>
  <c r="P70"/>
  <c r="P48" i="25"/>
  <c r="P66"/>
  <c r="P67"/>
  <c r="P49"/>
  <c r="P30"/>
  <c r="P80" i="29" s="1"/>
  <c r="P31" i="25"/>
  <c r="P81" i="29" s="1"/>
  <c r="P64" i="25"/>
  <c r="P46"/>
  <c r="P68"/>
  <c r="P47"/>
  <c r="P14" i="21"/>
  <c r="P14" i="46" s="1"/>
  <c r="P65" i="25"/>
  <c r="P28"/>
  <c r="P78" i="29" s="1"/>
  <c r="P27" i="25"/>
  <c r="P77" i="29" s="1"/>
  <c r="P50" i="25"/>
  <c r="P19"/>
  <c r="P41" i="29" s="1"/>
  <c r="P56" i="25"/>
  <c r="P38"/>
  <c r="P20"/>
  <c r="P42" i="29" s="1"/>
  <c r="P57" i="25"/>
  <c r="P59"/>
  <c r="P41"/>
  <c r="P40"/>
  <c r="P58"/>
  <c r="P21"/>
  <c r="P43" i="29" s="1"/>
  <c r="P22" i="25"/>
  <c r="P44" i="29" s="1"/>
  <c r="P39" i="25"/>
  <c r="P55"/>
  <c r="P5" i="21"/>
  <c r="P6" i="46" s="1"/>
  <c r="P18" i="25"/>
  <c r="P40" i="29" s="1"/>
  <c r="P37" i="25"/>
  <c r="P13" i="29" l="1"/>
  <c r="O7" i="48"/>
  <c r="O12" i="51"/>
  <c r="O14" s="1"/>
  <c r="P16" i="29"/>
  <c r="P30"/>
  <c r="P17"/>
  <c r="P14"/>
  <c r="P67"/>
  <c r="P15"/>
  <c r="P52"/>
  <c r="P76"/>
  <c r="P39"/>
  <c r="P8" i="46"/>
  <c r="P5"/>
  <c r="P9"/>
  <c r="P51" i="29"/>
  <c r="P17" i="46"/>
  <c r="P54" i="29"/>
  <c r="P7" i="46"/>
  <c r="P53" i="29"/>
  <c r="P16" i="46"/>
  <c r="P13"/>
  <c r="P15"/>
  <c r="P7" i="25"/>
  <c r="P63"/>
  <c r="Q18" i="33"/>
  <c r="Q62" i="29" s="1"/>
  <c r="Q15" i="33"/>
  <c r="Q59" i="29" s="1"/>
  <c r="P45" i="25"/>
  <c r="Q14" i="34"/>
  <c r="Q17" i="33"/>
  <c r="Q61" i="29" s="1"/>
  <c r="P26" i="25"/>
  <c r="Q16" i="33"/>
  <c r="Q60" i="29" s="1"/>
  <c r="Q19" i="33"/>
  <c r="Q63" i="29" s="1"/>
  <c r="Q7" i="33"/>
  <c r="Q23" i="29" s="1"/>
  <c r="Q10" i="33"/>
  <c r="Q26" i="29" s="1"/>
  <c r="P36" i="25"/>
  <c r="Q9" i="33"/>
  <c r="Q25" i="29" s="1"/>
  <c r="Q6" i="33"/>
  <c r="Q22" i="29" s="1"/>
  <c r="Q5" i="34"/>
  <c r="Q8" i="33"/>
  <c r="Q24" i="29" s="1"/>
  <c r="P6" i="25"/>
  <c r="P54"/>
  <c r="P17"/>
  <c r="P50" i="29"/>
  <c r="P11" i="25" l="1"/>
  <c r="Q58" i="29"/>
  <c r="Q21"/>
  <c r="P12" i="25"/>
  <c r="P12" i="29"/>
  <c r="P49"/>
  <c r="Q15" i="21"/>
  <c r="R15" i="34" s="1"/>
  <c r="Q18" i="21"/>
  <c r="R18" i="34" s="1"/>
  <c r="Q14" i="33"/>
  <c r="Q16" i="21"/>
  <c r="Q17"/>
  <c r="Q19"/>
  <c r="Q7"/>
  <c r="Q6"/>
  <c r="Q10"/>
  <c r="Q9"/>
  <c r="Q5" i="33"/>
  <c r="P8" i="25"/>
  <c r="P11" i="48" s="1"/>
  <c r="P13" s="1"/>
  <c r="Q8" i="21"/>
  <c r="P13" i="51" l="1"/>
  <c r="P6" i="48"/>
  <c r="P8" i="49"/>
  <c r="P10" s="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77" i="29" s="1"/>
  <c r="Q30" i="25"/>
  <c r="Q80" i="29" s="1"/>
  <c r="Q65" i="25"/>
  <c r="Q28"/>
  <c r="Q78" i="29" s="1"/>
  <c r="Q47" i="25"/>
  <c r="Q50"/>
  <c r="Q31"/>
  <c r="Q68"/>
  <c r="Q14" i="21"/>
  <c r="Q15" i="46" s="1"/>
  <c r="Q29" i="25"/>
  <c r="Q79" i="29" s="1"/>
  <c r="Q48" i="25"/>
  <c r="Q66"/>
  <c r="Q18"/>
  <c r="Q40" i="29" s="1"/>
  <c r="Q41" i="25"/>
  <c r="Q56"/>
  <c r="Q22"/>
  <c r="Q44" i="29" s="1"/>
  <c r="Q59" i="25"/>
  <c r="Q39"/>
  <c r="Q57"/>
  <c r="Q55"/>
  <c r="Q40"/>
  <c r="Q38"/>
  <c r="Q19"/>
  <c r="Q41" i="29" s="1"/>
  <c r="Q21" i="25"/>
  <c r="Q43" i="29" s="1"/>
  <c r="Q58" i="25"/>
  <c r="Q37"/>
  <c r="Q20"/>
  <c r="Q42" i="29" s="1"/>
  <c r="Q5" i="21"/>
  <c r="Q8" i="46" s="1"/>
  <c r="P7" i="48" l="1"/>
  <c r="P12" i="51"/>
  <c r="P14" s="1"/>
  <c r="Q15" i="29"/>
  <c r="Q14"/>
  <c r="Q13"/>
  <c r="Q30"/>
  <c r="Q16"/>
  <c r="Q67"/>
  <c r="Q81"/>
  <c r="Q76" s="1"/>
  <c r="Q39"/>
  <c r="Q17"/>
  <c r="Q7" i="46"/>
  <c r="Q5"/>
  <c r="Q9"/>
  <c r="Q52" i="29"/>
  <c r="Q51"/>
  <c r="Q17" i="46"/>
  <c r="Q6"/>
  <c r="Q53" i="29"/>
  <c r="Q16" i="46"/>
  <c r="Q14"/>
  <c r="Q13"/>
  <c r="R14" i="34"/>
  <c r="Q63" i="25"/>
  <c r="R18" i="33"/>
  <c r="R62" i="29" s="1"/>
  <c r="R17" i="33"/>
  <c r="R61" i="29" s="1"/>
  <c r="Q45" i="25"/>
  <c r="R19" i="33"/>
  <c r="R63" i="29" s="1"/>
  <c r="R16" i="33"/>
  <c r="R60" i="29" s="1"/>
  <c r="Q7" i="25"/>
  <c r="Q26"/>
  <c r="R15" i="33"/>
  <c r="R59" i="29" s="1"/>
  <c r="R9" i="33"/>
  <c r="R25" i="29" s="1"/>
  <c r="Q17" i="25"/>
  <c r="Q54"/>
  <c r="R8" i="33"/>
  <c r="R24" i="29" s="1"/>
  <c r="R7" i="33"/>
  <c r="R23" i="29" s="1"/>
  <c r="R5" i="34"/>
  <c r="R10" i="33"/>
  <c r="R26" i="29" s="1"/>
  <c r="R6" i="33"/>
  <c r="R22" i="29" s="1"/>
  <c r="Q36" i="25"/>
  <c r="Q6"/>
  <c r="Q50" i="29"/>
  <c r="Q12" l="1"/>
  <c r="Q11" i="25"/>
  <c r="R58" i="29"/>
  <c r="Q54"/>
  <c r="Q49" s="1"/>
  <c r="R21"/>
  <c r="Q12" i="25"/>
  <c r="R17" i="21"/>
  <c r="S17" i="34" s="1"/>
  <c r="R16" i="21"/>
  <c r="R18"/>
  <c r="Q8" i="25"/>
  <c r="Q11" i="48" s="1"/>
  <c r="Q13" s="1"/>
  <c r="R19" i="21"/>
  <c r="R15"/>
  <c r="R14" i="33"/>
  <c r="R9" i="21"/>
  <c r="R8"/>
  <c r="R7"/>
  <c r="R10"/>
  <c r="R5" i="33"/>
  <c r="R6" i="21"/>
  <c r="Q13" i="51" l="1"/>
  <c r="Q6" i="48"/>
  <c r="Q8" i="49"/>
  <c r="Q10" s="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79" i="29" s="1"/>
  <c r="R48" i="25"/>
  <c r="R47"/>
  <c r="R28"/>
  <c r="R65"/>
  <c r="R30"/>
  <c r="R80" i="29" s="1"/>
  <c r="R49" i="25"/>
  <c r="R67"/>
  <c r="R68"/>
  <c r="R50"/>
  <c r="R31"/>
  <c r="R81" i="29" s="1"/>
  <c r="R38" i="25"/>
  <c r="R27"/>
  <c r="R77" i="29" s="1"/>
  <c r="R64" i="25"/>
  <c r="R14" i="21"/>
  <c r="R17" i="46" s="1"/>
  <c r="F33" i="40" s="1"/>
  <c r="R46" i="25"/>
  <c r="R56"/>
  <c r="R22"/>
  <c r="R44" i="29" s="1"/>
  <c r="R19" i="25"/>
  <c r="R41" i="29" s="1"/>
  <c r="R58" i="25"/>
  <c r="R40"/>
  <c r="R21"/>
  <c r="R43" i="29" s="1"/>
  <c r="R41" i="25"/>
  <c r="R37"/>
  <c r="R59"/>
  <c r="R57"/>
  <c r="R39"/>
  <c r="R20"/>
  <c r="R42" i="29" s="1"/>
  <c r="R15" s="1"/>
  <c r="R18" i="25"/>
  <c r="R40" i="29" s="1"/>
  <c r="R55" i="25"/>
  <c r="R5" i="21"/>
  <c r="R9" i="46" s="1"/>
  <c r="R16" i="29" l="1"/>
  <c r="Q7" i="48"/>
  <c r="Q12" i="51"/>
  <c r="Q14" s="1"/>
  <c r="R13" i="29"/>
  <c r="R67"/>
  <c r="R30"/>
  <c r="R17"/>
  <c r="R14"/>
  <c r="R78"/>
  <c r="R51" s="1"/>
  <c r="R39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R53" i="29"/>
  <c r="S17" i="33"/>
  <c r="S61" i="29" s="1"/>
  <c r="R45" i="25"/>
  <c r="R63"/>
  <c r="S18" i="33"/>
  <c r="S62" i="29" s="1"/>
  <c r="S16" i="33"/>
  <c r="S60" i="29" s="1"/>
  <c r="R26" i="25"/>
  <c r="S15" i="33"/>
  <c r="S59" i="29" s="1"/>
  <c r="S19" i="33"/>
  <c r="S63" i="29" s="1"/>
  <c r="S14" i="34"/>
  <c r="R7" i="25"/>
  <c r="S10" i="33"/>
  <c r="S26" i="29" s="1"/>
  <c r="R17" i="25"/>
  <c r="R36"/>
  <c r="R6"/>
  <c r="R54"/>
  <c r="S5" i="34"/>
  <c r="S7" i="33"/>
  <c r="S23" i="29" s="1"/>
  <c r="S9" i="33"/>
  <c r="S25" i="29" s="1"/>
  <c r="S8" i="33"/>
  <c r="S24" i="29" s="1"/>
  <c r="S6" i="33"/>
  <c r="S22" i="29" s="1"/>
  <c r="R11" i="25" l="1"/>
  <c r="S58" i="29"/>
  <c r="R76"/>
  <c r="S21"/>
  <c r="F24" i="40"/>
  <c r="F21"/>
  <c r="F22"/>
  <c r="R12" i="29"/>
  <c r="F23" i="40"/>
  <c r="R12" i="25"/>
  <c r="S19" i="21"/>
  <c r="T19" i="34" s="1"/>
  <c r="S15" i="21"/>
  <c r="T15" i="34" s="1"/>
  <c r="S18" i="21"/>
  <c r="S17"/>
  <c r="S14" i="33"/>
  <c r="S16" i="21"/>
  <c r="R50" i="29"/>
  <c r="R49" s="1"/>
  <c r="R8" i="25"/>
  <c r="R11" i="48" s="1"/>
  <c r="R13" s="1"/>
  <c r="S7" i="21"/>
  <c r="S10"/>
  <c r="S9"/>
  <c r="S6"/>
  <c r="S5" i="33"/>
  <c r="S8" i="21"/>
  <c r="R6" i="48" l="1"/>
  <c r="R8" i="49"/>
  <c r="R10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77" i="29" s="1"/>
  <c r="S68"/>
  <c r="S31" i="25"/>
  <c r="S81" i="29" s="1"/>
  <c r="S72"/>
  <c r="S68" i="25"/>
  <c r="S50"/>
  <c r="S64"/>
  <c r="S28"/>
  <c r="S78" i="29" s="1"/>
  <c r="S46" i="25"/>
  <c r="S49"/>
  <c r="S66"/>
  <c r="S29"/>
  <c r="S79" i="29" s="1"/>
  <c r="S67" i="25"/>
  <c r="S48"/>
  <c r="S30"/>
  <c r="S80" i="29" s="1"/>
  <c r="S14" i="21"/>
  <c r="S15" i="46" s="1"/>
  <c r="S65" i="25"/>
  <c r="S47"/>
  <c r="S38"/>
  <c r="S40"/>
  <c r="S58"/>
  <c r="S21"/>
  <c r="S43" i="29" s="1"/>
  <c r="S19" i="25"/>
  <c r="S41" i="29" s="1"/>
  <c r="S56" i="25"/>
  <c r="S41"/>
  <c r="S59"/>
  <c r="S22"/>
  <c r="S44" i="29" s="1"/>
  <c r="S37" i="25"/>
  <c r="S39"/>
  <c r="S18"/>
  <c r="S40" i="29" s="1"/>
  <c r="S55" i="25"/>
  <c r="S20"/>
  <c r="S42" i="29" s="1"/>
  <c r="S57" i="25"/>
  <c r="S5" i="21"/>
  <c r="S5" i="46" s="1"/>
  <c r="R12" i="51" l="1"/>
  <c r="R14" s="1"/>
  <c r="S17" i="29"/>
  <c r="S14"/>
  <c r="S16"/>
  <c r="S30"/>
  <c r="S13"/>
  <c r="S15"/>
  <c r="S54"/>
  <c r="S50"/>
  <c r="S67"/>
  <c r="S76"/>
  <c r="S39"/>
  <c r="S52"/>
  <c r="S7" i="46"/>
  <c r="T15" i="33"/>
  <c r="T59" i="29" s="1"/>
  <c r="S9" i="46"/>
  <c r="S6"/>
  <c r="S8"/>
  <c r="S14"/>
  <c r="S13"/>
  <c r="S16"/>
  <c r="S17"/>
  <c r="T14" i="34"/>
  <c r="T17" i="33"/>
  <c r="T61" i="29" s="1"/>
  <c r="T18" i="33"/>
  <c r="T62" i="29" s="1"/>
  <c r="T16" i="33"/>
  <c r="T60" i="29" s="1"/>
  <c r="S7" i="25"/>
  <c r="T19" i="33"/>
  <c r="T63" i="29" s="1"/>
  <c r="S51"/>
  <c r="S63" i="25"/>
  <c r="S53" i="29"/>
  <c r="S45" i="25"/>
  <c r="S26"/>
  <c r="T9" i="33"/>
  <c r="T25" i="29" s="1"/>
  <c r="S36" i="25"/>
  <c r="T7" i="33"/>
  <c r="T23" i="29" s="1"/>
  <c r="T8" i="33"/>
  <c r="T24" i="29" s="1"/>
  <c r="S6" i="25"/>
  <c r="T10" i="33"/>
  <c r="T26" i="29" s="1"/>
  <c r="T5" i="34"/>
  <c r="S54" i="25"/>
  <c r="T6" i="33"/>
  <c r="T22" i="29" s="1"/>
  <c r="S17" i="25"/>
  <c r="R7" i="48" l="1"/>
  <c r="F39" i="40" s="1"/>
  <c r="F38"/>
  <c r="S11" i="25"/>
  <c r="T15" i="21"/>
  <c r="T58" i="29"/>
  <c r="T21"/>
  <c r="T18" i="21"/>
  <c r="S12" i="25"/>
  <c r="S12" i="29"/>
  <c r="T17" i="21"/>
  <c r="U17" i="34" s="1"/>
  <c r="T16" i="21"/>
  <c r="U16" i="34" s="1"/>
  <c r="S49" i="29"/>
  <c r="T19" i="21"/>
  <c r="S8" i="25"/>
  <c r="S11" i="48" s="1"/>
  <c r="S13" s="1"/>
  <c r="T14" i="33"/>
  <c r="T9" i="21"/>
  <c r="T10"/>
  <c r="T8"/>
  <c r="T7"/>
  <c r="T5" i="33"/>
  <c r="T6" i="21"/>
  <c r="S8" i="49" l="1"/>
  <c r="S10" s="1"/>
  <c r="S6" i="48"/>
  <c r="S13" i="51"/>
  <c r="T30" i="25"/>
  <c r="T80" i="29" s="1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77" i="29" s="1"/>
  <c r="T29" i="25"/>
  <c r="T79" i="29" s="1"/>
  <c r="T70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81" i="29" s="1"/>
  <c r="T28" i="25"/>
  <c r="T78" i="29" s="1"/>
  <c r="T41" i="25"/>
  <c r="T22"/>
  <c r="T44" i="29" s="1"/>
  <c r="T19" i="25"/>
  <c r="T41" i="29" s="1"/>
  <c r="T56" i="25"/>
  <c r="T57"/>
  <c r="T40"/>
  <c r="T59"/>
  <c r="T58"/>
  <c r="T37"/>
  <c r="T21"/>
  <c r="T43" i="29" s="1"/>
  <c r="T20" i="25"/>
  <c r="T42" i="29" s="1"/>
  <c r="T5" i="21"/>
  <c r="T7" i="46" s="1"/>
  <c r="T38" i="25"/>
  <c r="T39"/>
  <c r="T55"/>
  <c r="T18"/>
  <c r="T40" i="29" s="1"/>
  <c r="S7" i="48" l="1"/>
  <c r="S12" i="51"/>
  <c r="S14" s="1"/>
  <c r="T14" i="29"/>
  <c r="T53"/>
  <c r="T16"/>
  <c r="T17"/>
  <c r="T30"/>
  <c r="T15"/>
  <c r="T52"/>
  <c r="U18" i="33"/>
  <c r="U62" i="29" s="1"/>
  <c r="T76"/>
  <c r="T67"/>
  <c r="T39"/>
  <c r="T13"/>
  <c r="T63" i="25"/>
  <c r="T12" s="1"/>
  <c r="T14" i="46"/>
  <c r="T16"/>
  <c r="T5"/>
  <c r="T15"/>
  <c r="T13"/>
  <c r="U17" i="33"/>
  <c r="U61" i="29" s="1"/>
  <c r="T51"/>
  <c r="T54"/>
  <c r="T6" i="46"/>
  <c r="T9"/>
  <c r="T8"/>
  <c r="T45" i="25"/>
  <c r="U16" i="33"/>
  <c r="U60" i="29" s="1"/>
  <c r="U15" i="33"/>
  <c r="U19"/>
  <c r="U63" i="29" s="1"/>
  <c r="T26" i="25"/>
  <c r="U14" i="34"/>
  <c r="T7" i="25"/>
  <c r="U7" i="33"/>
  <c r="U23" i="29" s="1"/>
  <c r="U10" i="33"/>
  <c r="U26" i="29" s="1"/>
  <c r="T36" i="25"/>
  <c r="T54"/>
  <c r="U6" i="33"/>
  <c r="U22" i="29" s="1"/>
  <c r="U8" i="33"/>
  <c r="U24" i="29" s="1"/>
  <c r="U5" i="34"/>
  <c r="U9" i="33"/>
  <c r="U25" i="29" s="1"/>
  <c r="T6" i="25"/>
  <c r="T17"/>
  <c r="T50" i="29"/>
  <c r="T11" i="25" l="1"/>
  <c r="T13" s="1"/>
  <c r="T5" i="48" s="1"/>
  <c r="U18" i="21"/>
  <c r="U15"/>
  <c r="U59" i="29"/>
  <c r="U58" s="1"/>
  <c r="U21"/>
  <c r="U19" i="21"/>
  <c r="T12" i="29"/>
  <c r="U16" i="21"/>
  <c r="U17"/>
  <c r="V17" i="34" s="1"/>
  <c r="T49" i="29"/>
  <c r="U14" i="33"/>
  <c r="U7" i="21"/>
  <c r="U10"/>
  <c r="U8"/>
  <c r="U6"/>
  <c r="U5" i="33"/>
  <c r="U9" i="21"/>
  <c r="T8" i="25"/>
  <c r="T11" i="48" s="1"/>
  <c r="T13" s="1"/>
  <c r="T8" i="49" l="1"/>
  <c r="T10" s="1"/>
  <c r="T6" i="48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80" i="29" s="1"/>
  <c r="U53" s="1"/>
  <c r="U67" i="25"/>
  <c r="U49"/>
  <c r="U48"/>
  <c r="U70" i="29"/>
  <c r="U46" i="25"/>
  <c r="U64"/>
  <c r="U27"/>
  <c r="U77" i="29" s="1"/>
  <c r="U50" i="25"/>
  <c r="U72" i="29"/>
  <c r="U29" i="25"/>
  <c r="U79" i="29" s="1"/>
  <c r="U31" i="25"/>
  <c r="U28"/>
  <c r="U14" i="21"/>
  <c r="U13" i="46" s="1"/>
  <c r="U66" i="25"/>
  <c r="U47"/>
  <c r="U65"/>
  <c r="U59"/>
  <c r="U41"/>
  <c r="U22"/>
  <c r="U44" i="29" s="1"/>
  <c r="U39" i="25"/>
  <c r="U56"/>
  <c r="U58"/>
  <c r="U18"/>
  <c r="U40" i="29" s="1"/>
  <c r="U40" i="25"/>
  <c r="U38"/>
  <c r="U19"/>
  <c r="U41" i="29" s="1"/>
  <c r="U57" i="25"/>
  <c r="U20"/>
  <c r="U42" i="29" s="1"/>
  <c r="U5" i="21"/>
  <c r="U8" i="46" s="1"/>
  <c r="U55" i="25"/>
  <c r="U21"/>
  <c r="U43" i="29" s="1"/>
  <c r="U37" i="25"/>
  <c r="U50" i="29" l="1"/>
  <c r="T7" i="48"/>
  <c r="T12" i="51"/>
  <c r="T14" s="1"/>
  <c r="U16" i="29"/>
  <c r="U30"/>
  <c r="U14"/>
  <c r="U15"/>
  <c r="U17"/>
  <c r="U67"/>
  <c r="U45" i="25"/>
  <c r="U81" i="29"/>
  <c r="U54" s="1"/>
  <c r="U78"/>
  <c r="U39"/>
  <c r="U13"/>
  <c r="U63" i="25"/>
  <c r="U12" s="1"/>
  <c r="V14" i="34"/>
  <c r="U52" i="29"/>
  <c r="U15" i="46"/>
  <c r="U14"/>
  <c r="U16"/>
  <c r="U17"/>
  <c r="V17" i="33"/>
  <c r="V61" i="29" s="1"/>
  <c r="U26" i="25"/>
  <c r="U7"/>
  <c r="V16" i="33"/>
  <c r="V60" i="29" s="1"/>
  <c r="V19" i="33"/>
  <c r="V63" i="29" s="1"/>
  <c r="V18" i="33"/>
  <c r="V62" i="29" s="1"/>
  <c r="V15" i="33"/>
  <c r="V59" i="29" s="1"/>
  <c r="U6" i="46"/>
  <c r="U5"/>
  <c r="U7"/>
  <c r="U9"/>
  <c r="U36" i="25"/>
  <c r="U54"/>
  <c r="U17"/>
  <c r="V9" i="33"/>
  <c r="V25" i="29" s="1"/>
  <c r="V10" i="33"/>
  <c r="V26" i="29" s="1"/>
  <c r="V5" i="34"/>
  <c r="V6" i="33"/>
  <c r="V22" i="29" s="1"/>
  <c r="V7" i="33"/>
  <c r="V23" i="29" s="1"/>
  <c r="U6" i="25"/>
  <c r="V8" i="33"/>
  <c r="V24" i="29" s="1"/>
  <c r="U11" i="25" l="1"/>
  <c r="U13" s="1"/>
  <c r="U5" i="48" s="1"/>
  <c r="U76" i="29"/>
  <c r="V58"/>
  <c r="U51"/>
  <c r="U49" s="1"/>
  <c r="V21"/>
  <c r="V17" i="21"/>
  <c r="V18"/>
  <c r="V19"/>
  <c r="W19" i="34" s="1"/>
  <c r="V15" i="21"/>
  <c r="W15" i="34" s="1"/>
  <c r="U12" i="29"/>
  <c r="U8" i="25"/>
  <c r="U11" i="48" s="1"/>
  <c r="U13" s="1"/>
  <c r="V14" i="33"/>
  <c r="V16" i="21"/>
  <c r="W16" i="34" s="1"/>
  <c r="V6" i="21"/>
  <c r="V9"/>
  <c r="V10"/>
  <c r="V8"/>
  <c r="V5" i="33"/>
  <c r="V7" i="21"/>
  <c r="U6" i="48" l="1"/>
  <c r="U8" i="49"/>
  <c r="U10" s="1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79" i="29" s="1"/>
  <c r="V48" i="25"/>
  <c r="V66"/>
  <c r="V68"/>
  <c r="V64"/>
  <c r="V68" i="29"/>
  <c r="V31" i="25"/>
  <c r="V81" i="29" s="1"/>
  <c r="V72"/>
  <c r="V67" i="25"/>
  <c r="V47"/>
  <c r="V69" i="29"/>
  <c r="V49" i="25"/>
  <c r="V50"/>
  <c r="V30"/>
  <c r="V80" i="29" s="1"/>
  <c r="V27" i="25"/>
  <c r="V77" i="29" s="1"/>
  <c r="V46" i="25"/>
  <c r="V14" i="21"/>
  <c r="V13" i="46" s="1"/>
  <c r="V28" i="25"/>
  <c r="V78" i="29" s="1"/>
  <c r="V65" i="25"/>
  <c r="V57"/>
  <c r="V40"/>
  <c r="V21"/>
  <c r="V43" i="29" s="1"/>
  <c r="V37" i="25"/>
  <c r="V56"/>
  <c r="V55"/>
  <c r="V18"/>
  <c r="V40" i="29" s="1"/>
  <c r="V58" i="25"/>
  <c r="V41"/>
  <c r="V19"/>
  <c r="V41" i="29" s="1"/>
  <c r="V59" i="25"/>
  <c r="V38"/>
  <c r="V5" i="21"/>
  <c r="V8" i="46" s="1"/>
  <c r="V20" i="25"/>
  <c r="V42" i="29" s="1"/>
  <c r="V22" i="25"/>
  <c r="V44" i="29" s="1"/>
  <c r="V39" i="25"/>
  <c r="V16" i="29" l="1"/>
  <c r="U7" i="48"/>
  <c r="U12" i="51"/>
  <c r="U14" s="1"/>
  <c r="V53" i="29"/>
  <c r="V14"/>
  <c r="V15"/>
  <c r="V30"/>
  <c r="V52"/>
  <c r="V17"/>
  <c r="W16" i="33"/>
  <c r="W60" i="29" s="1"/>
  <c r="V54"/>
  <c r="W14" i="34"/>
  <c r="V45" i="25"/>
  <c r="V67" i="29"/>
  <c r="V76"/>
  <c r="V63" i="25"/>
  <c r="V12" s="1"/>
  <c r="W19" i="33"/>
  <c r="W63" i="29" s="1"/>
  <c r="W15" i="33"/>
  <c r="W59" i="29" s="1"/>
  <c r="W17" i="33"/>
  <c r="W61" i="29" s="1"/>
  <c r="W18" i="33"/>
  <c r="W62" i="29" s="1"/>
  <c r="V26" i="25"/>
  <c r="V51" i="29"/>
  <c r="V39"/>
  <c r="V13"/>
  <c r="V17" i="46"/>
  <c r="V15"/>
  <c r="V7" i="25"/>
  <c r="V16" i="46"/>
  <c r="V14"/>
  <c r="V7"/>
  <c r="V6"/>
  <c r="V5"/>
  <c r="V9"/>
  <c r="V54" i="25"/>
  <c r="V36"/>
  <c r="W5" i="34"/>
  <c r="W9" i="33"/>
  <c r="W25" i="29" s="1"/>
  <c r="W7" i="33"/>
  <c r="W23" i="29" s="1"/>
  <c r="V6" i="25"/>
  <c r="V17"/>
  <c r="W10" i="33"/>
  <c r="W26" i="29" s="1"/>
  <c r="W6" i="33"/>
  <c r="W22" i="29" s="1"/>
  <c r="W8" i="33"/>
  <c r="W24" i="29" s="1"/>
  <c r="V50"/>
  <c r="W18" i="21" l="1"/>
  <c r="W71" i="29" s="1"/>
  <c r="V11" i="25"/>
  <c r="V13" s="1"/>
  <c r="V5" i="48" s="1"/>
  <c r="W16" i="21"/>
  <c r="W69" i="29" s="1"/>
  <c r="V49"/>
  <c r="W58"/>
  <c r="W19" i="21"/>
  <c r="W72" i="29" s="1"/>
  <c r="W15" i="21"/>
  <c r="W68" i="29" s="1"/>
  <c r="W14" i="33"/>
  <c r="W17" i="21"/>
  <c r="W70" i="29" s="1"/>
  <c r="W21"/>
  <c r="W7" i="21"/>
  <c r="W32" i="29" s="1"/>
  <c r="V12"/>
  <c r="V8" i="25"/>
  <c r="V11" i="48" s="1"/>
  <c r="V13" s="1"/>
  <c r="W9" i="21"/>
  <c r="W34" i="29" s="1"/>
  <c r="W10" i="21"/>
  <c r="W35" i="29" s="1"/>
  <c r="W5" i="33"/>
  <c r="W8" i="21"/>
  <c r="W33" i="29" s="1"/>
  <c r="W6" i="21"/>
  <c r="W31" i="29" s="1"/>
  <c r="V6" i="48" l="1"/>
  <c r="V8" i="49"/>
  <c r="V10" s="1"/>
  <c r="V13" i="51"/>
  <c r="W30" i="25"/>
  <c r="W80" i="29" s="1"/>
  <c r="W53" s="1"/>
  <c r="W49" i="25"/>
  <c r="W67"/>
  <c r="W28"/>
  <c r="W78" i="29" s="1"/>
  <c r="W51" s="1"/>
  <c r="W67"/>
  <c r="W47" i="25"/>
  <c r="W65"/>
  <c r="W46"/>
  <c r="W50"/>
  <c r="W48"/>
  <c r="W29"/>
  <c r="W79" i="29" s="1"/>
  <c r="W52" s="1"/>
  <c r="W68" i="25"/>
  <c r="W31"/>
  <c r="W81" i="29" s="1"/>
  <c r="W54" s="1"/>
  <c r="W14" i="21"/>
  <c r="W14" i="46" s="1"/>
  <c r="G30" i="40" s="1"/>
  <c r="W66" i="25"/>
  <c r="W27"/>
  <c r="W77" i="29" s="1"/>
  <c r="W64" i="25"/>
  <c r="W30" i="29"/>
  <c r="W59" i="25"/>
  <c r="W19"/>
  <c r="W41" i="29" s="1"/>
  <c r="W38" i="25"/>
  <c r="W56"/>
  <c r="W40"/>
  <c r="W21"/>
  <c r="W43" i="29" s="1"/>
  <c r="W16" s="1"/>
  <c r="W57" i="25"/>
  <c r="W39"/>
  <c r="W20"/>
  <c r="W42" i="29" s="1"/>
  <c r="W15" s="1"/>
  <c r="W41" i="25"/>
  <c r="W58"/>
  <c r="W18"/>
  <c r="W40" i="29" s="1"/>
  <c r="W13" s="1"/>
  <c r="W55" i="25"/>
  <c r="W5" i="21"/>
  <c r="W6" i="46" s="1"/>
  <c r="W22" i="25"/>
  <c r="W44" i="29" s="1"/>
  <c r="W17" s="1"/>
  <c r="W37" i="25"/>
  <c r="V7" i="48" l="1"/>
  <c r="V12" i="51"/>
  <c r="V14" s="1"/>
  <c r="W63" i="25"/>
  <c r="W12" s="1"/>
  <c r="W45"/>
  <c r="W76" i="29"/>
  <c r="W16" i="46"/>
  <c r="G32" i="40" s="1"/>
  <c r="W15" i="46"/>
  <c r="G31" i="40" s="1"/>
  <c r="E14"/>
  <c r="W26" i="25"/>
  <c r="W7"/>
  <c r="W17" i="46"/>
  <c r="G33" i="40" s="1"/>
  <c r="W50" i="29"/>
  <c r="W49" s="1"/>
  <c r="W13" i="46"/>
  <c r="G29" i="40" s="1"/>
  <c r="W39" i="29"/>
  <c r="W14"/>
  <c r="D14" i="40"/>
  <c r="G22"/>
  <c r="W9" i="46"/>
  <c r="W8"/>
  <c r="W5"/>
  <c r="W7"/>
  <c r="W17" i="25"/>
  <c r="W54"/>
  <c r="W6"/>
  <c r="W36"/>
  <c r="B6" i="29" l="1"/>
  <c r="E16" i="40"/>
  <c r="E15"/>
  <c r="W11" i="25"/>
  <c r="W13" s="1"/>
  <c r="W5" i="48" s="1"/>
  <c r="G37" i="40" s="1"/>
  <c r="F14"/>
  <c r="E17"/>
  <c r="E13"/>
  <c r="G25"/>
  <c r="D17"/>
  <c r="D16"/>
  <c r="G24"/>
  <c r="G21"/>
  <c r="D13"/>
  <c r="D15"/>
  <c r="G23"/>
  <c r="W12" i="29"/>
  <c r="B5" s="1"/>
  <c r="W8" i="25"/>
  <c r="W11" i="48" s="1"/>
  <c r="W13" s="1"/>
  <c r="W6" l="1"/>
  <c r="W8" i="49"/>
  <c r="W10" s="1"/>
  <c r="W13" i="51"/>
  <c r="F16" i="40"/>
  <c r="F15"/>
  <c r="B7" i="29"/>
  <c r="F13" i="40"/>
  <c r="F17"/>
  <c r="B5" i="51" l="1"/>
  <c r="C43" i="40"/>
  <c r="C7" i="29"/>
  <c r="W7" i="48" l="1"/>
  <c r="G39" i="40" s="1"/>
  <c r="G38"/>
  <c r="W12" i="51"/>
  <c r="W14" s="1"/>
  <c r="B7" s="1"/>
  <c r="C45" i="40" s="1"/>
  <c r="B4" i="49"/>
  <c r="B6" i="51" l="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<sst xmlns="http://schemas.openxmlformats.org/spreadsheetml/2006/main" count="247" uniqueCount="172">
  <si>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</si>
  <si>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</si>
  <si>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</si>
  <si>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</si>
  <si>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</si>
  <si>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</si>
  <si>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</si>
  <si>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</si>
  <si>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</si>
  <si>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</si>
  <si>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</si>
  <si>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</si>
  <si>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</si>
  <si>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</si>
  <si>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</si>
  <si>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</si>
  <si>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</si>
  <si>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</si>
  <si>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</si>
  <si>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</si>
  <si>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</si>
  <si>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</si>
  <si>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</si>
  <si>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</si>
  <si>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</si>
  <si>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</si>
  <si>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</si>
  <si>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</si>
  <si>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</si>
  <si>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</si>
  <si>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</si>
  <si>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</si>
  <si>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</si>
  <si>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</si>
  <si>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</si>
  <si>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</si>
  <si>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</si>
  <si>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</si>
  <si>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</si>
  <si>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</si>
  <si>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</si>
  <si>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</si>
  <si>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</si>
  <si>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</si>
  <si>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</si>
  <si>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</si>
  <si>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</si>
  <si>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</si>
  <si>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</si>
  <si>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</si>
  <si>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</si>
  <si>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</si>
  <si>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</si>
  <si>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</si>
  <si>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</si>
  <si>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</si>
  <si>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</si>
  <si>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</si>
  <si>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</si>
  <si>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</si>
  <si>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</si>
  <si>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</si>
  <si>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</si>
  <si>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</si>
  <si>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</si>
  <si>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</si>
  <si>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</si>
  <si>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</si>
  <si>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</si>
  <si>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</si>
  <si>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</si>
  <si>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</si>
  <si>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</si>
  <si>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</si>
  <si>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</si>
  <si>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</si>
  <si>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</si>
  <si>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</si>
  <si>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</si>
  <si>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</si>
  <si>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</si>
  <si>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</si>
  <si>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</si>
  <si>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</si>
  <si>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</si>
  <si>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</si>
  <si>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</si>
  <si>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</si>
  <si>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</si>
  <si>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</si>
  <si>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</si>
  <si>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</si>
  <si>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</si>
  <si>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</si>
  <si>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</si>
  <si>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</si>
  <si>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</si>
  <si>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</si>
  <si>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</si>
  <si>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</si>
  <si>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</si>
  <si>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</si>
  <si>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</si>
  <si>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</si>
  <si>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</si>
  <si>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</si>
  <si>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</si>
  <si>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</si>
  <si>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</si>
  <si>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</si>
  <si>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</si>
  <si>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</si>
  <si>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</si>
  <si>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</si>
  <si>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</si>
  <si>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</si>
  <si>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</si>
  <si>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</si>
  <si>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</si>
  <si>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</si>
  <si>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</si>
  <si>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</si>
  <si>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</si>
  <si>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</si>
  <si>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</si>
  <si>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</si>
  <si>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</si>
  <si>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</si>
  <si>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</si>
  <si>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</si>
  <si>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</si>
  <si>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</si>
  <si>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</si>
  <si>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</si>
  <si>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</si>
  <si>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</si>
  <si>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</si>
  <si>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</si>
  <si>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</si>
  <si>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</si>
  <si>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</si>
  <si>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</si>
  <si>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</si>
  <si>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</si>
  <si>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</si>
  <si>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</si>
  <si>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</si>
  <si>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</si>
  <si>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</si>
  <si>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</si>
  <si>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</si>
  <si>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</si>
  <si>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</si>
  <si>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</si>
  <si>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</si>
  <si>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</si>
  <si>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</si>
  <si>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</si>
  <si>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</si>
  <si>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</si>
  <si>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</si>
  <si>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</si>
  <si>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</si>
  <si>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</si>
  <si>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&gt;55 Gallons</t>
  </si>
  <si>
    <t>Note:  Values for electric resistance and gas tank are placeholders whose values are the same as &lt;= 55 gallon category.</t>
  </si>
  <si>
    <t>a. Electric resistance tanks &gt;55 gallons are required to replace with more efficient technologies, therefore:</t>
  </si>
  <si>
    <t xml:space="preserve">     - Turn off option to choose electric resistance or gas tank</t>
  </si>
  <si>
    <t xml:space="preserve">     - HPWH, Instant gas, and Condensing gas - set non-price factors to no market resistance</t>
  </si>
  <si>
    <t>No variance in non-price market shares across years:</t>
  </si>
  <si>
    <t>Washington</t>
  </si>
  <si>
    <t>Number of households with access to gas, &gt;55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</si>
</sst>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7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1" fontId="5" fillId="0" borderId="0" xfId="0" applyNumberFormat="1" applyFont="1" applyFill="1" applyBorder="1"/>
    <xf numFmtId="3" fontId="5" fillId="23" borderId="0" xfId="0" applyNumberFormat="1" applyFont="1" applyFill="1" applyBorder="1"/>
    <xf numFmtId="168" fontId="5" fillId="23" borderId="0" xfId="0" applyNumberFormat="1" applyFont="1" applyFill="1" applyBorder="1"/>
    <xf numFmtId="165" fontId="5" fillId="23" borderId="0" xfId="1" applyNumberFormat="1" applyFont="1" applyFill="1" applyBorder="1"/>
    <xf numFmtId="0" fontId="5" fillId="23" borderId="0" xfId="0" applyFont="1" applyFill="1" applyBorder="1"/>
    <xf numFmtId="0" fontId="36" fillId="23" borderId="0" xfId="0" applyFont="1" applyFill="1" applyBorder="1"/>
    <xf numFmtId="1" fontId="5" fillId="0" borderId="0" xfId="0" applyNumberFormat="1" applyFont="1"/>
    <xf numFmtId="0" fontId="4" fillId="0" borderId="0" xfId="0" applyNumberFormat="1" applyFont="1"/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24"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006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1.7448298663889121E-5</c:v>
                </c:pt>
                <c:pt idx="1">
                  <c:v>0.55680705488289362</c:v>
                </c:pt>
                <c:pt idx="2">
                  <c:v>2.7240234488193345E-5</c:v>
                </c:pt>
                <c:pt idx="3">
                  <c:v>0.14555857041110018</c:v>
                </c:pt>
                <c:pt idx="4">
                  <c:v>0.2975896861728542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0.99990403978933062</c:v>
                </c:pt>
                <c:pt idx="1">
                  <c:v>1.7448298663889121E-5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5.3820741105292772E-5</c:v>
                </c:pt>
                <c:pt idx="1">
                  <c:v>0.55680705488289362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3.2240352205107085E-9</c:v>
                </c:pt>
                <c:pt idx="1">
                  <c:v>2.7240234488193345E-5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1.2882514249557977E-5</c:v>
                </c:pt>
                <c:pt idx="1">
                  <c:v>0.14555857041110018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2.9253731279342188E-5</c:v>
                </c:pt>
                <c:pt idx="1">
                  <c:v>0.2975896861728542</c:v>
                </c:pt>
                <c:pt idx="2">
                  <c:v>0</c:v>
                </c:pt>
              </c:numCache>
            </c:numRef>
          </c:val>
        </c:ser>
        <c:overlap val="100"/>
        <c:axId val="103291904"/>
        <c:axId val="103305984"/>
      </c:barChart>
      <c:catAx>
        <c:axId val="10329190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305984"/>
        <c:crosses val="autoZero"/>
        <c:auto val="1"/>
        <c:lblAlgn val="ctr"/>
        <c:lblOffset val="100"/>
      </c:catAx>
      <c:valAx>
        <c:axId val="103305984"/>
        <c:scaling>
          <c:orientation val="minMax"/>
        </c:scaling>
        <c:axPos val="l"/>
        <c:majorGridlines/>
        <c:numFmt formatCode="0%" sourceLinked="1"/>
        <c:tickLblPos val="nextTo"/>
        <c:crossAx val="10329190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0.21093669676551635</c:v>
                </c:pt>
                <c:pt idx="2">
                  <c:v>0.21092188755086902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0.44035087661036015</c:v>
                </c:pt>
                <c:pt idx="2">
                  <c:v>0.78907811244913095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2.3175494520051198E-5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0.11168635083108824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0.23700290029851523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103339136"/>
        <c:axId val="103340672"/>
      </c:barChart>
      <c:catAx>
        <c:axId val="10333913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340672"/>
        <c:crosses val="autoZero"/>
        <c:auto val="1"/>
        <c:lblAlgn val="ctr"/>
        <c:lblOffset val="100"/>
      </c:catAx>
      <c:valAx>
        <c:axId val="103340672"/>
        <c:scaling>
          <c:orientation val="minMax"/>
        </c:scaling>
        <c:axPos val="l"/>
        <c:majorGridlines/>
        <c:numFmt formatCode="0%" sourceLinked="1"/>
        <c:tickLblPos val="nextTo"/>
        <c:crossAx val="103339136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0.92857294676994795</c:v>
                </c:pt>
                <c:pt idx="1">
                  <c:v>0.64105741354909773</c:v>
                </c:pt>
                <c:pt idx="2">
                  <c:v>0.44256743617486088</c:v>
                </c:pt>
                <c:pt idx="3">
                  <c:v>0.30553730058304157</c:v>
                </c:pt>
                <c:pt idx="4">
                  <c:v>0.21093669676551635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4.0043703987710046E-2</c:v>
                </c:pt>
                <c:pt idx="1">
                  <c:v>0.20100700106193495</c:v>
                </c:pt>
                <c:pt idx="2">
                  <c:v>0.31180056848270427</c:v>
                </c:pt>
                <c:pt idx="3">
                  <c:v>0.38799741788736192</c:v>
                </c:pt>
                <c:pt idx="4">
                  <c:v>0.44035087661036015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2.3759094784144751E-6</c:v>
                </c:pt>
                <c:pt idx="1">
                  <c:v>1.1621358477249481E-5</c:v>
                </c:pt>
                <c:pt idx="2">
                  <c:v>1.7516925047988279E-5</c:v>
                </c:pt>
                <c:pt idx="3">
                  <c:v>2.1124158024067918E-5</c:v>
                </c:pt>
                <c:pt idx="4">
                  <c:v>2.3175494520051198E-5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9.6264462366238823E-3</c:v>
                </c:pt>
                <c:pt idx="1">
                  <c:v>4.8891251915044565E-2</c:v>
                </c:pt>
                <c:pt idx="2">
                  <c:v>7.6826068841640338E-2</c:v>
                </c:pt>
                <c:pt idx="3">
                  <c:v>9.6949110584721193E-2</c:v>
                </c:pt>
                <c:pt idx="4">
                  <c:v>0.11168635083108824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2.1754527096239554E-2</c:v>
                </c:pt>
                <c:pt idx="1">
                  <c:v>0.10903271211544552</c:v>
                </c:pt>
                <c:pt idx="2">
                  <c:v>0.16878840957574648</c:v>
                </c:pt>
                <c:pt idx="3">
                  <c:v>0.20949504678685113</c:v>
                </c:pt>
                <c:pt idx="4">
                  <c:v>0.23700290029851523</c:v>
                </c:pt>
              </c:numCache>
            </c:numRef>
          </c:val>
        </c:ser>
        <c:overlap val="100"/>
        <c:axId val="103472128"/>
        <c:axId val="196739840"/>
      </c:barChart>
      <c:catAx>
        <c:axId val="1034721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6739840"/>
        <c:crosses val="autoZero"/>
        <c:auto val="1"/>
        <c:lblAlgn val="ctr"/>
        <c:lblOffset val="100"/>
      </c:catAx>
      <c:valAx>
        <c:axId val="19673984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03472128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-2.8107999151068454E-2</c:v>
                </c:pt>
                <c:pt idx="1">
                  <c:v>-0.14143612235543374</c:v>
                </c:pt>
                <c:pt idx="2">
                  <c:v>-0.21994205249097618</c:v>
                </c:pt>
                <c:pt idx="3">
                  <c:v>-0.27437275069618211</c:v>
                </c:pt>
                <c:pt idx="4">
                  <c:v>-0.31214550855179346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2.1377692871411537E-2</c:v>
                </c:pt>
                <c:pt idx="1">
                  <c:v>0.10758260143167517</c:v>
                </c:pt>
                <c:pt idx="2">
                  <c:v>0.16731986785206213</c:v>
                </c:pt>
                <c:pt idx="3">
                  <c:v>0.2087586147135447</c:v>
                </c:pt>
                <c:pt idx="4">
                  <c:v>0.23753691195232474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-6.7303062796569176E-3</c:v>
                </c:pt>
                <c:pt idx="1">
                  <c:v>-3.3853520923758568E-2</c:v>
                </c:pt>
                <c:pt idx="2">
                  <c:v>-5.2622184638914049E-2</c:v>
                </c:pt>
                <c:pt idx="3">
                  <c:v>-6.5614135982637406E-2</c:v>
                </c:pt>
                <c:pt idx="4">
                  <c:v>-7.4608596599468724E-2</c:v>
                </c:pt>
              </c:numCache>
            </c:numRef>
          </c:val>
        </c:ser>
        <c:axId val="200021504"/>
        <c:axId val="200023040"/>
      </c:barChart>
      <c:catAx>
        <c:axId val="200021504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00023040"/>
        <c:crosses val="autoZero"/>
        <c:auto val="1"/>
        <c:lblAlgn val="ctr"/>
        <c:lblOffset val="100"/>
      </c:catAx>
      <c:valAx>
        <c:axId val="200023040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02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ColWidth="9.140625" defaultRowHeight="18.75"/>
  <cols>
    <col min="1" max="1" width="5.5703125" style="119" customWidth="1"/>
    <col min="2" max="16384" width="9.140625" style="119"/>
  </cols>
  <sheetData>
    <row r="1" spans="1:11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11" ht="39" customHeight="1">
      <c r="B3" s="181" t="str">
        <f>CONCATENATE("Marginal Market Shares (%) - ",State,", Single Family, ", SpaceHeat, ", ", TankSize,", ", StartWH, " is starting water heater")</f>
        <v>Marginal Market Shares (%) - Washington, Single Family, Gas FAF, &gt;55 Gallons, Electric Resistance is starting water heater</v>
      </c>
      <c r="C3" s="182"/>
      <c r="D3" s="182"/>
      <c r="E3" s="182"/>
      <c r="F3" s="182"/>
      <c r="G3" s="182"/>
      <c r="H3" s="182"/>
      <c r="I3" s="182"/>
      <c r="J3" s="182"/>
      <c r="K3" s="182"/>
    </row>
    <row r="18" spans="2:16">
      <c r="M18" s="94"/>
    </row>
    <row r="21" spans="2:16" ht="36" customHeight="1">
      <c r="B21" s="181" t="str">
        <f>CONCATENATE("Average Market Shares by Scenario (%) - ",State,", Single Family, ", SpaceHeat, ", ", TankSize,", ", StartWH, " is starting water heater")</f>
        <v>Average Market Shares by Scenario (%) - Washington, Single Family, Gas FAF, &gt;55 Gallons, Electric Resistance is starting water heater</v>
      </c>
      <c r="C21" s="182"/>
      <c r="D21" s="182"/>
      <c r="E21" s="182"/>
      <c r="F21" s="182"/>
      <c r="G21" s="182"/>
      <c r="H21" s="182"/>
      <c r="I21" s="182"/>
      <c r="J21" s="182"/>
      <c r="K21" s="182"/>
    </row>
    <row r="29" spans="2:16">
      <c r="P29" s="94"/>
    </row>
    <row r="39" spans="2:11" ht="36" customHeight="1">
      <c r="B39" s="181" t="str">
        <f>CONCATENATE("BAU Average Market Shares (%) - ",State,", Single Family, ", SpaceHeat, ", ", TankSize,", ", StartWH, " is starting water heater")</f>
        <v>BAU Average Market Shares (%) - Washington, Single Family, Gas FAF, &gt;55 Gallons, Electric Resistance is starting water heater</v>
      </c>
      <c r="C39" s="182"/>
      <c r="D39" s="182"/>
      <c r="E39" s="182"/>
      <c r="F39" s="182"/>
      <c r="G39" s="182"/>
      <c r="H39" s="182"/>
      <c r="I39" s="182"/>
      <c r="J39" s="182"/>
      <c r="K39" s="182"/>
    </row>
    <row r="57" spans="2:11" ht="38.25" customHeight="1">
      <c r="B57" s="181" t="str">
        <f>CONCATENATE("BAU Average Market Shares, 2035 (%) - ",State,", Single Family, ", SpaceHeat, ", ", TankSize,", ", StartWH, " is starting water heater")</f>
        <v>BAU Average Market Shares, 2035 (%) - Washington, Single Family, Gas FAF, &gt;55 Gallons, Electric Resistance is starting water heater</v>
      </c>
      <c r="C57" s="182"/>
      <c r="D57" s="182"/>
      <c r="E57" s="182"/>
      <c r="F57" s="182"/>
      <c r="G57" s="182"/>
      <c r="H57" s="182"/>
      <c r="I57" s="182"/>
      <c r="J57" s="182"/>
      <c r="K57" s="182"/>
    </row>
    <row r="75" spans="2:12" ht="40.5" customHeight="1">
      <c r="B75" s="181" t="str">
        <f>CONCATENATE('Input Assumptions'!B$9," Change in Natural Gas Usage Least Cost vs BAU Case (Mcf/Yr) -  ",'Input Assumptions'!B$11," ",'Input Assumptions'!B$12,", ",'Input Assumptions'!B$10," Space Heat")</f>
        <v>Washington Change in Natural Gas Usage Least Cost vs BAU Case (Mcf/Yr) -  Electric Resistance &gt;55 Gallons, Gas FAF Space Heat</v>
      </c>
      <c r="C75" s="182"/>
      <c r="D75" s="182"/>
      <c r="E75" s="182"/>
      <c r="F75" s="182"/>
      <c r="G75" s="182"/>
      <c r="H75" s="182"/>
      <c r="I75" s="182"/>
      <c r="J75" s="182"/>
      <c r="K75" s="182"/>
      <c r="L75" s="133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>
      <selection activeCell="A2" sqref="A2"/>
    </sheetView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>
      <c r="A3" s="12" t="s">
        <v>125</v>
      </c>
      <c r="H3" s="14"/>
      <c r="I3" s="14"/>
    </row>
    <row r="4" spans="1:23" ht="31.5">
      <c r="A4" s="65"/>
      <c r="B4" s="88" t="s">
        <v>124</v>
      </c>
      <c r="C4" s="93" t="s">
        <v>77</v>
      </c>
      <c r="D4" s="44"/>
      <c r="E4" s="44"/>
      <c r="F4" s="44"/>
      <c r="G4" s="44"/>
      <c r="H4" s="44"/>
    </row>
    <row r="5" spans="1:23">
      <c r="A5" s="157" t="s">
        <v>39</v>
      </c>
      <c r="B5" s="121">
        <f>NPV(DiscountRate,B12:W12)</f>
        <v>352.39587658270904</v>
      </c>
      <c r="C5" s="67"/>
      <c r="D5" s="44"/>
      <c r="E5" s="44"/>
      <c r="F5" s="44"/>
      <c r="G5" s="44"/>
      <c r="H5" s="44"/>
    </row>
    <row r="6" spans="1:23">
      <c r="A6" s="158" t="s">
        <v>95</v>
      </c>
      <c r="B6" s="122">
        <f>NPV(DiscountRate,B49:W49)</f>
        <v>315.84444995840806</v>
      </c>
      <c r="C6" s="159"/>
      <c r="D6" s="44"/>
      <c r="E6" s="44"/>
      <c r="F6" s="44"/>
      <c r="G6" s="44"/>
      <c r="H6" s="44"/>
    </row>
    <row r="7" spans="1:23">
      <c r="A7" s="158" t="s">
        <v>75</v>
      </c>
      <c r="B7" s="122">
        <f>B5-B6</f>
        <v>36.551426624300973</v>
      </c>
      <c r="C7" s="160">
        <f>1-B6/B5</f>
        <v>0.10372262859245507</v>
      </c>
    </row>
    <row r="8" spans="1:23">
      <c r="A8" s="53"/>
      <c r="E8" s="28"/>
    </row>
    <row r="9" spans="1:23">
      <c r="A9" s="12"/>
    </row>
    <row r="10" spans="1:23">
      <c r="A10" s="12" t="s">
        <v>110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8" t="s">
        <v>44</v>
      </c>
      <c r="B12" s="126">
        <f t="shared" ref="B12:W12" si="1">SUM(B13:B17)</f>
        <v>17.149024789765711</v>
      </c>
      <c r="C12" s="126">
        <f t="shared" si="1"/>
        <v>25.688152999196166</v>
      </c>
      <c r="D12" s="126">
        <f t="shared" si="1"/>
        <v>25.49150170015298</v>
      </c>
      <c r="E12" s="126">
        <f t="shared" si="1"/>
        <v>25.316815357396294</v>
      </c>
      <c r="F12" s="126">
        <f t="shared" si="1"/>
        <v>25.162958533651786</v>
      </c>
      <c r="G12" s="126">
        <f t="shared" si="1"/>
        <v>25.028862974256107</v>
      </c>
      <c r="H12" s="126">
        <f t="shared" si="1"/>
        <v>24.913523821719153</v>
      </c>
      <c r="I12" s="126">
        <f t="shared" si="1"/>
        <v>24.815996041528599</v>
      </c>
      <c r="J12" s="126">
        <f t="shared" si="1"/>
        <v>24.735391047719904</v>
      </c>
      <c r="K12" s="126">
        <f t="shared" si="1"/>
        <v>24.670873517336442</v>
      </c>
      <c r="L12" s="126">
        <f t="shared" si="1"/>
        <v>24.621658383476486</v>
      </c>
      <c r="M12" s="126">
        <f t="shared" si="1"/>
        <v>24.587007997167191</v>
      </c>
      <c r="N12" s="126">
        <f t="shared" si="1"/>
        <v>24.566229448821851</v>
      </c>
      <c r="O12" s="126">
        <f t="shared" si="1"/>
        <v>24.558672040527199</v>
      </c>
      <c r="P12" s="126">
        <f t="shared" si="1"/>
        <v>24.563724900873012</v>
      </c>
      <c r="Q12" s="126">
        <f t="shared" si="1"/>
        <v>24.580814734478196</v>
      </c>
      <c r="R12" s="126">
        <f t="shared" si="1"/>
        <v>24.609403698787109</v>
      </c>
      <c r="S12" s="126">
        <f t="shared" si="1"/>
        <v>24.648987401107892</v>
      </c>
      <c r="T12" s="126">
        <f t="shared" si="1"/>
        <v>24.699093009242048</v>
      </c>
      <c r="U12" s="126">
        <f t="shared" si="1"/>
        <v>24.759277469412964</v>
      </c>
      <c r="V12" s="126">
        <f t="shared" si="1"/>
        <v>24.829125825540395</v>
      </c>
      <c r="W12" s="126">
        <f t="shared" si="1"/>
        <v>24.908249634230202</v>
      </c>
    </row>
    <row r="13" spans="1:23" ht="16.5" thickTop="1">
      <c r="A13" s="37" t="str">
        <f>A22</f>
        <v>Electric Resistance</v>
      </c>
      <c r="B13" s="120">
        <f t="shared" ref="B13:W13" si="2">(B22+B31+B40)</f>
        <v>17.149024789765711</v>
      </c>
      <c r="C13" s="120">
        <f t="shared" si="2"/>
        <v>16.128072688561055</v>
      </c>
      <c r="D13" s="120">
        <f t="shared" si="2"/>
        <v>15.167891945012579</v>
      </c>
      <c r="E13" s="120">
        <f t="shared" si="2"/>
        <v>14.264911503568644</v>
      </c>
      <c r="F13" s="120">
        <f t="shared" si="2"/>
        <v>13.415721356968904</v>
      </c>
      <c r="G13" s="120">
        <f t="shared" si="2"/>
        <v>12.617114960733575</v>
      </c>
      <c r="H13" s="120">
        <f t="shared" si="2"/>
        <v>11.866077080874929</v>
      </c>
      <c r="I13" s="120">
        <f t="shared" si="2"/>
        <v>11.159772368313803</v>
      </c>
      <c r="J13" s="120">
        <f t="shared" si="2"/>
        <v>10.495534616481851</v>
      </c>
      <c r="K13" s="120">
        <f t="shared" si="2"/>
        <v>9.8708566612006194</v>
      </c>
      <c r="L13" s="120">
        <f t="shared" si="2"/>
        <v>9.2833808843824954</v>
      </c>
      <c r="M13" s="120">
        <f t="shared" si="2"/>
        <v>8.730890285404616</v>
      </c>
      <c r="N13" s="120">
        <f t="shared" si="2"/>
        <v>8.2113000861746706</v>
      </c>
      <c r="O13" s="120">
        <f t="shared" si="2"/>
        <v>7.7226498379448092</v>
      </c>
      <c r="P13" s="120">
        <f t="shared" si="2"/>
        <v>7.2630959998450422</v>
      </c>
      <c r="Q13" s="120">
        <f t="shared" si="2"/>
        <v>6.8309049609073966</v>
      </c>
      <c r="R13" s="120">
        <f t="shared" si="2"/>
        <v>6.4244464790441329</v>
      </c>
      <c r="S13" s="120">
        <f t="shared" si="2"/>
        <v>6.0421875120335411</v>
      </c>
      <c r="T13" s="120">
        <f t="shared" si="2"/>
        <v>5.6826864170617508</v>
      </c>
      <c r="U13" s="120">
        <f t="shared" si="2"/>
        <v>5.3445874967740306</v>
      </c>
      <c r="V13" s="120">
        <f t="shared" si="2"/>
        <v>5.026615871109855</v>
      </c>
      <c r="W13" s="120">
        <f t="shared" si="2"/>
        <v>4.727572655437517</v>
      </c>
    </row>
    <row r="14" spans="1:23">
      <c r="A14" s="37" t="str">
        <f>A23</f>
        <v>HPWH</v>
      </c>
      <c r="B14" s="120">
        <f t="shared" ref="B14:W14" si="3">(B23+B32+B41)</f>
        <v>0</v>
      </c>
      <c r="C14" s="120">
        <f t="shared" si="3"/>
        <v>4.1973504644799826</v>
      </c>
      <c r="D14" s="120">
        <f t="shared" si="3"/>
        <v>4.5732005022083992</v>
      </c>
      <c r="E14" s="120">
        <f t="shared" si="3"/>
        <v>4.9311707412670875</v>
      </c>
      <c r="F14" s="120">
        <f t="shared" si="3"/>
        <v>5.2724063573170739</v>
      </c>
      <c r="G14" s="120">
        <f t="shared" si="3"/>
        <v>5.5979841781357607</v>
      </c>
      <c r="H14" s="120">
        <f t="shared" si="3"/>
        <v>5.9089168490831572</v>
      </c>
      <c r="I14" s="120">
        <f t="shared" si="3"/>
        <v>6.2061567448156545</v>
      </c>
      <c r="J14" s="120">
        <f t="shared" si="3"/>
        <v>6.490599642793363</v>
      </c>
      <c r="K14" s="120">
        <f t="shared" si="3"/>
        <v>6.7630881731697725</v>
      </c>
      <c r="L14" s="120">
        <f t="shared" si="3"/>
        <v>7.0244150587549168</v>
      </c>
      <c r="M14" s="120">
        <f t="shared" si="3"/>
        <v>7.2753261579008353</v>
      </c>
      <c r="N14" s="120">
        <f t="shared" si="3"/>
        <v>7.5165233223681085</v>
      </c>
      <c r="O14" s="120">
        <f t="shared" si="3"/>
        <v>7.7486670814909164</v>
      </c>
      <c r="P14" s="120">
        <f t="shared" si="3"/>
        <v>7.9723791632627226</v>
      </c>
      <c r="Q14" s="120">
        <f t="shared" si="3"/>
        <v>8.188244862312148</v>
      </c>
      <c r="R14" s="120">
        <f t="shared" si="3"/>
        <v>8.3968152641264506</v>
      </c>
      <c r="S14" s="120">
        <f t="shared" si="3"/>
        <v>8.5986093343057313</v>
      </c>
      <c r="T14" s="120">
        <f t="shared" si="3"/>
        <v>8.7941158810919333</v>
      </c>
      <c r="U14" s="120">
        <f t="shared" si="3"/>
        <v>8.9837953989112087</v>
      </c>
      <c r="V14" s="120">
        <f t="shared" si="3"/>
        <v>9.1680818001935371</v>
      </c>
      <c r="W14" s="120">
        <f t="shared" si="3"/>
        <v>9.3473840422884429</v>
      </c>
    </row>
    <row r="15" spans="1:23">
      <c r="A15" s="37" t="str">
        <f>A24</f>
        <v>Gas Tank</v>
      </c>
      <c r="B15" s="120">
        <f t="shared" ref="B15:W15" si="4">(B24+B33+B42)</f>
        <v>0</v>
      </c>
      <c r="C15" s="120">
        <f t="shared" si="4"/>
        <v>1.3590180840209755E-4</v>
      </c>
      <c r="D15" s="120">
        <f t="shared" si="4"/>
        <v>1.6367204961662273E-4</v>
      </c>
      <c r="E15" s="120">
        <f t="shared" si="4"/>
        <v>1.898931703626726E-4</v>
      </c>
      <c r="F15" s="120">
        <f t="shared" si="4"/>
        <v>2.1465759612904027E-4</v>
      </c>
      <c r="G15" s="120">
        <f t="shared" si="4"/>
        <v>2.3805231551005048E-4</v>
      </c>
      <c r="H15" s="120">
        <f t="shared" si="4"/>
        <v>2.6015920336879759E-4</v>
      </c>
      <c r="I15" s="120">
        <f t="shared" si="4"/>
        <v>2.8105532468302189E-4</v>
      </c>
      <c r="J15" s="120">
        <f t="shared" si="4"/>
        <v>3.0081322023697225E-4</v>
      </c>
      <c r="K15" s="120">
        <f t="shared" si="4"/>
        <v>3.1950117525196342E-4</v>
      </c>
      <c r="L15" s="120">
        <f t="shared" si="4"/>
        <v>3.3718347198201821E-4</v>
      </c>
      <c r="M15" s="120">
        <f t="shared" si="4"/>
        <v>3.5392062723873477E-4</v>
      </c>
      <c r="N15" s="120">
        <f t="shared" si="4"/>
        <v>3.6976961575107669E-4</v>
      </c>
      <c r="O15" s="120">
        <f t="shared" si="4"/>
        <v>3.8478408021091863E-4</v>
      </c>
      <c r="P15" s="120">
        <f t="shared" si="4"/>
        <v>3.99014528803664E-4</v>
      </c>
      <c r="Q15" s="120">
        <f t="shared" si="4"/>
        <v>4.1250852097489334E-4</v>
      </c>
      <c r="R15" s="120">
        <f t="shared" si="4"/>
        <v>4.2531084213858037E-4</v>
      </c>
      <c r="S15" s="120">
        <f t="shared" si="4"/>
        <v>4.374636679897788E-4</v>
      </c>
      <c r="T15" s="120">
        <f t="shared" si="4"/>
        <v>4.4900671904463758E-4</v>
      </c>
      <c r="U15" s="120">
        <f t="shared" si="4"/>
        <v>4.5997740599299885E-4</v>
      </c>
      <c r="V15" s="120">
        <f t="shared" si="4"/>
        <v>4.7041096641352829E-4</v>
      </c>
      <c r="W15" s="120">
        <f t="shared" si="4"/>
        <v>4.8034059336815279E-4</v>
      </c>
    </row>
    <row r="16" spans="1:23">
      <c r="A16" s="37" t="str">
        <f>A25</f>
        <v>Instant Gas</v>
      </c>
      <c r="B16" s="120">
        <f t="shared" ref="B16:W16" si="5">(B25+B34+B43)</f>
        <v>0</v>
      </c>
      <c r="C16" s="120">
        <f t="shared" si="5"/>
        <v>2.1883636928419574</v>
      </c>
      <c r="D16" s="120">
        <f t="shared" si="5"/>
        <v>2.3320669426791643</v>
      </c>
      <c r="E16" s="120">
        <f t="shared" si="5"/>
        <v>2.4695698751186699</v>
      </c>
      <c r="F16" s="120">
        <f t="shared" si="5"/>
        <v>2.6013030144272342</v>
      </c>
      <c r="G16" s="120">
        <f t="shared" si="5"/>
        <v>2.7276700789705854</v>
      </c>
      <c r="H16" s="120">
        <f t="shared" si="5"/>
        <v>2.8490497145810805</v>
      </c>
      <c r="I16" s="120">
        <f t="shared" si="5"/>
        <v>2.9657971150964584</v>
      </c>
      <c r="J16" s="120">
        <f t="shared" si="5"/>
        <v>3.0782455375018034</v>
      </c>
      <c r="K16" s="120">
        <f t="shared" si="5"/>
        <v>3.186707718612066</v>
      </c>
      <c r="L16" s="120">
        <f t="shared" si="5"/>
        <v>3.2914771997708709</v>
      </c>
      <c r="M16" s="120">
        <f t="shared" si="5"/>
        <v>3.3928295656108851</v>
      </c>
      <c r="N16" s="120">
        <f t="shared" si="5"/>
        <v>3.4910236025193315</v>
      </c>
      <c r="O16" s="120">
        <f t="shared" si="5"/>
        <v>3.5863023820776379</v>
      </c>
      <c r="P16" s="120">
        <f t="shared" si="5"/>
        <v>3.6788942743945618</v>
      </c>
      <c r="Q16" s="120">
        <f t="shared" si="5"/>
        <v>3.7690138959261663</v>
      </c>
      <c r="R16" s="120">
        <f t="shared" si="5"/>
        <v>3.8568629960715679</v>
      </c>
      <c r="S16" s="120">
        <f t="shared" si="5"/>
        <v>3.9426312865496453</v>
      </c>
      <c r="T16" s="120">
        <f t="shared" si="5"/>
        <v>4.0264972172968232</v>
      </c>
      <c r="U16" s="120">
        <f t="shared" si="5"/>
        <v>4.1086287023789527</v>
      </c>
      <c r="V16" s="120">
        <f t="shared" si="5"/>
        <v>4.1891837991795216</v>
      </c>
      <c r="W16" s="120">
        <f t="shared" si="5"/>
        <v>4.2683113439111713</v>
      </c>
    </row>
    <row r="17" spans="1:23">
      <c r="A17" s="37" t="str">
        <f>A26</f>
        <v>Condensing Gas</v>
      </c>
      <c r="B17" s="120">
        <f t="shared" ref="B17:W17" si="6">(B26+B35+B44)</f>
        <v>0</v>
      </c>
      <c r="C17" s="120">
        <f t="shared" si="6"/>
        <v>3.1742302515047691</v>
      </c>
      <c r="D17" s="120">
        <f t="shared" si="6"/>
        <v>3.4181786382032247</v>
      </c>
      <c r="E17" s="120">
        <f t="shared" si="6"/>
        <v>3.6509733442715318</v>
      </c>
      <c r="F17" s="120">
        <f t="shared" si="6"/>
        <v>3.8733131473424471</v>
      </c>
      <c r="G17" s="120">
        <f t="shared" si="6"/>
        <v>4.0858557041006778</v>
      </c>
      <c r="H17" s="120">
        <f t="shared" si="6"/>
        <v>4.2892200179766187</v>
      </c>
      <c r="I17" s="120">
        <f t="shared" si="6"/>
        <v>4.4839887579780005</v>
      </c>
      <c r="J17" s="120">
        <f t="shared" si="6"/>
        <v>4.6707104377226516</v>
      </c>
      <c r="K17" s="120">
        <f t="shared" si="6"/>
        <v>4.8499014631787309</v>
      </c>
      <c r="L17" s="120">
        <f t="shared" si="6"/>
        <v>5.0220480570962218</v>
      </c>
      <c r="M17" s="120">
        <f t="shared" si="6"/>
        <v>5.1876080676236178</v>
      </c>
      <c r="N17" s="120">
        <f t="shared" si="6"/>
        <v>5.3470126681439885</v>
      </c>
      <c r="O17" s="120">
        <f t="shared" si="6"/>
        <v>5.5006679549336255</v>
      </c>
      <c r="P17" s="120">
        <f t="shared" si="6"/>
        <v>5.6489564488418811</v>
      </c>
      <c r="Q17" s="120">
        <f t="shared" si="6"/>
        <v>5.7922385068115094</v>
      </c>
      <c r="R17" s="120">
        <f t="shared" si="6"/>
        <v>5.9308536487028194</v>
      </c>
      <c r="S17" s="120">
        <f t="shared" si="6"/>
        <v>6.0651218045509845</v>
      </c>
      <c r="T17" s="120">
        <f t="shared" si="6"/>
        <v>6.1953444870724983</v>
      </c>
      <c r="U17" s="120">
        <f t="shared" si="6"/>
        <v>6.3218058939427815</v>
      </c>
      <c r="V17" s="120">
        <f t="shared" si="6"/>
        <v>6.4447739440910681</v>
      </c>
      <c r="W17" s="120">
        <f t="shared" si="6"/>
        <v>6.5645012519997028</v>
      </c>
    </row>
    <row r="18" spans="1:23">
      <c r="A18" s="12"/>
    </row>
    <row r="19" spans="1:23">
      <c r="A19" s="12" t="s">
        <v>111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8" t="s">
        <v>44</v>
      </c>
      <c r="B21" s="126">
        <f>SUM(B22:B26)</f>
        <v>0</v>
      </c>
      <c r="C21" s="126">
        <f t="shared" ref="C21:W21" si="7">SUM(C22:C26)</f>
        <v>8.7625708817125236</v>
      </c>
      <c r="D21" s="126">
        <f t="shared" si="7"/>
        <v>8.7661884140233095</v>
      </c>
      <c r="E21" s="126">
        <f t="shared" si="7"/>
        <v>8.7698031714271991</v>
      </c>
      <c r="F21" s="126">
        <f t="shared" si="7"/>
        <v>8.7734146282548853</v>
      </c>
      <c r="G21" s="126">
        <f t="shared" si="7"/>
        <v>8.7770222521874466</v>
      </c>
      <c r="H21" s="126">
        <f t="shared" si="7"/>
        <v>8.7806255043413923</v>
      </c>
      <c r="I21" s="126">
        <f t="shared" si="7"/>
        <v>8.7842238393596137</v>
      </c>
      <c r="J21" s="126">
        <f t="shared" si="7"/>
        <v>8.7878167055083303</v>
      </c>
      <c r="K21" s="126">
        <f t="shared" si="7"/>
        <v>8.7914035447801506</v>
      </c>
      <c r="L21" s="126">
        <f t="shared" si="7"/>
        <v>8.7949837930032118</v>
      </c>
      <c r="M21" s="126">
        <f t="shared" si="7"/>
        <v>8.7985568799565961</v>
      </c>
      <c r="N21" s="126">
        <f t="shared" si="7"/>
        <v>8.8021222294919266</v>
      </c>
      <c r="O21" s="126">
        <f t="shared" si="7"/>
        <v>8.8056792596613249</v>
      </c>
      <c r="P21" s="126">
        <f t="shared" si="7"/>
        <v>8.8092273828516383</v>
      </c>
      <c r="Q21" s="126">
        <f t="shared" si="7"/>
        <v>8.8127660059251056</v>
      </c>
      <c r="R21" s="126">
        <f t="shared" si="7"/>
        <v>8.8162945303663172</v>
      </c>
      <c r="S21" s="126">
        <f t="shared" si="7"/>
        <v>8.8198123524356742</v>
      </c>
      <c r="T21" s="126">
        <f t="shared" si="7"/>
        <v>8.8233188633291419</v>
      </c>
      <c r="U21" s="126">
        <f t="shared" si="7"/>
        <v>8.8268134493444776</v>
      </c>
      <c r="V21" s="126">
        <f t="shared" si="7"/>
        <v>8.8302954920537893</v>
      </c>
      <c r="W21" s="126">
        <f t="shared" si="7"/>
        <v>8.8337643684824609</v>
      </c>
    </row>
    <row r="22" spans="1:23" ht="16.5" thickTop="1">
      <c r="A22" s="9" t="str">
        <f>'Water Heaters Purchased'!A6</f>
        <v>Electric Resistance</v>
      </c>
      <c r="B22" s="120">
        <f>('Water Heaters Purchased'!B6*'Capital Cost'!$E5)/1000000</f>
        <v>0</v>
      </c>
      <c r="C22" s="120">
        <f>('Water Heaters Purchased'!C6*'Capital Cost'!$E5)/1000000</f>
        <v>5.4767871481994736E-5</v>
      </c>
      <c r="D22" s="120">
        <f>('Water Heaters Purchased'!D6*'Capital Cost'!$E5)/1000000</f>
        <v>5.420436061634539E-5</v>
      </c>
      <c r="E22" s="120">
        <f>('Water Heaters Purchased'!E6*'Capital Cost'!$E5)/1000000</f>
        <v>5.3649143813246943E-5</v>
      </c>
      <c r="F22" s="120">
        <f>('Water Heaters Purchased'!F6*'Capital Cost'!$E5)/1000000</f>
        <v>5.3102118115200909E-5</v>
      </c>
      <c r="G22" s="120">
        <f>('Water Heaters Purchased'!G6*'Capital Cost'!$E5)/1000000</f>
        <v>5.2563181217839859E-5</v>
      </c>
      <c r="H22" s="120">
        <f>('Water Heaters Purchased'!H6*'Capital Cost'!$E5)/1000000</f>
        <v>5.2032231489764063E-5</v>
      </c>
      <c r="I22" s="120">
        <f>('Water Heaters Purchased'!I6*'Capital Cost'!$E5)/1000000</f>
        <v>5.1509167991424371E-5</v>
      </c>
      <c r="J22" s="120">
        <f>('Water Heaters Purchased'!J6*'Capital Cost'!$E5)/1000000</f>
        <v>5.0993890493066687E-5</v>
      </c>
      <c r="K22" s="120">
        <f>('Water Heaters Purchased'!K6*'Capital Cost'!$E5)/1000000</f>
        <v>5.048629949175673E-5</v>
      </c>
      <c r="L22" s="120">
        <f>('Water Heaters Purchased'!L6*'Capital Cost'!$E5)/1000000</f>
        <v>4.9986296227500312E-5</v>
      </c>
      <c r="M22" s="120">
        <f>('Water Heaters Purchased'!M6*'Capital Cost'!$E5)/1000000</f>
        <v>4.9493782698477417E-5</v>
      </c>
      <c r="N22" s="120">
        <f>('Water Heaters Purchased'!N6*'Capital Cost'!$E5)/1000000</f>
        <v>4.9008661675407657E-5</v>
      </c>
      <c r="O22" s="120">
        <f>('Water Heaters Purchased'!O6*'Capital Cost'!$E5)/1000000</f>
        <v>4.8530836715064297E-5</v>
      </c>
      <c r="P22" s="120">
        <f>('Water Heaters Purchased'!P6*'Capital Cost'!$E5)/1000000</f>
        <v>4.8060212172955614E-5</v>
      </c>
      <c r="Q22" s="120">
        <f>('Water Heaters Purchased'!Q6*'Capital Cost'!$E5)/1000000</f>
        <v>4.7596693215191145E-5</v>
      </c>
      <c r="R22" s="120">
        <f>('Water Heaters Purchased'!R6*'Capital Cost'!$E5)/1000000</f>
        <v>4.7140185829551216E-5</v>
      </c>
      <c r="S22" s="120">
        <f>('Water Heaters Purchased'!S6*'Capital Cost'!$E5)/1000000</f>
        <v>4.6690596835778507E-5</v>
      </c>
      <c r="T22" s="120">
        <f>('Water Heaters Purchased'!T6*'Capital Cost'!$E5)/1000000</f>
        <v>4.6247833895109221E-5</v>
      </c>
      <c r="U22" s="120">
        <f>('Water Heaters Purchased'!U6*'Capital Cost'!$E5)/1000000</f>
        <v>4.5811805519063363E-5</v>
      </c>
      <c r="V22" s="120">
        <f>('Water Heaters Purchased'!V6*'Capital Cost'!$E5)/1000000</f>
        <v>4.5382421077511868E-5</v>
      </c>
      <c r="W22" s="120">
        <f>('Water Heaters Purchased'!W6*'Capital Cost'!$E5)/1000000</f>
        <v>4.4959590806039454E-5</v>
      </c>
    </row>
    <row r="23" spans="1:23">
      <c r="A23" s="9" t="str">
        <f>'Water Heaters Purchased'!A7</f>
        <v>HPWH</v>
      </c>
      <c r="B23" s="120">
        <f>('Water Heaters Purchased'!B7*'Capital Cost'!$E6)/1000000</f>
        <v>0</v>
      </c>
      <c r="C23" s="120">
        <f>('Water Heaters Purchased'!C7*'Capital Cost'!$E6)/1000000</f>
        <v>3.8007668583680796</v>
      </c>
      <c r="D23" s="120">
        <f>('Water Heaters Purchased'!D7*'Capital Cost'!$E6)/1000000</f>
        <v>3.7991613039468781</v>
      </c>
      <c r="E23" s="120">
        <f>('Water Heaters Purchased'!E7*'Capital Cost'!$E6)/1000000</f>
        <v>3.7975864466568283</v>
      </c>
      <c r="F23" s="120">
        <f>('Water Heaters Purchased'!F7*'Capital Cost'!$E6)/1000000</f>
        <v>3.7960427247546682</v>
      </c>
      <c r="G23" s="120">
        <f>('Water Heaters Purchased'!G7*'Capital Cost'!$E6)/1000000</f>
        <v>3.794530573474133</v>
      </c>
      <c r="H23" s="120">
        <f>('Water Heaters Purchased'!H7*'Capital Cost'!$E6)/1000000</f>
        <v>3.7930504249157142</v>
      </c>
      <c r="I23" s="120">
        <f>('Water Heaters Purchased'!I7*'Capital Cost'!$E6)/1000000</f>
        <v>3.7916027079378467</v>
      </c>
      <c r="J23" s="120">
        <f>('Water Heaters Purchased'!J7*'Capital Cost'!$E6)/1000000</f>
        <v>3.7901878480496256</v>
      </c>
      <c r="K23" s="120">
        <f>('Water Heaters Purchased'!K7*'Capital Cost'!$E6)/1000000</f>
        <v>3.7888062673050018</v>
      </c>
      <c r="L23" s="120">
        <f>('Water Heaters Purchased'!L7*'Capital Cost'!$E6)/1000000</f>
        <v>3.787458384198521</v>
      </c>
      <c r="M23" s="120">
        <f>('Water Heaters Purchased'!M7*'Capital Cost'!$E6)/1000000</f>
        <v>3.7861446135626076</v>
      </c>
      <c r="N23" s="120">
        <f>('Water Heaters Purchased'!N7*'Capital Cost'!$E6)/1000000</f>
        <v>3.7848653664663905</v>
      </c>
      <c r="O23" s="120">
        <f>('Water Heaters Purchased'!O7*'Capital Cost'!$E6)/1000000</f>
        <v>3.7836210501160856</v>
      </c>
      <c r="P23" s="120">
        <f>('Water Heaters Purchased'!P7*'Capital Cost'!$E6)/1000000</f>
        <v>3.7824120677569466</v>
      </c>
      <c r="Q23" s="120">
        <f>('Water Heaters Purchased'!Q7*'Capital Cost'!$E6)/1000000</f>
        <v>3.78123881857679</v>
      </c>
      <c r="R23" s="120">
        <f>('Water Heaters Purchased'!R7*'Capital Cost'!$E6)/1000000</f>
        <v>3.7801016976110606</v>
      </c>
      <c r="S23" s="120">
        <f>('Water Heaters Purchased'!S7*'Capital Cost'!$E6)/1000000</f>
        <v>3.779001095649491</v>
      </c>
      <c r="T23" s="120">
        <f>('Water Heaters Purchased'!T7*'Capital Cost'!$E6)/1000000</f>
        <v>3.7779373991442871</v>
      </c>
      <c r="U23" s="120">
        <f>('Water Heaters Purchased'!U7*'Capital Cost'!$E6)/1000000</f>
        <v>3.7769109901198981</v>
      </c>
      <c r="V23" s="120">
        <f>('Water Heaters Purchased'!V7*'Capital Cost'!$E6)/1000000</f>
        <v>3.7759222460842952</v>
      </c>
      <c r="W23" s="120">
        <f>('Water Heaters Purchased'!W7*'Capital Cost'!$E6)/1000000</f>
        <v>3.7749715399418129</v>
      </c>
    </row>
    <row r="24" spans="1:23">
      <c r="A24" s="9" t="str">
        <f>'Water Heaters Purchased'!A8</f>
        <v>Gas Tank</v>
      </c>
      <c r="B24" s="120">
        <f>('Water Heaters Purchased'!B8*'Capital Cost'!$E7)/1000000</f>
        <v>0</v>
      </c>
      <c r="C24" s="120">
        <f>('Water Heaters Purchased'!C8*'Capital Cost'!$E7)/1000000</f>
        <v>1.0542509630485065E-4</v>
      </c>
      <c r="D24" s="120">
        <f>('Water Heaters Purchased'!D8*'Capital Cost'!$E7)/1000000</f>
        <v>1.0437605692156047E-4</v>
      </c>
      <c r="E24" s="120">
        <f>('Water Heaters Purchased'!E8*'Capital Cost'!$E7)/1000000</f>
        <v>1.0333711353613517E-4</v>
      </c>
      <c r="F24" s="120">
        <f>('Water Heaters Purchased'!F8*'Capital Cost'!$E7)/1000000</f>
        <v>1.023082544417856E-4</v>
      </c>
      <c r="G24" s="120">
        <f>('Water Heaters Purchased'!G8*'Capital Cost'!$E7)/1000000</f>
        <v>1.012894652150688E-4</v>
      </c>
      <c r="H24" s="120">
        <f>('Water Heaters Purchased'!H8*'Capital Cost'!$E7)/1000000</f>
        <v>1.0028072877614186E-4</v>
      </c>
      <c r="I24" s="120">
        <f>('Water Heaters Purchased'!I8*'Capital Cost'!$E7)/1000000</f>
        <v>9.9282025449669366E-5</v>
      </c>
      <c r="J24" s="120">
        <f>('Water Heaters Purchased'!J8*'Capital Cost'!$E7)/1000000</f>
        <v>9.8293333026303097E-5</v>
      </c>
      <c r="K24" s="120">
        <f>('Water Heaters Purchased'!K8*'Capital Cost'!$E7)/1000000</f>
        <v>9.7314626824655397E-5</v>
      </c>
      <c r="L24" s="120">
        <f>('Water Heaters Purchased'!L8*'Capital Cost'!$E7)/1000000</f>
        <v>9.6345879753686878E-5</v>
      </c>
      <c r="M24" s="120">
        <f>('Water Heaters Purchased'!M8*'Capital Cost'!$E7)/1000000</f>
        <v>9.5387062375432849E-5</v>
      </c>
      <c r="N24" s="120">
        <f>('Water Heaters Purchased'!N8*'Capital Cost'!$E7)/1000000</f>
        <v>9.4438142967992797E-5</v>
      </c>
      <c r="O24" s="120">
        <f>('Water Heaters Purchased'!O8*'Capital Cost'!$E7)/1000000</f>
        <v>9.3499087588710963E-5</v>
      </c>
      <c r="P24" s="120">
        <f>('Water Heaters Purchased'!P8*'Capital Cost'!$E7)/1000000</f>
        <v>9.2569860137475094E-5</v>
      </c>
      <c r="Q24" s="120">
        <f>('Water Heaters Purchased'!Q8*'Capital Cost'!$E7)/1000000</f>
        <v>9.1650422420066298E-5</v>
      </c>
      <c r="R24" s="120">
        <f>('Water Heaters Purchased'!R8*'Capital Cost'!$E7)/1000000</f>
        <v>9.0740734211491818E-5</v>
      </c>
      <c r="S24" s="120">
        <f>('Water Heaters Purchased'!S8*'Capital Cost'!$E7)/1000000</f>
        <v>8.9840753319234568E-5</v>
      </c>
      <c r="T24" s="120">
        <f>('Water Heaters Purchased'!T8*'Capital Cost'!$E7)/1000000</f>
        <v>8.8950435646358798E-5</v>
      </c>
      <c r="U24" s="120">
        <f>('Water Heaters Purchased'!U8*'Capital Cost'!$E7)/1000000</f>
        <v>8.8069735254408355E-5</v>
      </c>
      <c r="V24" s="120">
        <f>('Water Heaters Purchased'!V8*'Capital Cost'!$E7)/1000000</f>
        <v>8.7198604426041743E-5</v>
      </c>
      <c r="W24" s="120">
        <f>('Water Heaters Purchased'!W8*'Capital Cost'!$E7)/1000000</f>
        <v>8.6336993727343707E-5</v>
      </c>
    </row>
    <row r="25" spans="1:23">
      <c r="A25" s="9" t="str">
        <f>'Water Heaters Purchased'!A9</f>
        <v>Instant Gas</v>
      </c>
      <c r="B25" s="120">
        <f>('Water Heaters Purchased'!B9*'Capital Cost'!$E8)/1000000</f>
        <v>0</v>
      </c>
      <c r="C25" s="120">
        <f>('Water Heaters Purchased'!C9*'Capital Cost'!$E8)/1000000</f>
        <v>2.0459654433236931</v>
      </c>
      <c r="D25" s="120">
        <f>('Water Heaters Purchased'!D9*'Capital Cost'!$E8)/1000000</f>
        <v>2.0539577056738043</v>
      </c>
      <c r="E25" s="120">
        <f>('Water Heaters Purchased'!E9*'Capital Cost'!$E8)/1000000</f>
        <v>2.0619768148022648</v>
      </c>
      <c r="F25" s="120">
        <f>('Water Heaters Purchased'!F9*'Capital Cost'!$E8)/1000000</f>
        <v>2.0700218357071405</v>
      </c>
      <c r="G25" s="120">
        <f>('Water Heaters Purchased'!G9*'Capital Cost'!$E8)/1000000</f>
        <v>2.0780918120029268</v>
      </c>
      <c r="H25" s="120">
        <f>('Water Heaters Purchased'!H9*'Capital Cost'!$E8)/1000000</f>
        <v>2.0861857660282208</v>
      </c>
      <c r="I25" s="120">
        <f>('Water Heaters Purchased'!I9*'Capital Cost'!$E8)/1000000</f>
        <v>2.0943026989710636</v>
      </c>
      <c r="J25" s="120">
        <f>('Water Heaters Purchased'!J9*'Capital Cost'!$E8)/1000000</f>
        <v>2.1024415910121879</v>
      </c>
      <c r="K25" s="120">
        <f>('Water Heaters Purchased'!K9*'Capital Cost'!$E8)/1000000</f>
        <v>2.1106014014864121</v>
      </c>
      <c r="L25" s="120">
        <f>('Water Heaters Purchased'!L9*'Capital Cost'!$E8)/1000000</f>
        <v>2.1187810690623405</v>
      </c>
      <c r="M25" s="120">
        <f>('Water Heaters Purchased'!M9*'Capital Cost'!$E8)/1000000</f>
        <v>2.1269795119405761</v>
      </c>
      <c r="N25" s="120">
        <f>('Water Heaters Purchased'!N9*'Capital Cost'!$E8)/1000000</f>
        <v>2.1351956280705737</v>
      </c>
      <c r="O25" s="120">
        <f>('Water Heaters Purchased'!O9*'Capital Cost'!$E8)/1000000</f>
        <v>2.143428295386296</v>
      </c>
      <c r="P25" s="120">
        <f>('Water Heaters Purchased'!P9*'Capital Cost'!$E8)/1000000</f>
        <v>2.151676372060725</v>
      </c>
      <c r="Q25" s="120">
        <f>('Water Heaters Purchased'!Q9*'Capital Cost'!$E8)/1000000</f>
        <v>2.1599386967793741</v>
      </c>
      <c r="R25" s="120">
        <f>('Water Heaters Purchased'!R9*'Capital Cost'!$E8)/1000000</f>
        <v>2.1682140890327921</v>
      </c>
      <c r="S25" s="120">
        <f>('Water Heaters Purchased'!S9*'Capital Cost'!$E8)/1000000</f>
        <v>2.1765013494281438</v>
      </c>
      <c r="T25" s="120">
        <f>('Water Heaters Purchased'!T9*'Capital Cost'!$E8)/1000000</f>
        <v>2.1847992600198216</v>
      </c>
      <c r="U25" s="120">
        <f>('Water Heaters Purchased'!U9*'Capital Cost'!$E8)/1000000</f>
        <v>2.1931065846591062</v>
      </c>
      <c r="V25" s="120">
        <f>('Water Heaters Purchased'!V9*'Capital Cost'!$E8)/1000000</f>
        <v>2.201422069362784</v>
      </c>
      <c r="W25" s="120">
        <f>('Water Heaters Purchased'!W9*'Capital Cost'!$E8)/1000000</f>
        <v>2.2097444427006701</v>
      </c>
    </row>
    <row r="26" spans="1:23">
      <c r="A26" s="9" t="str">
        <f>'Water Heaters Purchased'!A10</f>
        <v>Condensing Gas</v>
      </c>
      <c r="B26" s="120">
        <f>('Water Heaters Purchased'!B10*'Capital Cost'!$E9)/1000000</f>
        <v>0</v>
      </c>
      <c r="C26" s="120">
        <f>('Water Heaters Purchased'!C10*'Capital Cost'!$E9)/1000000</f>
        <v>2.9156783870529632</v>
      </c>
      <c r="D26" s="120">
        <f>('Water Heaters Purchased'!D10*'Capital Cost'!$E9)/1000000</f>
        <v>2.9129108239850892</v>
      </c>
      <c r="E26" s="120">
        <f>('Water Heaters Purchased'!E10*'Capital Cost'!$E9)/1000000</f>
        <v>2.9100829237107568</v>
      </c>
      <c r="F26" s="120">
        <f>('Water Heaters Purchased'!F10*'Capital Cost'!$E9)/1000000</f>
        <v>2.9071946574205199</v>
      </c>
      <c r="G26" s="120">
        <f>('Water Heaters Purchased'!G10*'Capital Cost'!$E9)/1000000</f>
        <v>2.9042460140639541</v>
      </c>
      <c r="H26" s="120">
        <f>('Water Heaters Purchased'!H10*'Capital Cost'!$E9)/1000000</f>
        <v>2.9012370004371917</v>
      </c>
      <c r="I26" s="120">
        <f>('Water Heaters Purchased'!I10*'Capital Cost'!$E9)/1000000</f>
        <v>2.8981676412572623</v>
      </c>
      <c r="J26" s="120">
        <f>('Water Heaters Purchased'!J10*'Capital Cost'!$E9)/1000000</f>
        <v>2.895037979222999</v>
      </c>
      <c r="K26" s="120">
        <f>('Water Heaters Purchased'!K10*'Capital Cost'!$E9)/1000000</f>
        <v>2.8918480750624198</v>
      </c>
      <c r="L26" s="120">
        <f>('Water Heaters Purchased'!L10*'Capital Cost'!$E9)/1000000</f>
        <v>2.8885980075663689</v>
      </c>
      <c r="M26" s="120">
        <f>('Water Heaters Purchased'!M10*'Capital Cost'!$E9)/1000000</f>
        <v>2.885287873608338</v>
      </c>
      <c r="N26" s="120">
        <f>('Water Heaters Purchased'!N10*'Capital Cost'!$E9)/1000000</f>
        <v>2.8819177881503193</v>
      </c>
      <c r="O26" s="120">
        <f>('Water Heaters Purchased'!O10*'Capital Cost'!$E9)/1000000</f>
        <v>2.8784878842346391</v>
      </c>
      <c r="P26" s="120">
        <f>('Water Heaters Purchased'!P10*'Capital Cost'!$E9)/1000000</f>
        <v>2.8749983129616568</v>
      </c>
      <c r="Q26" s="120">
        <f>('Water Heaters Purchased'!Q10*'Capital Cost'!$E9)/1000000</f>
        <v>2.8714492434533048</v>
      </c>
      <c r="R26" s="120">
        <f>('Water Heaters Purchased'!R10*'Capital Cost'!$E9)/1000000</f>
        <v>2.8678408628024226</v>
      </c>
      <c r="S26" s="120">
        <f>('Water Heaters Purchased'!S10*'Capital Cost'!$E9)/1000000</f>
        <v>2.864173376007884</v>
      </c>
      <c r="T26" s="120">
        <f>('Water Heaters Purchased'!T10*'Capital Cost'!$E9)/1000000</f>
        <v>2.8604470058954914</v>
      </c>
      <c r="U26" s="120">
        <f>('Water Heaters Purchased'!U10*'Capital Cost'!$E9)/1000000</f>
        <v>2.8566619930246993</v>
      </c>
      <c r="V26" s="120">
        <f>('Water Heaters Purchased'!V10*'Capital Cost'!$E9)/1000000</f>
        <v>2.8528185955812062</v>
      </c>
      <c r="W26" s="120">
        <f>('Water Heaters Purchased'!W10*'Capital Cost'!$E9)/1000000</f>
        <v>2.848917089255445</v>
      </c>
    </row>
    <row r="27" spans="1:23">
      <c r="A27" s="12"/>
    </row>
    <row r="28" spans="1:23">
      <c r="A28" s="12" t="s">
        <v>112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7" t="s">
        <v>44</v>
      </c>
      <c r="B30" s="126">
        <f t="shared" ref="B30:W30" si="8">SUM(B31:B35)</f>
        <v>0.2581404299613369</v>
      </c>
      <c r="C30" s="126">
        <f t="shared" si="8"/>
        <v>0.32468650528332887</v>
      </c>
      <c r="D30" s="126">
        <f t="shared" si="8"/>
        <v>0.38661165853858681</v>
      </c>
      <c r="E30" s="126">
        <f t="shared" si="8"/>
        <v>0.44424625565804582</v>
      </c>
      <c r="F30" s="126">
        <f t="shared" si="8"/>
        <v>0.49789704852275674</v>
      </c>
      <c r="G30" s="126">
        <f t="shared" si="8"/>
        <v>0.54784886135688016</v>
      </c>
      <c r="H30" s="126">
        <f t="shared" si="8"/>
        <v>0.59436615666617687</v>
      </c>
      <c r="I30" s="126">
        <f t="shared" si="8"/>
        <v>0.63769448932615624</v>
      </c>
      <c r="J30" s="126">
        <f t="shared" si="8"/>
        <v>0.67806185680947295</v>
      </c>
      <c r="K30" s="126">
        <f t="shared" si="8"/>
        <v>0.7156799529714748</v>
      </c>
      <c r="L30" s="126">
        <f t="shared" si="8"/>
        <v>0.75074533228288709</v>
      </c>
      <c r="M30" s="126">
        <f t="shared" si="8"/>
        <v>0.78344049090655488</v>
      </c>
      <c r="N30" s="126">
        <f t="shared" si="8"/>
        <v>0.81393487055823599</v>
      </c>
      <c r="O30" s="126">
        <f t="shared" si="8"/>
        <v>0.84238579066716657</v>
      </c>
      <c r="P30" s="126">
        <f t="shared" si="8"/>
        <v>0.86893931395812773</v>
      </c>
      <c r="Q30" s="126">
        <f t="shared" si="8"/>
        <v>0.89373105021091881</v>
      </c>
      <c r="R30" s="126">
        <f t="shared" si="8"/>
        <v>0.91688690261342698</v>
      </c>
      <c r="S30" s="126">
        <f t="shared" si="8"/>
        <v>0.93852376080904643</v>
      </c>
      <c r="T30" s="126">
        <f t="shared" si="8"/>
        <v>0.95875014444628548</v>
      </c>
      <c r="U30" s="126">
        <f t="shared" si="8"/>
        <v>0.97766680076641599</v>
      </c>
      <c r="V30" s="126">
        <f t="shared" si="8"/>
        <v>0.99536725951245208</v>
      </c>
      <c r="W30" s="126">
        <f t="shared" si="8"/>
        <v>1.0119383482082296</v>
      </c>
    </row>
    <row r="31" spans="1:23" ht="16.5" thickTop="1">
      <c r="A31" s="9" t="str">
        <f>'Energy Usage'!A18</f>
        <v>Electric Resistance</v>
      </c>
      <c r="B31" s="120">
        <f>'Water Heater Stock'!B6*'O&amp;M Cost'!$D5/1000000</f>
        <v>0.2581404299613369</v>
      </c>
      <c r="C31" s="120">
        <f>'Water Heater Stock'!C6*'O&amp;M Cost'!$D5/1000000</f>
        <v>0.23970221972966002</v>
      </c>
      <c r="D31" s="120">
        <f>'Water Heater Stock'!D6*'O&amp;M Cost'!$D5/1000000</f>
        <v>0.22258102048215544</v>
      </c>
      <c r="E31" s="120">
        <f>'Water Heater Stock'!E6*'O&amp;M Cost'!$D5/1000000</f>
        <v>0.20668276006501876</v>
      </c>
      <c r="F31" s="120">
        <f>'Water Heater Stock'!F6*'O&amp;M Cost'!$D5/1000000</f>
        <v>0.19192008576326622</v>
      </c>
      <c r="G31" s="120">
        <f>'Water Heater Stock'!G6*'O&amp;M Cost'!$D5/1000000</f>
        <v>0.17821188434082372</v>
      </c>
      <c r="H31" s="120">
        <f>'Water Heater Stock'!H6*'O&amp;M Cost'!$D5/1000000</f>
        <v>0.16548283636346667</v>
      </c>
      <c r="I31" s="120">
        <f>'Water Heater Stock'!I6*'O&amp;M Cost'!$D5/1000000</f>
        <v>0.15366300235583555</v>
      </c>
      <c r="J31" s="120">
        <f>'Water Heater Stock'!J6*'O&amp;M Cost'!$D5/1000000</f>
        <v>0.14268743851866511</v>
      </c>
      <c r="K31" s="120">
        <f>'Water Heater Stock'!K6*'O&amp;M Cost'!$D5/1000000</f>
        <v>0.13249583989478267</v>
      </c>
      <c r="L31" s="120">
        <f>'Water Heater Stock'!L6*'O&amp;M Cost'!$D5/1000000</f>
        <v>0.12303220902324977</v>
      </c>
      <c r="M31" s="120">
        <f>'Water Heater Stock'!M6*'O&amp;M Cost'!$D5/1000000</f>
        <v>0.11424454826106516</v>
      </c>
      <c r="N31" s="120">
        <f>'Water Heater Stock'!N6*'O&amp;M Cost'!$D5/1000000</f>
        <v>0.10608457408188895</v>
      </c>
      <c r="O31" s="120">
        <f>'Water Heater Stock'!O6*'O&amp;M Cost'!$D5/1000000</f>
        <v>9.8507451782001279E-2</v>
      </c>
      <c r="P31" s="120">
        <f>'Water Heater Stock'!P6*'O&amp;M Cost'!$D5/1000000</f>
        <v>9.1471549135834912E-2</v>
      </c>
      <c r="Q31" s="120">
        <f>'Water Heater Stock'!Q6*'O&amp;M Cost'!$D5/1000000</f>
        <v>8.4938207647541633E-2</v>
      </c>
      <c r="R31" s="120">
        <f>'Water Heater Stock'!R6*'O&amp;M Cost'!$D5/1000000</f>
        <v>7.8871530141732607E-2</v>
      </c>
      <c r="S31" s="120">
        <f>'Water Heater Stock'!S6*'O&amp;M Cost'!$D5/1000000</f>
        <v>7.3238183526308454E-2</v>
      </c>
      <c r="T31" s="120">
        <f>'Water Heater Stock'!T6*'O&amp;M Cost'!$D5/1000000</f>
        <v>6.8007215643659066E-2</v>
      </c>
      <c r="U31" s="120">
        <f>'Water Heater Stock'!U6*'O&amp;M Cost'!$D5/1000000</f>
        <v>6.3149885203920356E-2</v>
      </c>
      <c r="V31" s="120">
        <f>'Water Heater Stock'!V6*'O&amp;M Cost'!$D5/1000000</f>
        <v>5.8639503865855723E-2</v>
      </c>
      <c r="W31" s="120">
        <f>'Water Heater Stock'!W6*'O&amp;M Cost'!$D5/1000000</f>
        <v>5.4451289597674542E-2</v>
      </c>
    </row>
    <row r="32" spans="1:23">
      <c r="A32" s="9" t="str">
        <f>'Energy Usage'!A19</f>
        <v>HPWH</v>
      </c>
      <c r="B32" s="120">
        <f>'Water Heater Stock'!B7*'O&amp;M Cost'!$D6/1000000</f>
        <v>0</v>
      </c>
      <c r="C32" s="120">
        <f>'Water Heater Stock'!C7*'O&amp;M Cost'!$D6/1000000</f>
        <v>2.2892611760897554E-2</v>
      </c>
      <c r="D32" s="120">
        <f>'Water Heater Stock'!D7*'O&amp;M Cost'!$D6/1000000</f>
        <v>4.4140366462677376E-2</v>
      </c>
      <c r="E32" s="120">
        <f>'Water Heater Stock'!E7*'O&amp;M Cost'!$D6/1000000</f>
        <v>6.3860938788886559E-2</v>
      </c>
      <c r="F32" s="120">
        <f>'Water Heater Stock'!F7*'O&amp;M Cost'!$D6/1000000</f>
        <v>8.2163600728221819E-2</v>
      </c>
      <c r="G32" s="120">
        <f>'Water Heater Stock'!G7*'O&amp;M Cost'!$D6/1000000</f>
        <v>9.914982174881079E-2</v>
      </c>
      <c r="H32" s="120">
        <f>'Water Heater Stock'!H7*'O&amp;M Cost'!$D6/1000000</f>
        <v>0.11491382610223783</v>
      </c>
      <c r="I32" s="120">
        <f>'Water Heater Stock'!I7*'O&amp;M Cost'!$D6/1000000</f>
        <v>0.12954311031948393</v>
      </c>
      <c r="J32" s="120">
        <f>'Water Heater Stock'!J7*'O&amp;M Cost'!$D6/1000000</f>
        <v>0.14311892374222487</v>
      </c>
      <c r="K32" s="120">
        <f>'Water Heater Stock'!K7*'O&amp;M Cost'!$D6/1000000</f>
        <v>0.15571671472982773</v>
      </c>
      <c r="L32" s="120">
        <f>'Water Heater Stock'!L7*'O&amp;M Cost'!$D6/1000000</f>
        <v>0.1674065449937914</v>
      </c>
      <c r="M32" s="120">
        <f>'Water Heater Stock'!M7*'O&amp;M Cost'!$D6/1000000</f>
        <v>0.17825347433625088</v>
      </c>
      <c r="N32" s="120">
        <f>'Water Heater Stock'!N7*'O&amp;M Cost'!$D6/1000000</f>
        <v>0.18831791790655086</v>
      </c>
      <c r="O32" s="120">
        <f>'Water Heater Stock'!O7*'O&amp;M Cost'!$D6/1000000</f>
        <v>0.19765597793889214</v>
      </c>
      <c r="P32" s="120">
        <f>'Water Heater Stock'!P7*'O&amp;M Cost'!$D6/1000000</f>
        <v>0.20631975179384171</v>
      </c>
      <c r="Q32" s="120">
        <f>'Water Heater Stock'!Q7*'O&amp;M Cost'!$D6/1000000</f>
        <v>0.21435761799629663</v>
      </c>
      <c r="R32" s="120">
        <f>'Water Heater Stock'!R7*'O&amp;M Cost'!$D6/1000000</f>
        <v>0.22181450184159276</v>
      </c>
      <c r="S32" s="120">
        <f>'Water Heater Stock'!S7*'O&amp;M Cost'!$D6/1000000</f>
        <v>0.22873212202918675</v>
      </c>
      <c r="T32" s="120">
        <f>'Water Heater Stock'!T7*'O&amp;M Cost'!$D6/1000000</f>
        <v>0.23514921967909305</v>
      </c>
      <c r="U32" s="120">
        <f>'Water Heater Stock'!U7*'O&amp;M Cost'!$D6/1000000</f>
        <v>0.24110177098946081</v>
      </c>
      <c r="V32" s="120">
        <f>'Water Heater Stock'!V7*'O&amp;M Cost'!$D6/1000000</f>
        <v>0.24662318470378933</v>
      </c>
      <c r="W32" s="120">
        <f>'Water Heater Stock'!W7*'O&amp;M Cost'!$D6/1000000</f>
        <v>0.25174448547281758</v>
      </c>
    </row>
    <row r="33" spans="1:23">
      <c r="A33" s="44" t="str">
        <f>'Energy Usage'!A20</f>
        <v>Gas Tank</v>
      </c>
      <c r="B33" s="120">
        <f>'Water Heater Stock'!B8*'O&amp;M Cost'!$D7/1000000</f>
        <v>0</v>
      </c>
      <c r="C33" s="120">
        <f>'Water Heater Stock'!C8*'O&amp;M Cost'!$D7/1000000</f>
        <v>1.8889189917381742E-6</v>
      </c>
      <c r="D33" s="120">
        <f>'Water Heater Stock'!D8*'O&amp;M Cost'!$D7/1000000</f>
        <v>3.6241193851764747E-6</v>
      </c>
      <c r="E33" s="120">
        <f>'Water Heater Stock'!E8*'O&amp;M Cost'!$D7/1000000</f>
        <v>5.216761971867039E-6</v>
      </c>
      <c r="F33" s="120">
        <f>'Water Heater Stock'!F8*'O&amp;M Cost'!$D7/1000000</f>
        <v>6.6772101342129372E-6</v>
      </c>
      <c r="G33" s="120">
        <f>'Water Heater Stock'!G8*'O&amp;M Cost'!$D7/1000000</f>
        <v>8.0150867545897896E-6</v>
      </c>
      <c r="H33" s="120">
        <f>'Water Heater Stock'!H8*'O&amp;M Cost'!$D7/1000000</f>
        <v>9.2393270606097156E-6</v>
      </c>
      <c r="I33" s="120">
        <f>'Water Heater Stock'!I8*'O&amp;M Cost'!$D7/1000000</f>
        <v>1.0358227696814851E-5</v>
      </c>
      <c r="J33" s="120">
        <f>'Water Heater Stock'!J8*'O&amp;M Cost'!$D7/1000000</f>
        <v>1.1379492292351456E-5</v>
      </c>
      <c r="K33" s="120">
        <f>'Water Heater Stock'!K8*'O&amp;M Cost'!$D7/1000000</f>
        <v>1.2310273774920515E-5</v>
      </c>
      <c r="L33" s="120">
        <f>'Water Heater Stock'!L8*'O&amp;M Cost'!$D7/1000000</f>
        <v>1.3157213663421155E-5</v>
      </c>
      <c r="M33" s="120">
        <f>'Water Heater Stock'!M8*'O&amp;M Cost'!$D7/1000000</f>
        <v>1.3926478555100499E-5</v>
      </c>
      <c r="N33" s="120">
        <f>'Water Heater Stock'!N8*'O&amp;M Cost'!$D7/1000000</f>
        <v>1.4623794007607166E-5</v>
      </c>
      <c r="O33" s="120">
        <f>'Water Heater Stock'!O8*'O&amp;M Cost'!$D7/1000000</f>
        <v>1.5254476002030096E-5</v>
      </c>
      <c r="P33" s="120">
        <f>'Water Heater Stock'!P8*'O&amp;M Cost'!$D7/1000000</f>
        <v>1.5823460159711578E-5</v>
      </c>
      <c r="Q33" s="120">
        <f>'Water Heater Stock'!Q8*'O&amp;M Cost'!$D7/1000000</f>
        <v>1.633532887328015E-5</v>
      </c>
      <c r="R33" s="120">
        <f>'Water Heater Stock'!R8*'O&amp;M Cost'!$D7/1000000</f>
        <v>1.6794336500887266E-5</v>
      </c>
      <c r="S33" s="120">
        <f>'Water Heater Stock'!S8*'O&amp;M Cost'!$D7/1000000</f>
        <v>1.7204432761988927E-5</v>
      </c>
      <c r="T33" s="120">
        <f>'Water Heater Stock'!T8*'O&amp;M Cost'!$D7/1000000</f>
        <v>1.7569284463130718E-5</v>
      </c>
      <c r="U33" s="120">
        <f>'Water Heater Stock'!U8*'O&amp;M Cost'!$D7/1000000</f>
        <v>1.7892295673018012E-5</v>
      </c>
      <c r="V33" s="120">
        <f>'Water Heater Stock'!V8*'O&amp;M Cost'!$D7/1000000</f>
        <v>1.8176626457631955E-5</v>
      </c>
      <c r="W33" s="120">
        <f>'Water Heater Stock'!W8*'O&amp;M Cost'!$D7/1000000</f>
        <v>1.8425210278239354E-5</v>
      </c>
    </row>
    <row r="34" spans="1:23">
      <c r="A34" s="43" t="str">
        <f>'Energy Usage'!A21</f>
        <v>Instant Gas</v>
      </c>
      <c r="B34" s="120">
        <f>'Water Heater Stock'!B9*'O&amp;M Cost'!$D8/1000000</f>
        <v>0</v>
      </c>
      <c r="C34" s="120">
        <f>'Water Heater Stock'!C9*'O&amp;M Cost'!$D8/1000000</f>
        <v>4.1395493102417379E-2</v>
      </c>
      <c r="D34" s="120">
        <f>'Water Heater Stock'!D9*'O&amp;M Cost'!$D8/1000000</f>
        <v>7.9995870659459817E-2</v>
      </c>
      <c r="E34" s="120">
        <f>'Water Heater Stock'!E9*'O&amp;M Cost'!$D8/1000000</f>
        <v>0.11600132696547927</v>
      </c>
      <c r="F34" s="120">
        <f>'Water Heater Stock'!F9*'O&amp;M Cost'!$D8/1000000</f>
        <v>0.14959773780472013</v>
      </c>
      <c r="G34" s="120">
        <f>'Water Heater Stock'!G9*'O&amp;M Cost'!$D8/1000000</f>
        <v>0.18095768276939281</v>
      </c>
      <c r="H34" s="120">
        <f>'Water Heater Stock'!H9*'O&amp;M Cost'!$D8/1000000</f>
        <v>0.21024139455720653</v>
      </c>
      <c r="I34" s="120">
        <f>'Water Heater Stock'!I9*'O&amp;M Cost'!$D8/1000000</f>
        <v>0.23759764046447129</v>
      </c>
      <c r="J34" s="120">
        <f>'Water Heater Stock'!J9*'O&amp;M Cost'!$D8/1000000</f>
        <v>0.26316454091830505</v>
      </c>
      <c r="K34" s="120">
        <f>'Water Heater Stock'!K9*'O&amp;M Cost'!$D8/1000000</f>
        <v>0.28707032954552059</v>
      </c>
      <c r="L34" s="120">
        <f>'Water Heater Stock'!L9*'O&amp;M Cost'!$D8/1000000</f>
        <v>0.30943405895451276</v>
      </c>
      <c r="M34" s="120">
        <f>'Water Heater Stock'!M9*'O&amp;M Cost'!$D8/1000000</f>
        <v>0.33036625610816484</v>
      </c>
      <c r="N34" s="120">
        <f>'Water Heater Stock'!N9*'O&amp;M Cost'!$D8/1000000</f>
        <v>0.3499695308887914</v>
      </c>
      <c r="O34" s="120">
        <f>'Water Heater Stock'!O9*'O&amp;M Cost'!$D8/1000000</f>
        <v>0.36833914119892508</v>
      </c>
      <c r="P34" s="120">
        <f>'Water Heater Stock'!P9*'O&amp;M Cost'!$D8/1000000</f>
        <v>0.38556351770291059</v>
      </c>
      <c r="Q34" s="120">
        <f>'Water Heater Stock'!Q9*'O&amp;M Cost'!$D8/1000000</f>
        <v>0.4017247510924904</v>
      </c>
      <c r="R34" s="120">
        <f>'Water Heater Stock'!R9*'O&amp;M Cost'!$D8/1000000</f>
        <v>0.41689904455362398</v>
      </c>
      <c r="S34" s="120">
        <f>'Water Heater Stock'!S9*'O&amp;M Cost'!$D8/1000000</f>
        <v>0.43115713392055227</v>
      </c>
      <c r="T34" s="120">
        <f>'Water Heater Stock'!T9*'O&amp;M Cost'!$D8/1000000</f>
        <v>0.44456467782554704</v>
      </c>
      <c r="U34" s="120">
        <f>'Water Heater Stock'!U9*'O&amp;M Cost'!$D8/1000000</f>
        <v>0.45718261998789567</v>
      </c>
      <c r="V34" s="120">
        <f>'Water Heater Stock'!V9*'O&amp;M Cost'!$D8/1000000</f>
        <v>0.46906752563255882</v>
      </c>
      <c r="W34" s="120">
        <f>'Water Heater Stock'!W9*'O&amp;M Cost'!$D8/1000000</f>
        <v>0.48027189388676572</v>
      </c>
    </row>
    <row r="35" spans="1:23">
      <c r="A35" s="44" t="str">
        <f>'Energy Usage'!A22</f>
        <v>Condensing Gas</v>
      </c>
      <c r="B35" s="120">
        <f>'Water Heater Stock'!B10*'O&amp;M Cost'!$D9/1000000</f>
        <v>0</v>
      </c>
      <c r="C35" s="120">
        <f>'Water Heater Stock'!C10*'O&amp;M Cost'!$D9/1000000</f>
        <v>2.0694291771362252E-2</v>
      </c>
      <c r="D35" s="120">
        <f>'Water Heater Stock'!D10*'O&amp;M Cost'!$D9/1000000</f>
        <v>3.9890776814908963E-2</v>
      </c>
      <c r="E35" s="120">
        <f>'Water Heater Stock'!E10*'O&amp;M Cost'!$D9/1000000</f>
        <v>5.7696013076689354E-2</v>
      </c>
      <c r="F35" s="120">
        <f>'Water Heater Stock'!F10*'O&amp;M Cost'!$D9/1000000</f>
        <v>7.4208947016414339E-2</v>
      </c>
      <c r="G35" s="120">
        <f>'Water Heater Stock'!G10*'O&amp;M Cost'!$D9/1000000</f>
        <v>8.9521457411098349E-2</v>
      </c>
      <c r="H35" s="120">
        <f>'Water Heater Stock'!H10*'O&amp;M Cost'!$D9/1000000</f>
        <v>0.10371886031620529</v>
      </c>
      <c r="I35" s="120">
        <f>'Water Heater Stock'!I10*'O&amp;M Cost'!$D9/1000000</f>
        <v>0.11688037795866867</v>
      </c>
      <c r="J35" s="120">
        <f>'Water Heater Stock'!J10*'O&amp;M Cost'!$D9/1000000</f>
        <v>0.1290795741379856</v>
      </c>
      <c r="K35" s="120">
        <f>'Water Heater Stock'!K10*'O&amp;M Cost'!$D9/1000000</f>
        <v>0.1403847585275689</v>
      </c>
      <c r="L35" s="120">
        <f>'Water Heater Stock'!L10*'O&amp;M Cost'!$D9/1000000</f>
        <v>0.15085936209766984</v>
      </c>
      <c r="M35" s="120">
        <f>'Water Heater Stock'!M10*'O&amp;M Cost'!$D9/1000000</f>
        <v>0.16056228572251879</v>
      </c>
      <c r="N35" s="120">
        <f>'Water Heater Stock'!N10*'O&amp;M Cost'!$D9/1000000</f>
        <v>0.16954822388699708</v>
      </c>
      <c r="O35" s="120">
        <f>'Water Heater Stock'!O10*'O&amp;M Cost'!$D9/1000000</f>
        <v>0.17786796527134596</v>
      </c>
      <c r="P35" s="120">
        <f>'Water Heater Stock'!P10*'O&amp;M Cost'!$D9/1000000</f>
        <v>0.1855686718653807</v>
      </c>
      <c r="Q35" s="120">
        <f>'Water Heater Stock'!Q10*'O&amp;M Cost'!$D9/1000000</f>
        <v>0.19269413814571679</v>
      </c>
      <c r="R35" s="120">
        <f>'Water Heater Stock'!R10*'O&amp;M Cost'!$D9/1000000</f>
        <v>0.19928503173997678</v>
      </c>
      <c r="S35" s="120">
        <f>'Water Heater Stock'!S10*'O&amp;M Cost'!$D9/1000000</f>
        <v>0.205379116900237</v>
      </c>
      <c r="T35" s="120">
        <f>'Water Heater Stock'!T10*'O&amp;M Cost'!$D9/1000000</f>
        <v>0.21101146201352319</v>
      </c>
      <c r="U35" s="120">
        <f>'Water Heater Stock'!U10*'O&amp;M Cost'!$D9/1000000</f>
        <v>0.21621463228946608</v>
      </c>
      <c r="V35" s="120">
        <f>'Water Heater Stock'!V10*'O&amp;M Cost'!$D9/1000000</f>
        <v>0.22101886868379061</v>
      </c>
      <c r="W35" s="120">
        <f>'Water Heater Stock'!W10*'O&amp;M Cost'!$D9/1000000</f>
        <v>0.22545225404069358</v>
      </c>
    </row>
    <row r="37" spans="1:23">
      <c r="A37" s="12" t="s">
        <v>113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7" t="s">
        <v>44</v>
      </c>
      <c r="B39" s="126">
        <f t="shared" ref="B39" si="9">SUM(B40:B44)</f>
        <v>16.890884359804375</v>
      </c>
      <c r="C39" s="126">
        <f t="shared" ref="C39:W39" si="10">SUM(C40:C44)</f>
        <v>16.600895612200318</v>
      </c>
      <c r="D39" s="126">
        <f t="shared" si="10"/>
        <v>16.338701627591089</v>
      </c>
      <c r="E39" s="126">
        <f t="shared" si="10"/>
        <v>16.102765930311051</v>
      </c>
      <c r="F39" s="126">
        <f t="shared" si="10"/>
        <v>15.891646856874146</v>
      </c>
      <c r="G39" s="126">
        <f t="shared" si="10"/>
        <v>15.703991860711783</v>
      </c>
      <c r="H39" s="126">
        <f t="shared" si="10"/>
        <v>15.538532160711583</v>
      </c>
      <c r="I39" s="126">
        <f t="shared" si="10"/>
        <v>15.394077712842831</v>
      </c>
      <c r="J39" s="126">
        <f t="shared" si="10"/>
        <v>15.269512485402101</v>
      </c>
      <c r="K39" s="126">
        <f t="shared" si="10"/>
        <v>15.163790019584814</v>
      </c>
      <c r="L39" s="126">
        <f t="shared" si="10"/>
        <v>15.075929258190387</v>
      </c>
      <c r="M39" s="126">
        <f t="shared" si="10"/>
        <v>15.005010626304042</v>
      </c>
      <c r="N39" s="126">
        <f t="shared" si="10"/>
        <v>14.950172348771687</v>
      </c>
      <c r="O39" s="126">
        <f t="shared" si="10"/>
        <v>14.910606990198708</v>
      </c>
      <c r="P39" s="126">
        <f t="shared" si="10"/>
        <v>14.885558204063246</v>
      </c>
      <c r="Q39" s="126">
        <f t="shared" si="10"/>
        <v>14.874317678342173</v>
      </c>
      <c r="R39" s="126">
        <f t="shared" si="10"/>
        <v>14.876222265807368</v>
      </c>
      <c r="S39" s="126">
        <f t="shared" si="10"/>
        <v>14.890651287863172</v>
      </c>
      <c r="T39" s="126">
        <f t="shared" si="10"/>
        <v>14.917024001466622</v>
      </c>
      <c r="U39" s="126">
        <f t="shared" si="10"/>
        <v>14.954797219302073</v>
      </c>
      <c r="V39" s="126">
        <f t="shared" si="10"/>
        <v>15.003463073974153</v>
      </c>
      <c r="W39" s="126">
        <f t="shared" si="10"/>
        <v>15.06254691753951</v>
      </c>
    </row>
    <row r="40" spans="1:23" ht="16.5" thickTop="1">
      <c r="A40" s="9" t="str">
        <f>'Energy Usage'!A27</f>
        <v>Electric Resistance</v>
      </c>
      <c r="B40" s="120">
        <f>(('Energy Usage'!B18*'Retail Rates'!B$5*'Device Energy Use'!$E5+'Energy Usage'!B18*'Retail Rates'!B$6*(1-'Device Energy Use'!$E5)))/1000000</f>
        <v>16.890884359804375</v>
      </c>
      <c r="C40" s="120">
        <f>(('Energy Usage'!C18*'Retail Rates'!C$5*'Device Energy Use'!$E5+'Energy Usage'!C18*'Retail Rates'!C$6*(1-'Device Energy Use'!$E5)))/1000000</f>
        <v>15.888315700959915</v>
      </c>
      <c r="D40" s="120">
        <f>(('Energy Usage'!D18*'Retail Rates'!D$5*'Device Energy Use'!$E5+'Energy Usage'!D18*'Retail Rates'!D$6*(1-'Device Energy Use'!$E5)))/1000000</f>
        <v>14.945256720169807</v>
      </c>
      <c r="E40" s="120">
        <f>(('Energy Usage'!E18*'Retail Rates'!E$5*'Device Energy Use'!$E5+'Energy Usage'!E18*'Retail Rates'!E$6*(1-'Device Energy Use'!$E5)))/1000000</f>
        <v>14.058175094359813</v>
      </c>
      <c r="F40" s="120">
        <f>(('Energy Usage'!F18*'Retail Rates'!F$5*'Device Energy Use'!$E5+'Energy Usage'!F18*'Retail Rates'!F$6*(1-'Device Energy Use'!$E5)))/1000000</f>
        <v>13.223748169087523</v>
      </c>
      <c r="G40" s="120">
        <f>(('Energy Usage'!G18*'Retail Rates'!G$5*'Device Energy Use'!$E5+'Energy Usage'!G18*'Retail Rates'!G$6*(1-'Device Energy Use'!$E5)))/1000000</f>
        <v>12.438850513211534</v>
      </c>
      <c r="H40" s="120">
        <f>(('Energy Usage'!H18*'Retail Rates'!H$5*'Device Energy Use'!$E5+'Energy Usage'!H18*'Retail Rates'!H$6*(1-'Device Energy Use'!$E5)))/1000000</f>
        <v>11.700542212279972</v>
      </c>
      <c r="I40" s="120">
        <f>(('Energy Usage'!I18*'Retail Rates'!I$5*'Device Energy Use'!$E5+'Energy Usage'!I18*'Retail Rates'!I$6*(1-'Device Energy Use'!$E5)))/1000000</f>
        <v>11.006057856789976</v>
      </c>
      <c r="J40" s="120">
        <f>(('Energy Usage'!J18*'Retail Rates'!J$5*'Device Energy Use'!$E5+'Energy Usage'!J18*'Retail Rates'!J$6*(1-'Device Energy Use'!$E5)))/1000000</f>
        <v>10.352796184072693</v>
      </c>
      <c r="K40" s="120">
        <f>(('Energy Usage'!K18*'Retail Rates'!K$5*'Device Energy Use'!$E5+'Energy Usage'!K18*'Retail Rates'!K$6*(1-'Device Energy Use'!$E5)))/1000000</f>
        <v>9.7383103350063447</v>
      </c>
      <c r="L40" s="120">
        <f>(('Energy Usage'!L18*'Retail Rates'!L$5*'Device Energy Use'!$E5+'Energy Usage'!L18*'Retail Rates'!L$6*(1-'Device Energy Use'!$E5)))/1000000</f>
        <v>9.1602986890630174</v>
      </c>
      <c r="M40" s="120">
        <f>(('Energy Usage'!M18*'Retail Rates'!M$5*'Device Energy Use'!$E5+'Energy Usage'!M18*'Retail Rates'!M$6*(1-'Device Energy Use'!$E5)))/1000000</f>
        <v>8.6165962433608527</v>
      </c>
      <c r="N40" s="120">
        <f>(('Energy Usage'!N18*'Retail Rates'!N$5*'Device Energy Use'!$E5+'Energy Usage'!N18*'Retail Rates'!N$6*(1-'Device Energy Use'!$E5)))/1000000</f>
        <v>8.1051665034311053</v>
      </c>
      <c r="O40" s="120">
        <f>(('Energy Usage'!O18*'Retail Rates'!O$5*'Device Energy Use'!$E5+'Energy Usage'!O18*'Retail Rates'!O$6*(1-'Device Energy Use'!$E5)))/1000000</f>
        <v>7.6240938553260929</v>
      </c>
      <c r="P40" s="120">
        <f>(('Energy Usage'!P18*'Retail Rates'!P$5*'Device Energy Use'!$E5+'Energy Usage'!P18*'Retail Rates'!P$6*(1-'Device Energy Use'!$E5)))/1000000</f>
        <v>7.1715763904970347</v>
      </c>
      <c r="Q40" s="120">
        <f>(('Energy Usage'!Q18*'Retail Rates'!Q$5*'Device Energy Use'!$E5+'Energy Usage'!Q18*'Retail Rates'!Q$6*(1-'Device Energy Use'!$E5)))/1000000</f>
        <v>6.7459191565666394</v>
      </c>
      <c r="R40" s="120">
        <f>(('Energy Usage'!R18*'Retail Rates'!R$5*'Device Energy Use'!$E5+'Energy Usage'!R18*'Retail Rates'!R$6*(1-'Device Energy Use'!$E5)))/1000000</f>
        <v>6.3455278087165707</v>
      </c>
      <c r="S40" s="120">
        <f>(('Energy Usage'!S18*'Retail Rates'!S$5*'Device Energy Use'!$E5+'Energy Usage'!S18*'Retail Rates'!S$6*(1-'Device Energy Use'!$E5)))/1000000</f>
        <v>5.9689026379103964</v>
      </c>
      <c r="T40" s="120">
        <f>(('Energy Usage'!T18*'Retail Rates'!T$5*'Device Energy Use'!$E5+'Energy Usage'!T18*'Retail Rates'!T$6*(1-'Device Energy Use'!$E5)))/1000000</f>
        <v>5.6146329535841968</v>
      </c>
      <c r="U40" s="120">
        <f>(('Energy Usage'!U18*'Retail Rates'!U$5*'Device Energy Use'!$E5+'Energy Usage'!U18*'Retail Rates'!U$6*(1-'Device Energy Use'!$E5)))/1000000</f>
        <v>5.2813917997645907</v>
      </c>
      <c r="V40" s="120">
        <f>(('Energy Usage'!V18*'Retail Rates'!V$5*'Device Energy Use'!$E5+'Energy Usage'!V18*'Retail Rates'!V$6*(1-'Device Energy Use'!$E5)))/1000000</f>
        <v>4.9679309848229218</v>
      </c>
      <c r="W40" s="120">
        <f>(('Energy Usage'!W18*'Retail Rates'!W$5*'Device Energy Use'!$E5+'Energy Usage'!W18*'Retail Rates'!W$6*(1-'Device Energy Use'!$E5)))/1000000</f>
        <v>4.6730764062490362</v>
      </c>
    </row>
    <row r="41" spans="1:23">
      <c r="A41" s="9" t="str">
        <f>'Energy Usage'!A28</f>
        <v>HPWH</v>
      </c>
      <c r="B41" s="120">
        <f>(('Energy Usage'!B19*'Retail Rates'!B$5*'Device Energy Use'!$E6+'Energy Usage'!B19*'Retail Rates'!B$6*(1-'Device Energy Use'!$E6)))/1000000</f>
        <v>0</v>
      </c>
      <c r="C41" s="120">
        <f>(('Energy Usage'!C19*'Retail Rates'!C$5*'Device Energy Use'!$E6+'Energy Usage'!C19*'Retail Rates'!C$6*(1-'Device Energy Use'!$E6)))/1000000</f>
        <v>0.37369099435100556</v>
      </c>
      <c r="D41" s="120">
        <f>(('Energy Usage'!D19*'Retail Rates'!D$5*'Device Energy Use'!$E6+'Energy Usage'!D19*'Retail Rates'!D$6*(1-'Device Energy Use'!$E6)))/1000000</f>
        <v>0.72989883179884418</v>
      </c>
      <c r="E41" s="120">
        <f>(('Energy Usage'!E19*'Retail Rates'!E$5*'Device Energy Use'!$E6+'Energy Usage'!E19*'Retail Rates'!E$6*(1-'Device Energy Use'!$E6)))/1000000</f>
        <v>1.0697233558213726</v>
      </c>
      <c r="F41" s="120">
        <f>(('Energy Usage'!F19*'Retail Rates'!F$5*'Device Energy Use'!$E6+'Energy Usage'!F19*'Retail Rates'!F$6*(1-'Device Energy Use'!$E6)))/1000000</f>
        <v>1.3942000318341836</v>
      </c>
      <c r="G41" s="120">
        <f>(('Energy Usage'!G19*'Retail Rates'!G$5*'Device Energy Use'!$E6+'Energy Usage'!G19*'Retail Rates'!G$6*(1-'Device Energy Use'!$E6)))/1000000</f>
        <v>1.7043037829128169</v>
      </c>
      <c r="H41" s="120">
        <f>(('Energy Usage'!H19*'Retail Rates'!H$5*'Device Energy Use'!$E6+'Energy Usage'!H19*'Retail Rates'!H$6*(1-'Device Energy Use'!$E6)))/1000000</f>
        <v>2.0009525980652048</v>
      </c>
      <c r="I41" s="120">
        <f>(('Energy Usage'!I19*'Retail Rates'!I$5*'Device Energy Use'!$E6+'Energy Usage'!I19*'Retail Rates'!I$6*(1-'Device Energy Use'!$E6)))/1000000</f>
        <v>2.2850109265583245</v>
      </c>
      <c r="J41" s="120">
        <f>(('Energy Usage'!J19*'Retail Rates'!J$5*'Device Energy Use'!$E6+'Energy Usage'!J19*'Retail Rates'!J$6*(1-'Device Energy Use'!$E6)))/1000000</f>
        <v>2.5572928710015121</v>
      </c>
      <c r="K41" s="120">
        <f>(('Energy Usage'!K19*'Retail Rates'!K$5*'Device Energy Use'!$E6+'Energy Usage'!K19*'Retail Rates'!K$6*(1-'Device Energy Use'!$E6)))/1000000</f>
        <v>2.818565191134943</v>
      </c>
      <c r="L41" s="120">
        <f>(('Energy Usage'!L19*'Retail Rates'!L$5*'Device Energy Use'!$E6+'Energy Usage'!L19*'Retail Rates'!L$6*(1-'Device Energy Use'!$E6)))/1000000</f>
        <v>3.0695501295626038</v>
      </c>
      <c r="M41" s="120">
        <f>(('Energy Usage'!M19*'Retail Rates'!M$5*'Device Energy Use'!$E6+'Energy Usage'!M19*'Retail Rates'!M$6*(1-'Device Energy Use'!$E6)))/1000000</f>
        <v>3.3109280700019768</v>
      </c>
      <c r="N41" s="120">
        <f>(('Energy Usage'!N19*'Retail Rates'!N$5*'Device Energy Use'!$E6+'Energy Usage'!N19*'Retail Rates'!N$6*(1-'Device Energy Use'!$E6)))/1000000</f>
        <v>3.5433400379951672</v>
      </c>
      <c r="O41" s="120">
        <f>(('Energy Usage'!O19*'Retail Rates'!O$5*'Device Energy Use'!$E6+'Energy Usage'!O19*'Retail Rates'!O$6*(1-'Device Energy Use'!$E6)))/1000000</f>
        <v>3.767390053435939</v>
      </c>
      <c r="P41" s="120">
        <f>(('Energy Usage'!P19*'Retail Rates'!P$5*'Device Energy Use'!$E6+'Energy Usage'!P19*'Retail Rates'!P$6*(1-'Device Energy Use'!$E6)))/1000000</f>
        <v>3.983647343711934</v>
      </c>
      <c r="Q41" s="120">
        <f>(('Energy Usage'!Q19*'Retail Rates'!Q$5*'Device Energy Use'!$E6+'Energy Usage'!Q19*'Retail Rates'!Q$6*(1-'Device Energy Use'!$E6)))/1000000</f>
        <v>4.192648425739061</v>
      </c>
      <c r="R41" s="120">
        <f>(('Energy Usage'!R19*'Retail Rates'!R$5*'Device Energy Use'!$E6+'Energy Usage'!R19*'Retail Rates'!R$6*(1-'Device Energy Use'!$E6)))/1000000</f>
        <v>4.3948990646737975</v>
      </c>
      <c r="S41" s="120">
        <f>(('Energy Usage'!S19*'Retail Rates'!S$5*'Device Energy Use'!$E6+'Energy Usage'!S19*'Retail Rates'!S$6*(1-'Device Energy Use'!$E6)))/1000000</f>
        <v>4.5908761166270526</v>
      </c>
      <c r="T41" s="120">
        <f>(('Energy Usage'!T19*'Retail Rates'!T$5*'Device Energy Use'!$E6+'Energy Usage'!T19*'Retail Rates'!T$6*(1-'Device Energy Use'!$E6)))/1000000</f>
        <v>4.7810292622685528</v>
      </c>
      <c r="U41" s="120">
        <f>(('Energy Usage'!U19*'Retail Rates'!U$5*'Device Energy Use'!$E6+'Energy Usage'!U19*'Retail Rates'!U$6*(1-'Device Energy Use'!$E6)))/1000000</f>
        <v>4.9657826378018495</v>
      </c>
      <c r="V41" s="120">
        <f>(('Energy Usage'!V19*'Retail Rates'!V$5*'Device Energy Use'!$E6+'Energy Usage'!V19*'Retail Rates'!V$6*(1-'Device Energy Use'!$E6)))/1000000</f>
        <v>5.1455363694054519</v>
      </c>
      <c r="W41" s="120">
        <f>(('Energy Usage'!W19*'Retail Rates'!W$5*'Device Energy Use'!$E6+'Energy Usage'!W19*'Retail Rates'!W$6*(1-'Device Energy Use'!$E6)))/1000000</f>
        <v>5.3206680168738112</v>
      </c>
    </row>
    <row r="42" spans="1:23">
      <c r="A42" s="9" t="str">
        <f>'Energy Usage'!A29</f>
        <v>Gas Tank</v>
      </c>
      <c r="B42" s="120">
        <f>(('Energy Usage'!B20*'Retail Rates'!B$5*'Device Energy Use'!$E7+'Energy Usage'!B20*'Retail Rates'!B$6*(1-'Device Energy Use'!$E7)))/1000000</f>
        <v>0</v>
      </c>
      <c r="C42" s="120">
        <f>(('Energy Usage'!C20*'Retail Rates'!C$5*'Device Energy Use'!$E7+'Energy Usage'!C20*'Retail Rates'!C$6*(1-'Device Energy Use'!$E7)))/1000000</f>
        <v>2.8587793105508723E-5</v>
      </c>
      <c r="D42" s="120">
        <f>(('Energy Usage'!D20*'Retail Rates'!D$5*'Device Energy Use'!$E7+'Energy Usage'!D20*'Retail Rates'!D$6*(1-'Device Energy Use'!$E7)))/1000000</f>
        <v>5.5671873309885795E-5</v>
      </c>
      <c r="E42" s="120">
        <f>(('Energy Usage'!E20*'Retail Rates'!E$5*'Device Energy Use'!$E7+'Energy Usage'!E20*'Retail Rates'!E$6*(1-'Device Energy Use'!$E7)))/1000000</f>
        <v>8.1339294854670372E-5</v>
      </c>
      <c r="F42" s="120">
        <f>(('Energy Usage'!F20*'Retail Rates'!F$5*'Device Energy Use'!$E7+'Energy Usage'!F20*'Retail Rates'!F$6*(1-'Device Energy Use'!$E7)))/1000000</f>
        <v>1.0567213155304175E-4</v>
      </c>
      <c r="G42" s="120">
        <f>(('Energy Usage'!G20*'Retail Rates'!G$5*'Device Energy Use'!$E7+'Energy Usage'!G20*'Retail Rates'!G$6*(1-'Device Energy Use'!$E7)))/1000000</f>
        <v>1.2874776354039188E-4</v>
      </c>
      <c r="H42" s="120">
        <f>(('Energy Usage'!H20*'Retail Rates'!H$5*'Device Energy Use'!$E7+'Energy Usage'!H20*'Retail Rates'!H$6*(1-'Device Energy Use'!$E7)))/1000000</f>
        <v>1.5063914753204603E-4</v>
      </c>
      <c r="I42" s="120">
        <f>(('Energy Usage'!I20*'Retail Rates'!I$5*'Device Energy Use'!$E7+'Energy Usage'!I20*'Retail Rates'!I$6*(1-'Device Energy Use'!$E7)))/1000000</f>
        <v>1.7141507153653769E-4</v>
      </c>
      <c r="J42" s="120">
        <f>(('Energy Usage'!J20*'Retail Rates'!J$5*'Device Energy Use'!$E7+'Energy Usage'!J20*'Retail Rates'!J$6*(1-'Device Energy Use'!$E7)))/1000000</f>
        <v>1.9114039491831771E-4</v>
      </c>
      <c r="K42" s="120">
        <f>(('Energy Usage'!K20*'Retail Rates'!K$5*'Device Energy Use'!$E7+'Energy Usage'!K20*'Retail Rates'!K$6*(1-'Device Energy Use'!$E7)))/1000000</f>
        <v>2.0987627465238751E-4</v>
      </c>
      <c r="L42" s="120">
        <f>(('Energy Usage'!L20*'Retail Rates'!L$5*'Device Energy Use'!$E7+'Energy Usage'!L20*'Retail Rates'!L$6*(1-'Device Energy Use'!$E7)))/1000000</f>
        <v>2.2768037856491018E-4</v>
      </c>
      <c r="M42" s="120">
        <f>(('Energy Usage'!M20*'Retail Rates'!M$5*'Device Energy Use'!$E7+'Energy Usage'!M20*'Retail Rates'!M$6*(1-'Device Energy Use'!$E7)))/1000000</f>
        <v>2.446070863082014E-4</v>
      </c>
      <c r="N42" s="120">
        <f>(('Energy Usage'!N20*'Retail Rates'!N$5*'Device Energy Use'!$E7+'Energy Usage'!N20*'Retail Rates'!N$6*(1-'Device Energy Use'!$E7)))/1000000</f>
        <v>2.6070767877547674E-4</v>
      </c>
      <c r="O42" s="120">
        <f>(('Energy Usage'!O20*'Retail Rates'!O$5*'Device Energy Use'!$E7+'Energy Usage'!O20*'Retail Rates'!O$6*(1-'Device Energy Use'!$E7)))/1000000</f>
        <v>2.7603051662017754E-4</v>
      </c>
      <c r="P42" s="120">
        <f>(('Energy Usage'!P20*'Retail Rates'!P$5*'Device Energy Use'!$E7+'Energy Usage'!P20*'Retail Rates'!P$6*(1-'Device Energy Use'!$E7)))/1000000</f>
        <v>2.9062120850647735E-4</v>
      </c>
      <c r="Q42" s="120">
        <f>(('Energy Usage'!Q20*'Retail Rates'!Q$5*'Device Energy Use'!$E7+'Energy Usage'!Q20*'Retail Rates'!Q$6*(1-'Device Energy Use'!$E7)))/1000000</f>
        <v>3.045227696815469E-4</v>
      </c>
      <c r="R42" s="120">
        <f>(('Energy Usage'!R20*'Retail Rates'!R$5*'Device Energy Use'!$E7+'Energy Usage'!R20*'Retail Rates'!R$6*(1-'Device Energy Use'!$E7)))/1000000</f>
        <v>3.1777577142620131E-4</v>
      </c>
      <c r="S42" s="120">
        <f>(('Energy Usage'!S20*'Retail Rates'!S$5*'Device Energy Use'!$E7+'Energy Usage'!S20*'Retail Rates'!S$6*(1-'Device Energy Use'!$E7)))/1000000</f>
        <v>3.3041848190855529E-4</v>
      </c>
      <c r="T42" s="120">
        <f>(('Energy Usage'!T20*'Retail Rates'!T$5*'Device Energy Use'!$E7+'Energy Usage'!T20*'Retail Rates'!T$6*(1-'Device Energy Use'!$E7)))/1000000</f>
        <v>3.4248699893514806E-4</v>
      </c>
      <c r="U42" s="120">
        <f>(('Energy Usage'!U20*'Retail Rates'!U$5*'Device Energy Use'!$E7+'Energy Usage'!U20*'Retail Rates'!U$6*(1-'Device Energy Use'!$E7)))/1000000</f>
        <v>3.5401537506557252E-4</v>
      </c>
      <c r="V42" s="120">
        <f>(('Energy Usage'!V20*'Retail Rates'!V$5*'Device Energy Use'!$E7+'Energy Usage'!V20*'Retail Rates'!V$6*(1-'Device Energy Use'!$E7)))/1000000</f>
        <v>3.6503573552985462E-4</v>
      </c>
      <c r="W42" s="120">
        <f>(('Energy Usage'!W20*'Retail Rates'!W$5*'Device Energy Use'!$E7+'Energy Usage'!W20*'Retail Rates'!W$6*(1-'Device Energy Use'!$E7)))/1000000</f>
        <v>3.7557838936256975E-4</v>
      </c>
    </row>
    <row r="43" spans="1:23">
      <c r="A43" s="9" t="str">
        <f>'Energy Usage'!A30</f>
        <v>Instant Gas</v>
      </c>
      <c r="B43" s="120">
        <f>(('Energy Usage'!B21*'Retail Rates'!B$5*'Device Energy Use'!$E8+'Energy Usage'!B21*'Retail Rates'!B$6*(1-'Device Energy Use'!$E8)))/1000000</f>
        <v>0</v>
      </c>
      <c r="C43" s="120">
        <f>(('Energy Usage'!C21*'Retail Rates'!C$5*'Device Energy Use'!$E8+'Energy Usage'!C21*'Retail Rates'!C$6*(1-'Device Energy Use'!$E8)))/1000000</f>
        <v>0.10100275641584698</v>
      </c>
      <c r="D43" s="120">
        <f>(('Energy Usage'!D21*'Retail Rates'!D$5*'Device Energy Use'!$E8+'Energy Usage'!D21*'Retail Rates'!D$6*(1-'Device Energy Use'!$E8)))/1000000</f>
        <v>0.19811336634589988</v>
      </c>
      <c r="E43" s="120">
        <f>(('Energy Usage'!E21*'Retail Rates'!E$5*'Device Energy Use'!$E8+'Energy Usage'!E21*'Retail Rates'!E$6*(1-'Device Energy Use'!$E8)))/1000000</f>
        <v>0.2915917333509257</v>
      </c>
      <c r="F43" s="120">
        <f>(('Energy Usage'!F21*'Retail Rates'!F$5*'Device Energy Use'!$E8+'Energy Usage'!F21*'Retail Rates'!F$6*(1-'Device Energy Use'!$E8)))/1000000</f>
        <v>0.38168344091537382</v>
      </c>
      <c r="G43" s="120">
        <f>(('Energy Usage'!G21*'Retail Rates'!G$5*'Device Energy Use'!$E8+'Energy Usage'!G21*'Retail Rates'!G$6*(1-'Device Energy Use'!$E8)))/1000000</f>
        <v>0.46862058419826563</v>
      </c>
      <c r="H43" s="120">
        <f>(('Energy Usage'!H21*'Retail Rates'!H$5*'Device Energy Use'!$E8+'Energy Usage'!H21*'Retail Rates'!H$6*(1-'Device Energy Use'!$E8)))/1000000</f>
        <v>0.55262255399565308</v>
      </c>
      <c r="I43" s="120">
        <f>(('Energy Usage'!I21*'Retail Rates'!I$5*'Device Energy Use'!$E8+'Energy Usage'!I21*'Retail Rates'!I$6*(1-'Device Energy Use'!$E8)))/1000000</f>
        <v>0.63389677566092362</v>
      </c>
      <c r="J43" s="120">
        <f>(('Energy Usage'!J21*'Retail Rates'!J$5*'Device Energy Use'!$E8+'Energy Usage'!J21*'Retail Rates'!J$6*(1-'Device Energy Use'!$E8)))/1000000</f>
        <v>0.71263940557131056</v>
      </c>
      <c r="K43" s="120">
        <f>(('Energy Usage'!K21*'Retail Rates'!K$5*'Device Energy Use'!$E8+'Energy Usage'!K21*'Retail Rates'!K$6*(1-'Device Energy Use'!$E8)))/1000000</f>
        <v>0.78903598758013316</v>
      </c>
      <c r="L43" s="120">
        <f>(('Energy Usage'!L21*'Retail Rates'!L$5*'Device Energy Use'!$E8+'Energy Usage'!L21*'Retail Rates'!L$6*(1-'Device Energy Use'!$E8)))/1000000</f>
        <v>0.86326207175401748</v>
      </c>
      <c r="M43" s="120">
        <f>(('Energy Usage'!M21*'Retail Rates'!M$5*'Device Energy Use'!$E8+'Energy Usage'!M21*'Retail Rates'!M$6*(1-'Device Energy Use'!$E8)))/1000000</f>
        <v>0.93548379756214406</v>
      </c>
      <c r="N43" s="120">
        <f>(('Energy Usage'!N21*'Retail Rates'!N$5*'Device Energy Use'!$E8+'Energy Usage'!N21*'Retail Rates'!N$6*(1-'Device Energy Use'!$E8)))/1000000</f>
        <v>1.0058584435599667</v>
      </c>
      <c r="O43" s="120">
        <f>(('Energy Usage'!O21*'Retail Rates'!O$5*'Device Energy Use'!$E8+'Energy Usage'!O21*'Retail Rates'!O$6*(1-'Device Energy Use'!$E8)))/1000000</f>
        <v>1.0745349454924165</v>
      </c>
      <c r="P43" s="120">
        <f>(('Energy Usage'!P21*'Retail Rates'!P$5*'Device Energy Use'!$E8+'Energy Usage'!P21*'Retail Rates'!P$6*(1-'Device Energy Use'!$E8)))/1000000</f>
        <v>1.1416543846309264</v>
      </c>
      <c r="Q43" s="120">
        <f>(('Energy Usage'!Q21*'Retail Rates'!Q$5*'Device Energy Use'!$E8+'Energy Usage'!Q21*'Retail Rates'!Q$6*(1-'Device Energy Use'!$E8)))/1000000</f>
        <v>1.2073504480543018</v>
      </c>
      <c r="R43" s="120">
        <f>(('Energy Usage'!R21*'Retail Rates'!R$5*'Device Energy Use'!$E8+'Energy Usage'!R21*'Retail Rates'!R$6*(1-'Device Energy Use'!$E8)))/1000000</f>
        <v>1.2717498624851522</v>
      </c>
      <c r="S43" s="120">
        <f>(('Energy Usage'!S21*'Retail Rates'!S$5*'Device Energy Use'!$E8+'Energy Usage'!S21*'Retail Rates'!S$6*(1-'Device Energy Use'!$E8)))/1000000</f>
        <v>1.3349728032009494</v>
      </c>
      <c r="T43" s="120">
        <f>(('Energy Usage'!T21*'Retail Rates'!T$5*'Device Energy Use'!$E8+'Energy Usage'!T21*'Retail Rates'!T$6*(1-'Device Energy Use'!$E8)))/1000000</f>
        <v>1.3971332794514542</v>
      </c>
      <c r="U43" s="120">
        <f>(('Energy Usage'!U21*'Retail Rates'!U$5*'Device Energy Use'!$E8+'Energy Usage'!U21*'Retail Rates'!U$6*(1-'Device Energy Use'!$E8)))/1000000</f>
        <v>1.458339497731951</v>
      </c>
      <c r="V43" s="120">
        <f>(('Energy Usage'!V21*'Retail Rates'!V$5*'Device Energy Use'!$E8+'Energy Usage'!V21*'Retail Rates'!V$6*(1-'Device Energy Use'!$E8)))/1000000</f>
        <v>1.5186942041841791</v>
      </c>
      <c r="W43" s="120">
        <f>(('Energy Usage'!W21*'Retail Rates'!W$5*'Device Energy Use'!$E8+'Energy Usage'!W21*'Retail Rates'!W$6*(1-'Device Energy Use'!$E8)))/1000000</f>
        <v>1.5782950073237356</v>
      </c>
    </row>
    <row r="44" spans="1:23">
      <c r="A44" s="9" t="str">
        <f>'Energy Usage'!A31</f>
        <v>Condensing Gas</v>
      </c>
      <c r="B44" s="120">
        <f>(('Energy Usage'!B22*'Retail Rates'!B$5*'Device Energy Use'!$E9+'Energy Usage'!B22*'Retail Rates'!B$6*(1-'Device Energy Use'!$E9)))/1000000</f>
        <v>0</v>
      </c>
      <c r="C44" s="120">
        <f>(('Energy Usage'!C22*'Retail Rates'!C$5*'Device Energy Use'!$E9+'Energy Usage'!C22*'Retail Rates'!C$6*(1-'Device Energy Use'!$E9)))/1000000</f>
        <v>0.23785757268044347</v>
      </c>
      <c r="D44" s="120">
        <f>(('Energy Usage'!D22*'Retail Rates'!D$5*'Device Energy Use'!$E9+'Energy Usage'!D22*'Retail Rates'!D$6*(1-'Device Energy Use'!$E9)))/1000000</f>
        <v>0.46537703740322628</v>
      </c>
      <c r="E44" s="120">
        <f>(('Energy Usage'!E22*'Retail Rates'!E$5*'Device Energy Use'!$E9+'Energy Usage'!E22*'Retail Rates'!E$6*(1-'Device Energy Use'!$E9)))/1000000</f>
        <v>0.68319440748408522</v>
      </c>
      <c r="F44" s="120">
        <f>(('Energy Usage'!F22*'Retail Rates'!F$5*'Device Energy Use'!$E9+'Energy Usage'!F22*'Retail Rates'!F$6*(1-'Device Energy Use'!$E9)))/1000000</f>
        <v>0.89190954290551305</v>
      </c>
      <c r="G44" s="120">
        <f>(('Energy Usage'!G22*'Retail Rates'!G$5*'Device Energy Use'!$E9+'Energy Usage'!G22*'Retail Rates'!G$6*(1-'Device Energy Use'!$E9)))/1000000</f>
        <v>1.0920882326256256</v>
      </c>
      <c r="H44" s="120">
        <f>(('Energy Usage'!H22*'Retail Rates'!H$5*'Device Energy Use'!$E9+'Energy Usage'!H22*'Retail Rates'!H$6*(1-'Device Energy Use'!$E9)))/1000000</f>
        <v>1.2842641572232216</v>
      </c>
      <c r="I44" s="120">
        <f>(('Energy Usage'!I22*'Retail Rates'!I$5*'Device Energy Use'!$E9+'Energy Usage'!I22*'Retail Rates'!I$6*(1-'Device Energy Use'!$E9)))/1000000</f>
        <v>1.4689407387620697</v>
      </c>
      <c r="J44" s="120">
        <f>(('Energy Usage'!J22*'Retail Rates'!J$5*'Device Energy Use'!$E9+'Energy Usage'!J22*'Retail Rates'!J$6*(1-'Device Energy Use'!$E9)))/1000000</f>
        <v>1.6465928843616673</v>
      </c>
      <c r="K44" s="120">
        <f>(('Energy Usage'!K22*'Retail Rates'!K$5*'Device Energy Use'!$E9+'Energy Usage'!K22*'Retail Rates'!K$6*(1-'Device Energy Use'!$E9)))/1000000</f>
        <v>1.8176686295887421</v>
      </c>
      <c r="L44" s="120">
        <f>(('Energy Usage'!L22*'Retail Rates'!L$5*'Device Energy Use'!$E9+'Energy Usage'!L22*'Retail Rates'!L$6*(1-'Device Energy Use'!$E9)))/1000000</f>
        <v>1.9825906874321835</v>
      </c>
      <c r="M44" s="120">
        <f>(('Energy Usage'!M22*'Retail Rates'!M$5*'Device Energy Use'!$E9+'Energy Usage'!M22*'Retail Rates'!M$6*(1-'Device Energy Use'!$E9)))/1000000</f>
        <v>2.1417579082927607</v>
      </c>
      <c r="N44" s="120">
        <f>(('Energy Usage'!N22*'Retail Rates'!N$5*'Device Energy Use'!$E9+'Energy Usage'!N22*'Retail Rates'!N$6*(1-'Device Energy Use'!$E9)))/1000000</f>
        <v>2.295546656106672</v>
      </c>
      <c r="O44" s="120">
        <f>(('Energy Usage'!O22*'Retail Rates'!O$5*'Device Energy Use'!$E9+'Energy Usage'!O22*'Retail Rates'!O$6*(1-'Device Energy Use'!$E9)))/1000000</f>
        <v>2.4443121054276404</v>
      </c>
      <c r="P44" s="120">
        <f>(('Energy Usage'!P22*'Retail Rates'!P$5*'Device Energy Use'!$E9+'Energy Usage'!P22*'Retail Rates'!P$6*(1-'Device Energy Use'!$E9)))/1000000</f>
        <v>2.5883894640148433</v>
      </c>
      <c r="Q44" s="120">
        <f>(('Energy Usage'!Q22*'Retail Rates'!Q$5*'Device Energy Use'!$E9+'Energy Usage'!Q22*'Retail Rates'!Q$6*(1-'Device Energy Use'!$E9)))/1000000</f>
        <v>2.7280951252124881</v>
      </c>
      <c r="R44" s="120">
        <f>(('Energy Usage'!R22*'Retail Rates'!R$5*'Device Energy Use'!$E9+'Energy Usage'!R22*'Retail Rates'!R$6*(1-'Device Energy Use'!$E9)))/1000000</f>
        <v>2.8637277541604202</v>
      </c>
      <c r="S44" s="120">
        <f>(('Energy Usage'!S22*'Retail Rates'!S$5*'Device Energy Use'!$E9+'Energy Usage'!S22*'Retail Rates'!S$6*(1-'Device Energy Use'!$E9)))/1000000</f>
        <v>2.9955693116428637</v>
      </c>
      <c r="T44" s="120">
        <f>(('Energy Usage'!T22*'Retail Rates'!T$5*'Device Energy Use'!$E9+'Energy Usage'!T22*'Retail Rates'!T$6*(1-'Device Energy Use'!$E9)))/1000000</f>
        <v>3.1238860191634834</v>
      </c>
      <c r="U44" s="120">
        <f>(('Energy Usage'!U22*'Retail Rates'!U$5*'Device Energy Use'!$E9+'Energy Usage'!U22*'Retail Rates'!U$6*(1-'Device Energy Use'!$E9)))/1000000</f>
        <v>3.2489292686286162</v>
      </c>
      <c r="V44" s="120">
        <f>(('Energy Usage'!V22*'Retail Rates'!V$5*'Device Energy Use'!$E9+'Energy Usage'!V22*'Retail Rates'!V$6*(1-'Device Energy Use'!$E9)))/1000000</f>
        <v>3.3709364798260717</v>
      </c>
      <c r="W44" s="120">
        <f>(('Energy Usage'!W22*'Retail Rates'!W$5*'Device Energy Use'!$E9+'Energy Usage'!W22*'Retail Rates'!W$6*(1-'Device Energy Use'!$E9)))/1000000</f>
        <v>3.4901319087035647</v>
      </c>
    </row>
    <row r="47" spans="1:23">
      <c r="A47" s="12" t="s">
        <v>114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7" t="str">
        <f t="shared" ref="A49:A54" si="12">A58</f>
        <v>Total</v>
      </c>
      <c r="B49" s="126">
        <f t="shared" ref="B49:W49" si="13">SUM(B50:B54)</f>
        <v>17.149024789765711</v>
      </c>
      <c r="C49" s="126">
        <f t="shared" si="13"/>
        <v>23.615079847896599</v>
      </c>
      <c r="D49" s="126">
        <f t="shared" si="13"/>
        <v>23.32846950213397</v>
      </c>
      <c r="E49" s="126">
        <f t="shared" si="13"/>
        <v>23.067398634847436</v>
      </c>
      <c r="F49" s="126">
        <f t="shared" si="13"/>
        <v>22.83048334340284</v>
      </c>
      <c r="G49" s="126">
        <f t="shared" si="13"/>
        <v>22.616422072333961</v>
      </c>
      <c r="H49" s="126">
        <f t="shared" si="13"/>
        <v>22.423990836224561</v>
      </c>
      <c r="I49" s="126">
        <f t="shared" si="13"/>
        <v>22.252038719862245</v>
      </c>
      <c r="J49" s="126">
        <f t="shared" si="13"/>
        <v>22.09948363967613</v>
      </c>
      <c r="K49" s="126">
        <f t="shared" si="13"/>
        <v>21.965308351386092</v>
      </c>
      <c r="L49" s="126">
        <f t="shared" si="13"/>
        <v>21.848556689654902</v>
      </c>
      <c r="M49" s="126">
        <f t="shared" si="13"/>
        <v>21.748330026349336</v>
      </c>
      <c r="N49" s="126">
        <f t="shared" si="13"/>
        <v>21.663783934784831</v>
      </c>
      <c r="O49" s="126">
        <f t="shared" si="13"/>
        <v>21.59412504805271</v>
      </c>
      <c r="P49" s="126">
        <f t="shared" si="13"/>
        <v>21.538608100212549</v>
      </c>
      <c r="Q49" s="126">
        <f t="shared" si="13"/>
        <v>21.496533139776847</v>
      </c>
      <c r="R49" s="126">
        <f t="shared" si="13"/>
        <v>21.467242905522738</v>
      </c>
      <c r="S49" s="126">
        <f t="shared" si="13"/>
        <v>21.450120355238759</v>
      </c>
      <c r="T49" s="126">
        <f t="shared" si="13"/>
        <v>21.444586338555098</v>
      </c>
      <c r="U49" s="126">
        <f t="shared" si="13"/>
        <v>21.450097405515201</v>
      </c>
      <c r="V49" s="126">
        <f t="shared" si="13"/>
        <v>21.4661437430272</v>
      </c>
      <c r="W49" s="126">
        <f t="shared" si="13"/>
        <v>21.492247231786529</v>
      </c>
    </row>
    <row r="50" spans="1:23" ht="16.5" thickTop="1">
      <c r="A50" s="9" t="str">
        <f t="shared" si="12"/>
        <v>Electric Resistance</v>
      </c>
      <c r="B50" s="120">
        <f t="shared" ref="B50:W50" si="14">B59+B68+B77</f>
        <v>17.149024789765711</v>
      </c>
      <c r="C50" s="120">
        <f t="shared" si="14"/>
        <v>16.127991551697228</v>
      </c>
      <c r="D50" s="120">
        <f t="shared" si="14"/>
        <v>15.167786509671354</v>
      </c>
      <c r="E50" s="120">
        <f t="shared" si="14"/>
        <v>14.26478317717523</v>
      </c>
      <c r="F50" s="120">
        <f t="shared" si="14"/>
        <v>13.415571461187623</v>
      </c>
      <c r="G50" s="120">
        <f t="shared" si="14"/>
        <v>12.616944736564266</v>
      </c>
      <c r="H50" s="120">
        <f t="shared" si="14"/>
        <v>11.865887693444728</v>
      </c>
      <c r="I50" s="120">
        <f t="shared" si="14"/>
        <v>11.159564911382546</v>
      </c>
      <c r="J50" s="120">
        <f t="shared" si="14"/>
        <v>10.495310116678164</v>
      </c>
      <c r="K50" s="120">
        <f t="shared" si="14"/>
        <v>9.8706160820048705</v>
      </c>
      <c r="L50" s="120">
        <f t="shared" si="14"/>
        <v>9.2831251298716584</v>
      </c>
      <c r="M50" s="120">
        <f t="shared" si="14"/>
        <v>8.7306202037733254</v>
      </c>
      <c r="N50" s="120">
        <f t="shared" si="14"/>
        <v>8.2110164730458166</v>
      </c>
      <c r="O50" s="120">
        <f t="shared" si="14"/>
        <v>7.7223534394822542</v>
      </c>
      <c r="P50" s="120">
        <f t="shared" si="14"/>
        <v>7.262787515680257</v>
      </c>
      <c r="Q50" s="120">
        <f t="shared" si="14"/>
        <v>6.8305850468911737</v>
      </c>
      <c r="R50" s="120">
        <f t="shared" si="14"/>
        <v>6.4241157498337671</v>
      </c>
      <c r="S50" s="120">
        <f t="shared" si="14"/>
        <v>6.0418465435253577</v>
      </c>
      <c r="T50" s="120">
        <f t="shared" si="14"/>
        <v>5.6823357486781605</v>
      </c>
      <c r="U50" s="120">
        <f t="shared" si="14"/>
        <v>5.3442276336138388</v>
      </c>
      <c r="V50" s="120">
        <f t="shared" si="14"/>
        <v>5.0262472859699612</v>
      </c>
      <c r="W50" s="120">
        <f t="shared" si="14"/>
        <v>4.7271957907136875</v>
      </c>
    </row>
    <row r="51" spans="1:23">
      <c r="A51" s="9" t="str">
        <f t="shared" si="12"/>
        <v>HPWH</v>
      </c>
      <c r="B51" s="120">
        <f t="shared" ref="B51:W51" si="15">B60+B69+B78</f>
        <v>0</v>
      </c>
      <c r="C51" s="120">
        <f t="shared" si="15"/>
        <v>7.4870882961993699</v>
      </c>
      <c r="D51" s="120">
        <f t="shared" si="15"/>
        <v>8.1606829924626147</v>
      </c>
      <c r="E51" s="120">
        <f t="shared" si="15"/>
        <v>8.8026154576722071</v>
      </c>
      <c r="F51" s="120">
        <f t="shared" si="15"/>
        <v>9.4149118822152165</v>
      </c>
      <c r="G51" s="120">
        <f t="shared" si="15"/>
        <v>9.9994773357696936</v>
      </c>
      <c r="H51" s="120">
        <f t="shared" si="15"/>
        <v>10.558103142779833</v>
      </c>
      <c r="I51" s="120">
        <f t="shared" si="15"/>
        <v>11.092473808479699</v>
      </c>
      <c r="J51" s="120">
        <f t="shared" si="15"/>
        <v>11.604173522997964</v>
      </c>
      <c r="K51" s="120">
        <f t="shared" si="15"/>
        <v>12.094692269381223</v>
      </c>
      <c r="L51" s="120">
        <f t="shared" si="15"/>
        <v>12.565431559783244</v>
      </c>
      <c r="M51" s="120">
        <f t="shared" si="15"/>
        <v>13.017709822576009</v>
      </c>
      <c r="N51" s="120">
        <f t="shared" si="15"/>
        <v>13.452767461739016</v>
      </c>
      <c r="O51" s="120">
        <f t="shared" si="15"/>
        <v>13.871771608570455</v>
      </c>
      <c r="P51" s="120">
        <f t="shared" si="15"/>
        <v>14.275820584532291</v>
      </c>
      <c r="Q51" s="120">
        <f t="shared" si="15"/>
        <v>14.665948092885674</v>
      </c>
      <c r="R51" s="120">
        <f t="shared" si="15"/>
        <v>15.043127155688969</v>
      </c>
      <c r="S51" s="120">
        <f t="shared" si="15"/>
        <v>15.408273811713403</v>
      </c>
      <c r="T51" s="120">
        <f t="shared" si="15"/>
        <v>15.762250589876938</v>
      </c>
      <c r="U51" s="120">
        <f t="shared" si="15"/>
        <v>16.105869771901361</v>
      </c>
      <c r="V51" s="120">
        <f t="shared" si="15"/>
        <v>16.439896457057237</v>
      </c>
      <c r="W51" s="120">
        <f t="shared" si="15"/>
        <v>16.765051441072842</v>
      </c>
    </row>
    <row r="52" spans="1:23">
      <c r="A52" s="9" t="str">
        <f t="shared" si="12"/>
        <v>Gas Tank</v>
      </c>
      <c r="B52" s="120">
        <f t="shared" ref="B52:W52" si="16">B61+B70+B79</f>
        <v>0</v>
      </c>
      <c r="C52" s="120">
        <f t="shared" si="16"/>
        <v>0</v>
      </c>
      <c r="D52" s="120">
        <f t="shared" si="16"/>
        <v>0</v>
      </c>
      <c r="E52" s="120">
        <f t="shared" si="16"/>
        <v>0</v>
      </c>
      <c r="F52" s="120">
        <f t="shared" si="16"/>
        <v>0</v>
      </c>
      <c r="G52" s="120">
        <f t="shared" si="16"/>
        <v>0</v>
      </c>
      <c r="H52" s="120">
        <f t="shared" si="16"/>
        <v>0</v>
      </c>
      <c r="I52" s="120">
        <f t="shared" si="16"/>
        <v>0</v>
      </c>
      <c r="J52" s="120">
        <f t="shared" si="16"/>
        <v>0</v>
      </c>
      <c r="K52" s="120">
        <f t="shared" si="16"/>
        <v>0</v>
      </c>
      <c r="L52" s="120">
        <f t="shared" si="16"/>
        <v>0</v>
      </c>
      <c r="M52" s="120">
        <f t="shared" si="16"/>
        <v>0</v>
      </c>
      <c r="N52" s="120">
        <f t="shared" si="16"/>
        <v>0</v>
      </c>
      <c r="O52" s="120">
        <f t="shared" si="16"/>
        <v>0</v>
      </c>
      <c r="P52" s="120">
        <f t="shared" si="16"/>
        <v>0</v>
      </c>
      <c r="Q52" s="120">
        <f t="shared" si="16"/>
        <v>0</v>
      </c>
      <c r="R52" s="120">
        <f t="shared" si="16"/>
        <v>0</v>
      </c>
      <c r="S52" s="120">
        <f t="shared" si="16"/>
        <v>0</v>
      </c>
      <c r="T52" s="120">
        <f t="shared" si="16"/>
        <v>0</v>
      </c>
      <c r="U52" s="120">
        <f t="shared" si="16"/>
        <v>0</v>
      </c>
      <c r="V52" s="120">
        <f t="shared" si="16"/>
        <v>0</v>
      </c>
      <c r="W52" s="120">
        <f t="shared" si="16"/>
        <v>0</v>
      </c>
    </row>
    <row r="53" spans="1:23">
      <c r="A53" s="9" t="str">
        <f t="shared" si="12"/>
        <v>Instant Gas</v>
      </c>
      <c r="B53" s="120">
        <f t="shared" ref="B53:W53" si="17">B62+B71+B80</f>
        <v>0</v>
      </c>
      <c r="C53" s="120">
        <f t="shared" si="17"/>
        <v>0</v>
      </c>
      <c r="D53" s="120">
        <f t="shared" si="17"/>
        <v>0</v>
      </c>
      <c r="E53" s="120">
        <f t="shared" si="17"/>
        <v>0</v>
      </c>
      <c r="F53" s="120">
        <f t="shared" si="17"/>
        <v>0</v>
      </c>
      <c r="G53" s="120">
        <f t="shared" si="17"/>
        <v>0</v>
      </c>
      <c r="H53" s="120">
        <f t="shared" si="17"/>
        <v>0</v>
      </c>
      <c r="I53" s="120">
        <f t="shared" si="17"/>
        <v>0</v>
      </c>
      <c r="J53" s="120">
        <f t="shared" si="17"/>
        <v>0</v>
      </c>
      <c r="K53" s="120">
        <f t="shared" si="17"/>
        <v>0</v>
      </c>
      <c r="L53" s="120">
        <f t="shared" si="17"/>
        <v>0</v>
      </c>
      <c r="M53" s="120">
        <f t="shared" si="17"/>
        <v>0</v>
      </c>
      <c r="N53" s="120">
        <f t="shared" si="17"/>
        <v>0</v>
      </c>
      <c r="O53" s="120">
        <f t="shared" si="17"/>
        <v>0</v>
      </c>
      <c r="P53" s="120">
        <f t="shared" si="17"/>
        <v>0</v>
      </c>
      <c r="Q53" s="120">
        <f t="shared" si="17"/>
        <v>0</v>
      </c>
      <c r="R53" s="120">
        <f t="shared" si="17"/>
        <v>0</v>
      </c>
      <c r="S53" s="120">
        <f t="shared" si="17"/>
        <v>0</v>
      </c>
      <c r="T53" s="120">
        <f t="shared" si="17"/>
        <v>0</v>
      </c>
      <c r="U53" s="120">
        <f t="shared" si="17"/>
        <v>0</v>
      </c>
      <c r="V53" s="120">
        <f t="shared" si="17"/>
        <v>0</v>
      </c>
      <c r="W53" s="120">
        <f t="shared" si="17"/>
        <v>0</v>
      </c>
    </row>
    <row r="54" spans="1:23">
      <c r="A54" s="9" t="str">
        <f t="shared" si="12"/>
        <v>Condensing Gas</v>
      </c>
      <c r="B54" s="120">
        <f t="shared" ref="B54:W54" si="18">B63+B72+B81</f>
        <v>0</v>
      </c>
      <c r="C54" s="120">
        <f t="shared" si="18"/>
        <v>0</v>
      </c>
      <c r="D54" s="120">
        <f t="shared" si="18"/>
        <v>0</v>
      </c>
      <c r="E54" s="120">
        <f t="shared" si="18"/>
        <v>0</v>
      </c>
      <c r="F54" s="120">
        <f t="shared" si="18"/>
        <v>0</v>
      </c>
      <c r="G54" s="120">
        <f t="shared" si="18"/>
        <v>0</v>
      </c>
      <c r="H54" s="120">
        <f t="shared" si="18"/>
        <v>0</v>
      </c>
      <c r="I54" s="120">
        <f t="shared" si="18"/>
        <v>0</v>
      </c>
      <c r="J54" s="120">
        <f t="shared" si="18"/>
        <v>0</v>
      </c>
      <c r="K54" s="120">
        <f t="shared" si="18"/>
        <v>0</v>
      </c>
      <c r="L54" s="120">
        <f t="shared" si="18"/>
        <v>0</v>
      </c>
      <c r="M54" s="120">
        <f t="shared" si="18"/>
        <v>0</v>
      </c>
      <c r="N54" s="120">
        <f t="shared" si="18"/>
        <v>0</v>
      </c>
      <c r="O54" s="120">
        <f t="shared" si="18"/>
        <v>0</v>
      </c>
      <c r="P54" s="120">
        <f t="shared" si="18"/>
        <v>0</v>
      </c>
      <c r="Q54" s="120">
        <f t="shared" si="18"/>
        <v>0</v>
      </c>
      <c r="R54" s="120">
        <f t="shared" si="18"/>
        <v>0</v>
      </c>
      <c r="S54" s="120">
        <f t="shared" si="18"/>
        <v>0</v>
      </c>
      <c r="T54" s="120">
        <f t="shared" si="18"/>
        <v>0</v>
      </c>
      <c r="U54" s="120">
        <f t="shared" si="18"/>
        <v>0</v>
      </c>
      <c r="V54" s="120">
        <f t="shared" si="18"/>
        <v>0</v>
      </c>
      <c r="W54" s="120">
        <f t="shared" si="18"/>
        <v>0</v>
      </c>
    </row>
    <row r="55" spans="1:23">
      <c r="A55" s="12"/>
    </row>
    <row r="56" spans="1:23">
      <c r="A56" s="12" t="s">
        <v>115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7" t="s">
        <v>44</v>
      </c>
      <c r="B58" s="126">
        <f t="shared" ref="B58" si="19">SUM(B59:B63)</f>
        <v>0</v>
      </c>
      <c r="C58" s="126">
        <f t="shared" ref="C58:D58" si="20">SUM(C59:C63)</f>
        <v>6.7796762035203662</v>
      </c>
      <c r="D58" s="126">
        <f t="shared" si="20"/>
        <v>6.7796762035203662</v>
      </c>
      <c r="E58" s="126">
        <f t="shared" ref="E58:W58" si="21">SUM(E59:E63)</f>
        <v>6.7796762035203662</v>
      </c>
      <c r="F58" s="126">
        <f t="shared" si="21"/>
        <v>6.7796762035203662</v>
      </c>
      <c r="G58" s="126">
        <f t="shared" si="21"/>
        <v>6.7796762035203662</v>
      </c>
      <c r="H58" s="126">
        <f t="shared" si="21"/>
        <v>6.7796762035203644</v>
      </c>
      <c r="I58" s="126">
        <f t="shared" si="21"/>
        <v>6.7796762035203644</v>
      </c>
      <c r="J58" s="126">
        <f t="shared" si="21"/>
        <v>6.7796762035203644</v>
      </c>
      <c r="K58" s="126">
        <f t="shared" si="21"/>
        <v>6.7796762035203644</v>
      </c>
      <c r="L58" s="126">
        <f t="shared" si="21"/>
        <v>6.7796762035203644</v>
      </c>
      <c r="M58" s="126">
        <f t="shared" si="21"/>
        <v>6.7796762035203644</v>
      </c>
      <c r="N58" s="126">
        <f t="shared" si="21"/>
        <v>6.7796762035203644</v>
      </c>
      <c r="O58" s="126">
        <f t="shared" si="21"/>
        <v>6.7796762035203644</v>
      </c>
      <c r="P58" s="126">
        <f t="shared" si="21"/>
        <v>6.7796762035203644</v>
      </c>
      <c r="Q58" s="126">
        <f t="shared" si="21"/>
        <v>6.7796762035203644</v>
      </c>
      <c r="R58" s="126">
        <f t="shared" si="21"/>
        <v>6.7796762035203644</v>
      </c>
      <c r="S58" s="126">
        <f t="shared" si="21"/>
        <v>6.7796762035203644</v>
      </c>
      <c r="T58" s="126">
        <f t="shared" si="21"/>
        <v>6.7796762035203644</v>
      </c>
      <c r="U58" s="126">
        <f t="shared" si="21"/>
        <v>6.7796762035203644</v>
      </c>
      <c r="V58" s="126">
        <f t="shared" si="21"/>
        <v>6.7796762035203644</v>
      </c>
      <c r="W58" s="126">
        <f t="shared" si="21"/>
        <v>6.7796762035203662</v>
      </c>
    </row>
    <row r="59" spans="1:23" ht="16.5" thickTop="1">
      <c r="A59" s="37" t="str">
        <f>'Water Heaters Purchased'!A15</f>
        <v>Electric Resistance</v>
      </c>
      <c r="B59" s="120">
        <f>'Water Heaters Purchased'!B15*'Capital Cost'!$E5/1000000</f>
        <v>0</v>
      </c>
      <c r="C59" s="120">
        <f>'Water Heaters Purchased'!C15*'Capital Cost'!$E5/1000000</f>
        <v>0</v>
      </c>
      <c r="D59" s="120">
        <f>'Water Heaters Purchased'!D15*'Capital Cost'!$E5/1000000</f>
        <v>0</v>
      </c>
      <c r="E59" s="120">
        <f>'Water Heaters Purchased'!E15*'Capital Cost'!$E5/1000000</f>
        <v>0</v>
      </c>
      <c r="F59" s="120">
        <f>'Water Heaters Purchased'!F15*'Capital Cost'!$E5/1000000</f>
        <v>0</v>
      </c>
      <c r="G59" s="120">
        <f>'Water Heaters Purchased'!G15*'Capital Cost'!$E5/1000000</f>
        <v>0</v>
      </c>
      <c r="H59" s="120">
        <f>'Water Heaters Purchased'!H15*'Capital Cost'!$E5/1000000</f>
        <v>0</v>
      </c>
      <c r="I59" s="120">
        <f>'Water Heaters Purchased'!I15*'Capital Cost'!$E5/1000000</f>
        <v>0</v>
      </c>
      <c r="J59" s="120">
        <f>'Water Heaters Purchased'!J15*'Capital Cost'!$E5/1000000</f>
        <v>0</v>
      </c>
      <c r="K59" s="120">
        <f>'Water Heaters Purchased'!K15*'Capital Cost'!$E5/1000000</f>
        <v>0</v>
      </c>
      <c r="L59" s="120">
        <f>'Water Heaters Purchased'!L15*'Capital Cost'!$E5/1000000</f>
        <v>0</v>
      </c>
      <c r="M59" s="120">
        <f>'Water Heaters Purchased'!M15*'Capital Cost'!$E5/1000000</f>
        <v>0</v>
      </c>
      <c r="N59" s="120">
        <f>'Water Heaters Purchased'!N15*'Capital Cost'!$E5/1000000</f>
        <v>0</v>
      </c>
      <c r="O59" s="120">
        <f>'Water Heaters Purchased'!O15*'Capital Cost'!$E5/1000000</f>
        <v>0</v>
      </c>
      <c r="P59" s="120">
        <f>'Water Heaters Purchased'!P15*'Capital Cost'!$E5/1000000</f>
        <v>0</v>
      </c>
      <c r="Q59" s="120">
        <f>'Water Heaters Purchased'!Q15*'Capital Cost'!$E5/1000000</f>
        <v>0</v>
      </c>
      <c r="R59" s="120">
        <f>'Water Heaters Purchased'!R15*'Capital Cost'!$E5/1000000</f>
        <v>0</v>
      </c>
      <c r="S59" s="120">
        <f>'Water Heaters Purchased'!S15*'Capital Cost'!$E5/1000000</f>
        <v>0</v>
      </c>
      <c r="T59" s="120">
        <f>'Water Heaters Purchased'!T15*'Capital Cost'!$E5/1000000</f>
        <v>0</v>
      </c>
      <c r="U59" s="120">
        <f>'Water Heaters Purchased'!U15*'Capital Cost'!$E5/1000000</f>
        <v>0</v>
      </c>
      <c r="V59" s="120">
        <f>'Water Heaters Purchased'!V15*'Capital Cost'!$E5/1000000</f>
        <v>0</v>
      </c>
      <c r="W59" s="120">
        <f>'Water Heaters Purchased'!W15*'Capital Cost'!$E5/1000000</f>
        <v>0</v>
      </c>
    </row>
    <row r="60" spans="1:23">
      <c r="A60" s="37" t="str">
        <f>'Water Heaters Purchased'!A16</f>
        <v>HPWH</v>
      </c>
      <c r="B60" s="120">
        <f>'Water Heaters Purchased'!B16*'Capital Cost'!$E6/1000000</f>
        <v>0</v>
      </c>
      <c r="C60" s="120">
        <f>'Water Heaters Purchased'!C16*'Capital Cost'!$E6/1000000</f>
        <v>6.7796762035203662</v>
      </c>
      <c r="D60" s="120">
        <f>'Water Heaters Purchased'!D16*'Capital Cost'!$E6/1000000</f>
        <v>6.7796762035203662</v>
      </c>
      <c r="E60" s="120">
        <f>'Water Heaters Purchased'!E16*'Capital Cost'!$E6/1000000</f>
        <v>6.7796762035203662</v>
      </c>
      <c r="F60" s="120">
        <f>'Water Heaters Purchased'!F16*'Capital Cost'!$E6/1000000</f>
        <v>6.7796762035203662</v>
      </c>
      <c r="G60" s="120">
        <f>'Water Heaters Purchased'!G16*'Capital Cost'!$E6/1000000</f>
        <v>6.7796762035203662</v>
      </c>
      <c r="H60" s="120">
        <f>'Water Heaters Purchased'!H16*'Capital Cost'!$E6/1000000</f>
        <v>6.7796762035203644</v>
      </c>
      <c r="I60" s="120">
        <f>'Water Heaters Purchased'!I16*'Capital Cost'!$E6/1000000</f>
        <v>6.7796762035203644</v>
      </c>
      <c r="J60" s="120">
        <f>'Water Heaters Purchased'!J16*'Capital Cost'!$E6/1000000</f>
        <v>6.7796762035203644</v>
      </c>
      <c r="K60" s="120">
        <f>'Water Heaters Purchased'!K16*'Capital Cost'!$E6/1000000</f>
        <v>6.7796762035203644</v>
      </c>
      <c r="L60" s="120">
        <f>'Water Heaters Purchased'!L16*'Capital Cost'!$E6/1000000</f>
        <v>6.7796762035203644</v>
      </c>
      <c r="M60" s="120">
        <f>'Water Heaters Purchased'!M16*'Capital Cost'!$E6/1000000</f>
        <v>6.7796762035203644</v>
      </c>
      <c r="N60" s="120">
        <f>'Water Heaters Purchased'!N16*'Capital Cost'!$E6/1000000</f>
        <v>6.7796762035203644</v>
      </c>
      <c r="O60" s="120">
        <f>'Water Heaters Purchased'!O16*'Capital Cost'!$E6/1000000</f>
        <v>6.7796762035203644</v>
      </c>
      <c r="P60" s="120">
        <f>'Water Heaters Purchased'!P16*'Capital Cost'!$E6/1000000</f>
        <v>6.7796762035203644</v>
      </c>
      <c r="Q60" s="120">
        <f>'Water Heaters Purchased'!Q16*'Capital Cost'!$E6/1000000</f>
        <v>6.7796762035203644</v>
      </c>
      <c r="R60" s="120">
        <f>'Water Heaters Purchased'!R16*'Capital Cost'!$E6/1000000</f>
        <v>6.7796762035203644</v>
      </c>
      <c r="S60" s="120">
        <f>'Water Heaters Purchased'!S16*'Capital Cost'!$E6/1000000</f>
        <v>6.7796762035203644</v>
      </c>
      <c r="T60" s="120">
        <f>'Water Heaters Purchased'!T16*'Capital Cost'!$E6/1000000</f>
        <v>6.7796762035203644</v>
      </c>
      <c r="U60" s="120">
        <f>'Water Heaters Purchased'!U16*'Capital Cost'!$E6/1000000</f>
        <v>6.7796762035203644</v>
      </c>
      <c r="V60" s="120">
        <f>'Water Heaters Purchased'!V16*'Capital Cost'!$E6/1000000</f>
        <v>6.7796762035203644</v>
      </c>
      <c r="W60" s="120">
        <f>'Water Heaters Purchased'!W16*'Capital Cost'!$E6/1000000</f>
        <v>6.7796762035203662</v>
      </c>
    </row>
    <row r="61" spans="1:23">
      <c r="A61" s="37" t="str">
        <f>'Water Heaters Purchased'!A17</f>
        <v>Gas Tank</v>
      </c>
      <c r="B61" s="120">
        <f>'Water Heaters Purchased'!B17*'Capital Cost'!$E7/1000000</f>
        <v>0</v>
      </c>
      <c r="C61" s="120">
        <f>'Water Heaters Purchased'!C17*'Capital Cost'!$E7/1000000</f>
        <v>0</v>
      </c>
      <c r="D61" s="120">
        <f>'Water Heaters Purchased'!D17*'Capital Cost'!$E7/1000000</f>
        <v>0</v>
      </c>
      <c r="E61" s="120">
        <f>'Water Heaters Purchased'!E17*'Capital Cost'!$E7/1000000</f>
        <v>0</v>
      </c>
      <c r="F61" s="120">
        <f>'Water Heaters Purchased'!F17*'Capital Cost'!$E7/1000000</f>
        <v>0</v>
      </c>
      <c r="G61" s="120">
        <f>'Water Heaters Purchased'!G17*'Capital Cost'!$E7/1000000</f>
        <v>0</v>
      </c>
      <c r="H61" s="120">
        <f>'Water Heaters Purchased'!H17*'Capital Cost'!$E7/1000000</f>
        <v>0</v>
      </c>
      <c r="I61" s="120">
        <f>'Water Heaters Purchased'!I17*'Capital Cost'!$E7/1000000</f>
        <v>0</v>
      </c>
      <c r="J61" s="120">
        <f>'Water Heaters Purchased'!J17*'Capital Cost'!$E7/1000000</f>
        <v>0</v>
      </c>
      <c r="K61" s="120">
        <f>'Water Heaters Purchased'!K17*'Capital Cost'!$E7/1000000</f>
        <v>0</v>
      </c>
      <c r="L61" s="120">
        <f>'Water Heaters Purchased'!L17*'Capital Cost'!$E7/1000000</f>
        <v>0</v>
      </c>
      <c r="M61" s="120">
        <f>'Water Heaters Purchased'!M17*'Capital Cost'!$E7/1000000</f>
        <v>0</v>
      </c>
      <c r="N61" s="120">
        <f>'Water Heaters Purchased'!N17*'Capital Cost'!$E7/1000000</f>
        <v>0</v>
      </c>
      <c r="O61" s="120">
        <f>'Water Heaters Purchased'!O17*'Capital Cost'!$E7/1000000</f>
        <v>0</v>
      </c>
      <c r="P61" s="120">
        <f>'Water Heaters Purchased'!P17*'Capital Cost'!$E7/1000000</f>
        <v>0</v>
      </c>
      <c r="Q61" s="120">
        <f>'Water Heaters Purchased'!Q17*'Capital Cost'!$E7/1000000</f>
        <v>0</v>
      </c>
      <c r="R61" s="120">
        <f>'Water Heaters Purchased'!R17*'Capital Cost'!$E7/1000000</f>
        <v>0</v>
      </c>
      <c r="S61" s="120">
        <f>'Water Heaters Purchased'!S17*'Capital Cost'!$E7/1000000</f>
        <v>0</v>
      </c>
      <c r="T61" s="120">
        <f>'Water Heaters Purchased'!T17*'Capital Cost'!$E7/1000000</f>
        <v>0</v>
      </c>
      <c r="U61" s="120">
        <f>'Water Heaters Purchased'!U17*'Capital Cost'!$E7/1000000</f>
        <v>0</v>
      </c>
      <c r="V61" s="120">
        <f>'Water Heaters Purchased'!V17*'Capital Cost'!$E7/1000000</f>
        <v>0</v>
      </c>
      <c r="W61" s="120">
        <f>'Water Heaters Purchased'!W17*'Capital Cost'!$E7/1000000</f>
        <v>0</v>
      </c>
    </row>
    <row r="62" spans="1:23">
      <c r="A62" s="37" t="str">
        <f>'Water Heaters Purchased'!A18</f>
        <v>Instant Gas</v>
      </c>
      <c r="B62" s="120">
        <f>'Water Heaters Purchased'!B18*'Capital Cost'!$E8/1000000</f>
        <v>0</v>
      </c>
      <c r="C62" s="120">
        <f>'Water Heaters Purchased'!C18*'Capital Cost'!$E8/1000000</f>
        <v>0</v>
      </c>
      <c r="D62" s="120">
        <f>'Water Heaters Purchased'!D18*'Capital Cost'!$E8/1000000</f>
        <v>0</v>
      </c>
      <c r="E62" s="120">
        <f>'Water Heaters Purchased'!E18*'Capital Cost'!$E8/1000000</f>
        <v>0</v>
      </c>
      <c r="F62" s="120">
        <f>'Water Heaters Purchased'!F18*'Capital Cost'!$E8/1000000</f>
        <v>0</v>
      </c>
      <c r="G62" s="120">
        <f>'Water Heaters Purchased'!G18*'Capital Cost'!$E8/1000000</f>
        <v>0</v>
      </c>
      <c r="H62" s="120">
        <f>'Water Heaters Purchased'!H18*'Capital Cost'!$E8/1000000</f>
        <v>0</v>
      </c>
      <c r="I62" s="120">
        <f>'Water Heaters Purchased'!I18*'Capital Cost'!$E8/1000000</f>
        <v>0</v>
      </c>
      <c r="J62" s="120">
        <f>'Water Heaters Purchased'!J18*'Capital Cost'!$E8/1000000</f>
        <v>0</v>
      </c>
      <c r="K62" s="120">
        <f>'Water Heaters Purchased'!K18*'Capital Cost'!$E8/1000000</f>
        <v>0</v>
      </c>
      <c r="L62" s="120">
        <f>'Water Heaters Purchased'!L18*'Capital Cost'!$E8/1000000</f>
        <v>0</v>
      </c>
      <c r="M62" s="120">
        <f>'Water Heaters Purchased'!M18*'Capital Cost'!$E8/1000000</f>
        <v>0</v>
      </c>
      <c r="N62" s="120">
        <f>'Water Heaters Purchased'!N18*'Capital Cost'!$E8/1000000</f>
        <v>0</v>
      </c>
      <c r="O62" s="120">
        <f>'Water Heaters Purchased'!O18*'Capital Cost'!$E8/1000000</f>
        <v>0</v>
      </c>
      <c r="P62" s="120">
        <f>'Water Heaters Purchased'!P18*'Capital Cost'!$E8/1000000</f>
        <v>0</v>
      </c>
      <c r="Q62" s="120">
        <f>'Water Heaters Purchased'!Q18*'Capital Cost'!$E8/1000000</f>
        <v>0</v>
      </c>
      <c r="R62" s="120">
        <f>'Water Heaters Purchased'!R18*'Capital Cost'!$E8/1000000</f>
        <v>0</v>
      </c>
      <c r="S62" s="120">
        <f>'Water Heaters Purchased'!S18*'Capital Cost'!$E8/1000000</f>
        <v>0</v>
      </c>
      <c r="T62" s="120">
        <f>'Water Heaters Purchased'!T18*'Capital Cost'!$E8/1000000</f>
        <v>0</v>
      </c>
      <c r="U62" s="120">
        <f>'Water Heaters Purchased'!U18*'Capital Cost'!$E8/1000000</f>
        <v>0</v>
      </c>
      <c r="V62" s="120">
        <f>'Water Heaters Purchased'!V18*'Capital Cost'!$E8/1000000</f>
        <v>0</v>
      </c>
      <c r="W62" s="120">
        <f>'Water Heaters Purchased'!W18*'Capital Cost'!$E8/1000000</f>
        <v>0</v>
      </c>
    </row>
    <row r="63" spans="1:23">
      <c r="A63" s="37" t="str">
        <f>'Water Heaters Purchased'!A19</f>
        <v>Condensing Gas</v>
      </c>
      <c r="B63" s="120">
        <f>'Water Heaters Purchased'!B19*'Capital Cost'!$E9/1000000</f>
        <v>0</v>
      </c>
      <c r="C63" s="120">
        <f>'Water Heaters Purchased'!C19*'Capital Cost'!$E9/1000000</f>
        <v>0</v>
      </c>
      <c r="D63" s="120">
        <f>'Water Heaters Purchased'!D19*'Capital Cost'!$E9/1000000</f>
        <v>0</v>
      </c>
      <c r="E63" s="120">
        <f>'Water Heaters Purchased'!E19*'Capital Cost'!$E9/1000000</f>
        <v>0</v>
      </c>
      <c r="F63" s="120">
        <f>'Water Heaters Purchased'!F19*'Capital Cost'!$E9/1000000</f>
        <v>0</v>
      </c>
      <c r="G63" s="120">
        <f>'Water Heaters Purchased'!G19*'Capital Cost'!$E9/1000000</f>
        <v>0</v>
      </c>
      <c r="H63" s="120">
        <f>'Water Heaters Purchased'!H19*'Capital Cost'!$E9/1000000</f>
        <v>0</v>
      </c>
      <c r="I63" s="120">
        <f>'Water Heaters Purchased'!I19*'Capital Cost'!$E9/1000000</f>
        <v>0</v>
      </c>
      <c r="J63" s="120">
        <f>'Water Heaters Purchased'!J19*'Capital Cost'!$E9/1000000</f>
        <v>0</v>
      </c>
      <c r="K63" s="120">
        <f>'Water Heaters Purchased'!K19*'Capital Cost'!$E9/1000000</f>
        <v>0</v>
      </c>
      <c r="L63" s="120">
        <f>'Water Heaters Purchased'!L19*'Capital Cost'!$E9/1000000</f>
        <v>0</v>
      </c>
      <c r="M63" s="120">
        <f>'Water Heaters Purchased'!M19*'Capital Cost'!$E9/1000000</f>
        <v>0</v>
      </c>
      <c r="N63" s="120">
        <f>'Water Heaters Purchased'!N19*'Capital Cost'!$E9/1000000</f>
        <v>0</v>
      </c>
      <c r="O63" s="120">
        <f>'Water Heaters Purchased'!O19*'Capital Cost'!$E9/1000000</f>
        <v>0</v>
      </c>
      <c r="P63" s="120">
        <f>'Water Heaters Purchased'!P19*'Capital Cost'!$E9/1000000</f>
        <v>0</v>
      </c>
      <c r="Q63" s="120">
        <f>'Water Heaters Purchased'!Q19*'Capital Cost'!$E9/1000000</f>
        <v>0</v>
      </c>
      <c r="R63" s="120">
        <f>'Water Heaters Purchased'!R19*'Capital Cost'!$E9/1000000</f>
        <v>0</v>
      </c>
      <c r="S63" s="120">
        <f>'Water Heaters Purchased'!S19*'Capital Cost'!$E9/1000000</f>
        <v>0</v>
      </c>
      <c r="T63" s="120">
        <f>'Water Heaters Purchased'!T19*'Capital Cost'!$E9/1000000</f>
        <v>0</v>
      </c>
      <c r="U63" s="120">
        <f>'Water Heaters Purchased'!U19*'Capital Cost'!$E9/1000000</f>
        <v>0</v>
      </c>
      <c r="V63" s="120">
        <f>'Water Heaters Purchased'!V19*'Capital Cost'!$E9/1000000</f>
        <v>0</v>
      </c>
      <c r="W63" s="120">
        <f>'Water Heaters Purchased'!W19*'Capital Cost'!$E9/1000000</f>
        <v>0</v>
      </c>
    </row>
    <row r="64" spans="1:23">
      <c r="A64" s="12"/>
    </row>
    <row r="65" spans="1:23">
      <c r="A65" s="12" t="s">
        <v>116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7" t="str">
        <f t="shared" ref="A67" si="22">A68</f>
        <v>Electric Resistance</v>
      </c>
      <c r="B67" s="126">
        <f t="shared" ref="B67" si="23">SUM(B68:B72)</f>
        <v>0.2581404299613369</v>
      </c>
      <c r="C67" s="126">
        <f t="shared" ref="C67:W67" si="24">SUM(C68:C72)</f>
        <v>0.28053687531963684</v>
      </c>
      <c r="D67" s="126">
        <f t="shared" si="24"/>
        <v>0.30133357458091525</v>
      </c>
      <c r="E67" s="126">
        <f t="shared" si="24"/>
        <v>0.32064479532353102</v>
      </c>
      <c r="F67" s="126">
        <f t="shared" si="24"/>
        <v>0.33857664315595992</v>
      </c>
      <c r="G67" s="126">
        <f t="shared" si="24"/>
        <v>0.35522764471464391</v>
      </c>
      <c r="H67" s="126">
        <f t="shared" si="24"/>
        <v>0.37068928901913611</v>
      </c>
      <c r="I67" s="126">
        <f t="shared" si="24"/>
        <v>0.38504653015902179</v>
      </c>
      <c r="J67" s="126">
        <f t="shared" si="24"/>
        <v>0.39837825407462996</v>
      </c>
      <c r="K67" s="126">
        <f t="shared" si="24"/>
        <v>0.41075771199626609</v>
      </c>
      <c r="L67" s="126">
        <f t="shared" si="24"/>
        <v>0.42225292292349964</v>
      </c>
      <c r="M67" s="126">
        <f t="shared" si="24"/>
        <v>0.43292704735593068</v>
      </c>
      <c r="N67" s="126">
        <f t="shared" si="24"/>
        <v>0.44283873432890247</v>
      </c>
      <c r="O67" s="126">
        <f t="shared" si="24"/>
        <v>0.45204244366094776</v>
      </c>
      <c r="P67" s="126">
        <f t="shared" si="24"/>
        <v>0.46058874518356113</v>
      </c>
      <c r="Q67" s="126">
        <f t="shared" si="24"/>
        <v>0.46852459659741647</v>
      </c>
      <c r="R67" s="126">
        <f t="shared" si="24"/>
        <v>0.47589360148171067</v>
      </c>
      <c r="S67" s="126">
        <f t="shared" si="24"/>
        <v>0.48273624887426958</v>
      </c>
      <c r="T67" s="126">
        <f t="shared" si="24"/>
        <v>0.48909013573878857</v>
      </c>
      <c r="U67" s="126">
        <f t="shared" si="24"/>
        <v>0.49499017354155628</v>
      </c>
      <c r="V67" s="126">
        <f t="shared" si="24"/>
        <v>0.50046878007269768</v>
      </c>
      <c r="W67" s="126">
        <f t="shared" si="24"/>
        <v>0.5055560575659005</v>
      </c>
    </row>
    <row r="68" spans="1:23" ht="16.5" thickTop="1">
      <c r="A68" s="37" t="str">
        <f>'Water Heater Stock'!A15</f>
        <v>Electric Resistance</v>
      </c>
      <c r="B68" s="120">
        <f>'Water Heater Stock'!B15*'O&amp;M Cost'!$D5/1000000</f>
        <v>0.2581404299613369</v>
      </c>
      <c r="C68" s="120">
        <f>'Water Heater Stock'!C15*'O&amp;M Cost'!$D5/1000000</f>
        <v>0.23970182782124141</v>
      </c>
      <c r="D68" s="120">
        <f>'Water Heater Stock'!D15*'O&amp;M Cost'!$D5/1000000</f>
        <v>0.22258026869115272</v>
      </c>
      <c r="E68" s="120">
        <f>'Water Heater Stock'!E15*'O&amp;M Cost'!$D5/1000000</f>
        <v>0.20668167807035609</v>
      </c>
      <c r="F68" s="120">
        <f>'Water Heater Stock'!F15*'O&amp;M Cost'!$D5/1000000</f>
        <v>0.19191870106533068</v>
      </c>
      <c r="G68" s="120">
        <f>'Water Heater Stock'!G15*'O&amp;M Cost'!$D5/1000000</f>
        <v>0.17821022241780704</v>
      </c>
      <c r="H68" s="120">
        <f>'Water Heater Stock'!H15*'O&amp;M Cost'!$D5/1000000</f>
        <v>0.16548092081653509</v>
      </c>
      <c r="I68" s="120">
        <f>'Water Heater Stock'!I15*'O&amp;M Cost'!$D5/1000000</f>
        <v>0.15366085504392546</v>
      </c>
      <c r="J68" s="120">
        <f>'Water Heater Stock'!J15*'O&amp;M Cost'!$D5/1000000</f>
        <v>0.14268507968364508</v>
      </c>
      <c r="K68" s="120">
        <f>'Water Heater Stock'!K15*'O&amp;M Cost'!$D5/1000000</f>
        <v>0.13249328827767043</v>
      </c>
      <c r="L68" s="120">
        <f>'Water Heater Stock'!L15*'O&amp;M Cost'!$D5/1000000</f>
        <v>0.12302948197212253</v>
      </c>
      <c r="M68" s="120">
        <f>'Water Heater Stock'!M15*'O&amp;M Cost'!$D5/1000000</f>
        <v>0.11424166183125663</v>
      </c>
      <c r="N68" s="120">
        <f>'Water Heater Stock'!N15*'O&amp;M Cost'!$D5/1000000</f>
        <v>0.10608154312902401</v>
      </c>
      <c r="O68" s="120">
        <f>'Water Heater Stock'!O15*'O&amp;M Cost'!$D5/1000000</f>
        <v>9.8504290048379448E-2</v>
      </c>
      <c r="P68" s="120">
        <f>'Water Heater Stock'!P15*'O&amp;M Cost'!$D5/1000000</f>
        <v>9.146826933063805E-2</v>
      </c>
      <c r="Q68" s="120">
        <f>'Water Heater Stock'!Q15*'O&amp;M Cost'!$D5/1000000</f>
        <v>8.4934821521306755E-2</v>
      </c>
      <c r="R68" s="120">
        <f>'Water Heater Stock'!R15*'O&amp;M Cost'!$D5/1000000</f>
        <v>7.8868048555499129E-2</v>
      </c>
      <c r="S68" s="120">
        <f>'Water Heater Stock'!S15*'O&amp;M Cost'!$D5/1000000</f>
        <v>7.3234616515820611E-2</v>
      </c>
      <c r="T68" s="120">
        <f>'Water Heater Stock'!T15*'O&amp;M Cost'!$D5/1000000</f>
        <v>6.8003572478976287E-2</v>
      </c>
      <c r="U68" s="120">
        <f>'Water Heater Stock'!U15*'O&amp;M Cost'!$D5/1000000</f>
        <v>6.3146174444763697E-2</v>
      </c>
      <c r="V68" s="120">
        <f>'Water Heater Stock'!V15*'O&amp;M Cost'!$D5/1000000</f>
        <v>5.8635733412994856E-2</v>
      </c>
      <c r="W68" s="120">
        <f>'Water Heater Stock'!W15*'O&amp;M Cost'!$D5/1000000</f>
        <v>5.4447466740638086E-2</v>
      </c>
    </row>
    <row r="69" spans="1:23">
      <c r="A69" s="37" t="str">
        <f>'Water Heater Stock'!A16</f>
        <v>HPWH</v>
      </c>
      <c r="B69" s="120">
        <f>'Water Heater Stock'!B16*'O&amp;M Cost'!$D6/1000000</f>
        <v>0</v>
      </c>
      <c r="C69" s="120">
        <f>'Water Heater Stock'!C16*'O&amp;M Cost'!$D6/1000000</f>
        <v>4.0835047498395408E-2</v>
      </c>
      <c r="D69" s="120">
        <f>'Water Heater Stock'!D16*'O&amp;M Cost'!$D6/1000000</f>
        <v>7.8753305889762565E-2</v>
      </c>
      <c r="E69" s="120">
        <f>'Water Heater Stock'!E16*'O&amp;M Cost'!$D6/1000000</f>
        <v>0.11396311725317493</v>
      </c>
      <c r="F69" s="120">
        <f>'Water Heater Stock'!F16*'O&amp;M Cost'!$D6/1000000</f>
        <v>0.14665794209062927</v>
      </c>
      <c r="G69" s="120">
        <f>'Water Heater Stock'!G16*'O&amp;M Cost'!$D6/1000000</f>
        <v>0.17701742229683687</v>
      </c>
      <c r="H69" s="120">
        <f>'Water Heater Stock'!H16*'O&amp;M Cost'!$D6/1000000</f>
        <v>0.20520836820260105</v>
      </c>
      <c r="I69" s="120">
        <f>'Water Heater Stock'!I16*'O&amp;M Cost'!$D6/1000000</f>
        <v>0.23138567511509636</v>
      </c>
      <c r="J69" s="120">
        <f>'Water Heater Stock'!J16*'O&amp;M Cost'!$D6/1000000</f>
        <v>0.25569317439098488</v>
      </c>
      <c r="K69" s="120">
        <f>'Water Heater Stock'!K16*'O&amp;M Cost'!$D6/1000000</f>
        <v>0.27826442371859567</v>
      </c>
      <c r="L69" s="120">
        <f>'Water Heater Stock'!L16*'O&amp;M Cost'!$D6/1000000</f>
        <v>0.2992234409513771</v>
      </c>
      <c r="M69" s="120">
        <f>'Water Heater Stock'!M16*'O&amp;M Cost'!$D6/1000000</f>
        <v>0.31868538552467407</v>
      </c>
      <c r="N69" s="120">
        <f>'Water Heater Stock'!N16*'O&amp;M Cost'!$D6/1000000</f>
        <v>0.33675719119987846</v>
      </c>
      <c r="O69" s="120">
        <f>'Water Heater Stock'!O16*'O&amp;M Cost'!$D6/1000000</f>
        <v>0.3535381536125683</v>
      </c>
      <c r="P69" s="120">
        <f>'Water Heater Stock'!P16*'O&amp;M Cost'!$D6/1000000</f>
        <v>0.36912047585292307</v>
      </c>
      <c r="Q69" s="120">
        <f>'Water Heater Stock'!Q16*'O&amp;M Cost'!$D6/1000000</f>
        <v>0.3835897750761097</v>
      </c>
      <c r="R69" s="120">
        <f>'Water Heater Stock'!R16*'O&amp;M Cost'!$D6/1000000</f>
        <v>0.39702555292621156</v>
      </c>
      <c r="S69" s="120">
        <f>'Water Heater Stock'!S16*'O&amp;M Cost'!$D6/1000000</f>
        <v>0.409501632358449</v>
      </c>
      <c r="T69" s="120">
        <f>'Water Heater Stock'!T16*'O&amp;M Cost'!$D6/1000000</f>
        <v>0.42108656325981231</v>
      </c>
      <c r="U69" s="120">
        <f>'Water Heater Stock'!U16*'O&amp;M Cost'!$D6/1000000</f>
        <v>0.43184399909679261</v>
      </c>
      <c r="V69" s="120">
        <f>'Water Heater Stock'!V16*'O&amp;M Cost'!$D6/1000000</f>
        <v>0.44183304665970285</v>
      </c>
      <c r="W69" s="120">
        <f>'Water Heater Stock'!W16*'O&amp;M Cost'!$D6/1000000</f>
        <v>0.45110859082526239</v>
      </c>
    </row>
    <row r="70" spans="1:23">
      <c r="A70" s="37" t="str">
        <f>'Water Heater Stock'!A17</f>
        <v>Gas Tank</v>
      </c>
      <c r="B70" s="120">
        <f>'Water Heater Stock'!B17*'O&amp;M Cost'!$D7/1000000</f>
        <v>0</v>
      </c>
      <c r="C70" s="120">
        <f>'Water Heater Stock'!C17*'O&amp;M Cost'!$D7/1000000</f>
        <v>0</v>
      </c>
      <c r="D70" s="120">
        <f>'Water Heater Stock'!D17*'O&amp;M Cost'!$D7/1000000</f>
        <v>0</v>
      </c>
      <c r="E70" s="120">
        <f>'Water Heater Stock'!E17*'O&amp;M Cost'!$D7/1000000</f>
        <v>0</v>
      </c>
      <c r="F70" s="120">
        <f>'Water Heater Stock'!F17*'O&amp;M Cost'!$D7/1000000</f>
        <v>0</v>
      </c>
      <c r="G70" s="120">
        <f>'Water Heater Stock'!G17*'O&amp;M Cost'!$D7/1000000</f>
        <v>0</v>
      </c>
      <c r="H70" s="120">
        <f>'Water Heater Stock'!H17*'O&amp;M Cost'!$D7/1000000</f>
        <v>0</v>
      </c>
      <c r="I70" s="120">
        <f>'Water Heater Stock'!I17*'O&amp;M Cost'!$D7/1000000</f>
        <v>0</v>
      </c>
      <c r="J70" s="120">
        <f>'Water Heater Stock'!J17*'O&amp;M Cost'!$D7/1000000</f>
        <v>0</v>
      </c>
      <c r="K70" s="120">
        <f>'Water Heater Stock'!K17*'O&amp;M Cost'!$D7/1000000</f>
        <v>0</v>
      </c>
      <c r="L70" s="120">
        <f>'Water Heater Stock'!L17*'O&amp;M Cost'!$D7/1000000</f>
        <v>0</v>
      </c>
      <c r="M70" s="120">
        <f>'Water Heater Stock'!M17*'O&amp;M Cost'!$D7/1000000</f>
        <v>0</v>
      </c>
      <c r="N70" s="120">
        <f>'Water Heater Stock'!N17*'O&amp;M Cost'!$D7/1000000</f>
        <v>0</v>
      </c>
      <c r="O70" s="120">
        <f>'Water Heater Stock'!O17*'O&amp;M Cost'!$D7/1000000</f>
        <v>0</v>
      </c>
      <c r="P70" s="120">
        <f>'Water Heater Stock'!P17*'O&amp;M Cost'!$D7/1000000</f>
        <v>0</v>
      </c>
      <c r="Q70" s="120">
        <f>'Water Heater Stock'!Q17*'O&amp;M Cost'!$D7/1000000</f>
        <v>0</v>
      </c>
      <c r="R70" s="120">
        <f>'Water Heater Stock'!R17*'O&amp;M Cost'!$D7/1000000</f>
        <v>0</v>
      </c>
      <c r="S70" s="120">
        <f>'Water Heater Stock'!S17*'O&amp;M Cost'!$D7/1000000</f>
        <v>0</v>
      </c>
      <c r="T70" s="120">
        <f>'Water Heater Stock'!T17*'O&amp;M Cost'!$D7/1000000</f>
        <v>0</v>
      </c>
      <c r="U70" s="120">
        <f>'Water Heater Stock'!U17*'O&amp;M Cost'!$D7/1000000</f>
        <v>0</v>
      </c>
      <c r="V70" s="120">
        <f>'Water Heater Stock'!V17*'O&amp;M Cost'!$D7/1000000</f>
        <v>0</v>
      </c>
      <c r="W70" s="120">
        <f>'Water Heater Stock'!W17*'O&amp;M Cost'!$D7/1000000</f>
        <v>0</v>
      </c>
    </row>
    <row r="71" spans="1:23">
      <c r="A71" s="37" t="str">
        <f>'Water Heater Stock'!A18</f>
        <v>Instant Gas</v>
      </c>
      <c r="B71" s="120">
        <f>'Water Heater Stock'!B18*'O&amp;M Cost'!$D8/1000000</f>
        <v>0</v>
      </c>
      <c r="C71" s="120">
        <f>'Water Heater Stock'!C18*'O&amp;M Cost'!$D8/1000000</f>
        <v>0</v>
      </c>
      <c r="D71" s="120">
        <f>'Water Heater Stock'!D18*'O&amp;M Cost'!$D8/1000000</f>
        <v>0</v>
      </c>
      <c r="E71" s="120">
        <f>'Water Heater Stock'!E18*'O&amp;M Cost'!$D8/1000000</f>
        <v>0</v>
      </c>
      <c r="F71" s="120">
        <f>'Water Heater Stock'!F18*'O&amp;M Cost'!$D8/1000000</f>
        <v>0</v>
      </c>
      <c r="G71" s="120">
        <f>'Water Heater Stock'!G18*'O&amp;M Cost'!$D8/1000000</f>
        <v>0</v>
      </c>
      <c r="H71" s="120">
        <f>'Water Heater Stock'!H18*'O&amp;M Cost'!$D8/1000000</f>
        <v>0</v>
      </c>
      <c r="I71" s="120">
        <f>'Water Heater Stock'!I18*'O&amp;M Cost'!$D8/1000000</f>
        <v>0</v>
      </c>
      <c r="J71" s="120">
        <f>'Water Heater Stock'!J18*'O&amp;M Cost'!$D8/1000000</f>
        <v>0</v>
      </c>
      <c r="K71" s="120">
        <f>'Water Heater Stock'!K18*'O&amp;M Cost'!$D8/1000000</f>
        <v>0</v>
      </c>
      <c r="L71" s="120">
        <f>'Water Heater Stock'!L18*'O&amp;M Cost'!$D8/1000000</f>
        <v>0</v>
      </c>
      <c r="M71" s="120">
        <f>'Water Heater Stock'!M18*'O&amp;M Cost'!$D8/1000000</f>
        <v>0</v>
      </c>
      <c r="N71" s="120">
        <f>'Water Heater Stock'!N18*'O&amp;M Cost'!$D8/1000000</f>
        <v>0</v>
      </c>
      <c r="O71" s="120">
        <f>'Water Heater Stock'!O18*'O&amp;M Cost'!$D8/1000000</f>
        <v>0</v>
      </c>
      <c r="P71" s="120">
        <f>'Water Heater Stock'!P18*'O&amp;M Cost'!$D8/1000000</f>
        <v>0</v>
      </c>
      <c r="Q71" s="120">
        <f>'Water Heater Stock'!Q18*'O&amp;M Cost'!$D8/1000000</f>
        <v>0</v>
      </c>
      <c r="R71" s="120">
        <f>'Water Heater Stock'!R18*'O&amp;M Cost'!$D8/1000000</f>
        <v>0</v>
      </c>
      <c r="S71" s="120">
        <f>'Water Heater Stock'!S18*'O&amp;M Cost'!$D8/1000000</f>
        <v>0</v>
      </c>
      <c r="T71" s="120">
        <f>'Water Heater Stock'!T18*'O&amp;M Cost'!$D8/1000000</f>
        <v>0</v>
      </c>
      <c r="U71" s="120">
        <f>'Water Heater Stock'!U18*'O&amp;M Cost'!$D8/1000000</f>
        <v>0</v>
      </c>
      <c r="V71" s="120">
        <f>'Water Heater Stock'!V18*'O&amp;M Cost'!$D8/1000000</f>
        <v>0</v>
      </c>
      <c r="W71" s="120">
        <f>'Water Heater Stock'!W18*'O&amp;M Cost'!$D8/1000000</f>
        <v>0</v>
      </c>
    </row>
    <row r="72" spans="1:23">
      <c r="A72" s="37" t="str">
        <f>'Water Heater Stock'!A19</f>
        <v>Condensing Gas</v>
      </c>
      <c r="B72" s="120">
        <f>'Water Heater Stock'!B19*'O&amp;M Cost'!$D9/1000000</f>
        <v>0</v>
      </c>
      <c r="C72" s="120">
        <f>'Water Heater Stock'!C19*'O&amp;M Cost'!$D9/1000000</f>
        <v>0</v>
      </c>
      <c r="D72" s="120">
        <f>'Water Heater Stock'!D19*'O&amp;M Cost'!$D9/1000000</f>
        <v>0</v>
      </c>
      <c r="E72" s="120">
        <f>'Water Heater Stock'!E19*'O&amp;M Cost'!$D9/1000000</f>
        <v>0</v>
      </c>
      <c r="F72" s="120">
        <f>'Water Heater Stock'!F19*'O&amp;M Cost'!$D9/1000000</f>
        <v>0</v>
      </c>
      <c r="G72" s="120">
        <f>'Water Heater Stock'!G19*'O&amp;M Cost'!$D9/1000000</f>
        <v>0</v>
      </c>
      <c r="H72" s="120">
        <f>'Water Heater Stock'!H19*'O&amp;M Cost'!$D9/1000000</f>
        <v>0</v>
      </c>
      <c r="I72" s="120">
        <f>'Water Heater Stock'!I19*'O&amp;M Cost'!$D9/1000000</f>
        <v>0</v>
      </c>
      <c r="J72" s="120">
        <f>'Water Heater Stock'!J19*'O&amp;M Cost'!$D9/1000000</f>
        <v>0</v>
      </c>
      <c r="K72" s="120">
        <f>'Water Heater Stock'!K19*'O&amp;M Cost'!$D9/1000000</f>
        <v>0</v>
      </c>
      <c r="L72" s="120">
        <f>'Water Heater Stock'!L19*'O&amp;M Cost'!$D9/1000000</f>
        <v>0</v>
      </c>
      <c r="M72" s="120">
        <f>'Water Heater Stock'!M19*'O&amp;M Cost'!$D9/1000000</f>
        <v>0</v>
      </c>
      <c r="N72" s="120">
        <f>'Water Heater Stock'!N19*'O&amp;M Cost'!$D9/1000000</f>
        <v>0</v>
      </c>
      <c r="O72" s="120">
        <f>'Water Heater Stock'!O19*'O&amp;M Cost'!$D9/1000000</f>
        <v>0</v>
      </c>
      <c r="P72" s="120">
        <f>'Water Heater Stock'!P19*'O&amp;M Cost'!$D9/1000000</f>
        <v>0</v>
      </c>
      <c r="Q72" s="120">
        <f>'Water Heater Stock'!Q19*'O&amp;M Cost'!$D9/1000000</f>
        <v>0</v>
      </c>
      <c r="R72" s="120">
        <f>'Water Heater Stock'!R19*'O&amp;M Cost'!$D9/1000000</f>
        <v>0</v>
      </c>
      <c r="S72" s="120">
        <f>'Water Heater Stock'!S19*'O&amp;M Cost'!$D9/1000000</f>
        <v>0</v>
      </c>
      <c r="T72" s="120">
        <f>'Water Heater Stock'!T19*'O&amp;M Cost'!$D9/1000000</f>
        <v>0</v>
      </c>
      <c r="U72" s="120">
        <f>'Water Heater Stock'!U19*'O&amp;M Cost'!$D9/1000000</f>
        <v>0</v>
      </c>
      <c r="V72" s="120">
        <f>'Water Heater Stock'!V19*'O&amp;M Cost'!$D9/1000000</f>
        <v>0</v>
      </c>
      <c r="W72" s="120">
        <f>'Water Heater Stock'!W19*'O&amp;M Cost'!$D9/1000000</f>
        <v>0</v>
      </c>
    </row>
    <row r="74" spans="1:23">
      <c r="A74" s="12" t="s">
        <v>117</v>
      </c>
    </row>
    <row r="75" spans="1:23">
      <c r="A75" s="14" t="str">
        <f>'Energy Usage'!A25</f>
        <v>Water Heat Ending</v>
      </c>
      <c r="B75" s="55">
        <f>'Energy Usage'!B25</f>
        <v>2014</v>
      </c>
      <c r="C75" s="55">
        <f>'Energy Usage'!C25</f>
        <v>2015</v>
      </c>
      <c r="D75" s="55">
        <f>'Energy Usage'!D25</f>
        <v>2016</v>
      </c>
      <c r="E75" s="55">
        <f>'Energy Usage'!E25</f>
        <v>2017</v>
      </c>
      <c r="F75" s="55">
        <f>'Energy Usage'!F25</f>
        <v>2018</v>
      </c>
      <c r="G75" s="55">
        <f>'Energy Usage'!G25</f>
        <v>2019</v>
      </c>
      <c r="H75" s="55">
        <f>'Energy Usage'!H25</f>
        <v>2020</v>
      </c>
      <c r="I75" s="55">
        <f>'Energy Usage'!I25</f>
        <v>2021</v>
      </c>
      <c r="J75" s="55">
        <f>'Energy Usage'!J25</f>
        <v>2022</v>
      </c>
      <c r="K75" s="55">
        <f>'Energy Usage'!K25</f>
        <v>2023</v>
      </c>
      <c r="L75" s="55">
        <f>'Energy Usage'!L25</f>
        <v>2024</v>
      </c>
      <c r="M75" s="55">
        <f>'Energy Usage'!M25</f>
        <v>2025</v>
      </c>
      <c r="N75" s="55">
        <f>'Energy Usage'!N25</f>
        <v>2026</v>
      </c>
      <c r="O75" s="55">
        <f>'Energy Usage'!O25</f>
        <v>2027</v>
      </c>
      <c r="P75" s="55">
        <f>'Energy Usage'!P25</f>
        <v>2028</v>
      </c>
      <c r="Q75" s="55">
        <f>'Energy Usage'!Q25</f>
        <v>2029</v>
      </c>
      <c r="R75" s="55">
        <f>'Energy Usage'!R25</f>
        <v>2030</v>
      </c>
      <c r="S75" s="55">
        <f>'Energy Usage'!S25</f>
        <v>2031</v>
      </c>
      <c r="T75" s="55">
        <f>'Energy Usage'!T25</f>
        <v>2032</v>
      </c>
      <c r="U75" s="55">
        <f>'Energy Usage'!U25</f>
        <v>2033</v>
      </c>
      <c r="V75" s="55">
        <f>'Energy Usage'!V25</f>
        <v>2034</v>
      </c>
      <c r="W75" s="55">
        <f>'Energy Usage'!W25</f>
        <v>2035</v>
      </c>
    </row>
    <row r="76" spans="1:23" ht="16.5" thickBot="1">
      <c r="A76" s="48" t="s">
        <v>44</v>
      </c>
      <c r="B76" s="126">
        <f t="shared" ref="B76:W76" si="25">SUM(B77:B81)</f>
        <v>16.890884359804375</v>
      </c>
      <c r="C76" s="126">
        <f t="shared" si="25"/>
        <v>16.554866769056591</v>
      </c>
      <c r="D76" s="126">
        <f t="shared" si="25"/>
        <v>16.247459724032687</v>
      </c>
      <c r="E76" s="126">
        <f t="shared" si="25"/>
        <v>15.967077636003539</v>
      </c>
      <c r="F76" s="126">
        <f t="shared" si="25"/>
        <v>15.712230496726512</v>
      </c>
      <c r="G76" s="126">
        <f t="shared" si="25"/>
        <v>15.48151822409895</v>
      </c>
      <c r="H76" s="126">
        <f t="shared" si="25"/>
        <v>15.273625343685062</v>
      </c>
      <c r="I76" s="126">
        <f t="shared" si="25"/>
        <v>15.087315986182858</v>
      </c>
      <c r="J76" s="126">
        <f t="shared" si="25"/>
        <v>14.921429182081134</v>
      </c>
      <c r="K76" s="126">
        <f t="shared" si="25"/>
        <v>14.774874435869464</v>
      </c>
      <c r="L76" s="126">
        <f t="shared" si="25"/>
        <v>14.646627563211037</v>
      </c>
      <c r="M76" s="126">
        <f t="shared" si="25"/>
        <v>14.535726775473041</v>
      </c>
      <c r="N76" s="126">
        <f t="shared" si="25"/>
        <v>14.441268996935566</v>
      </c>
      <c r="O76" s="126">
        <f t="shared" si="25"/>
        <v>14.362406400871398</v>
      </c>
      <c r="P76" s="126">
        <f t="shared" si="25"/>
        <v>14.298343151508623</v>
      </c>
      <c r="Q76" s="126">
        <f t="shared" si="25"/>
        <v>14.248332339659068</v>
      </c>
      <c r="R76" s="126">
        <f t="shared" si="25"/>
        <v>14.211673100520661</v>
      </c>
      <c r="S76" s="126">
        <f t="shared" si="25"/>
        <v>14.187707902844126</v>
      </c>
      <c r="T76" s="126">
        <f t="shared" si="25"/>
        <v>14.175819999295946</v>
      </c>
      <c r="U76" s="126">
        <f t="shared" si="25"/>
        <v>14.17543102845328</v>
      </c>
      <c r="V76" s="126">
        <f t="shared" si="25"/>
        <v>14.185998759434135</v>
      </c>
      <c r="W76" s="126">
        <f t="shared" si="25"/>
        <v>14.207014970700262</v>
      </c>
    </row>
    <row r="77" spans="1:23" ht="16.5" thickTop="1">
      <c r="A77" s="37" t="str">
        <f>'Energy Usage'!A27</f>
        <v>Electric Resistance</v>
      </c>
      <c r="B77" s="120">
        <f>(('Energy Usage'!B27*'Retail Rates'!B$5*'Device Energy Use'!$E5+'Energy Usage'!B27*'Retail Rates'!B$6*(1-'Device Energy Use'!$E5)))/1000000</f>
        <v>16.890884359804375</v>
      </c>
      <c r="C77" s="120">
        <f>(('Energy Usage'!C27*'Retail Rates'!C$5*'Device Energy Use'!$E5+'Energy Usage'!C27*'Retail Rates'!C$6*(1-'Device Energy Use'!$E5)))/1000000</f>
        <v>15.888289723875985</v>
      </c>
      <c r="D77" s="120">
        <f>(('Energy Usage'!D27*'Retail Rates'!D$5*'Device Energy Use'!$E5+'Energy Usage'!D27*'Retail Rates'!D$6*(1-'Device Energy Use'!$E5)))/1000000</f>
        <v>14.9452062409802</v>
      </c>
      <c r="E77" s="120">
        <f>(('Energy Usage'!E27*'Retail Rates'!E$5*'Device Energy Use'!$E5+'Energy Usage'!E27*'Retail Rates'!E$6*(1-'Device Energy Use'!$E5)))/1000000</f>
        <v>14.058101499104874</v>
      </c>
      <c r="F77" s="120">
        <f>(('Energy Usage'!F27*'Retail Rates'!F$5*'Device Energy Use'!$E5+'Energy Usage'!F27*'Retail Rates'!F$6*(1-'Device Energy Use'!$E5)))/1000000</f>
        <v>13.223652760122292</v>
      </c>
      <c r="G77" s="120">
        <f>(('Energy Usage'!G27*'Retail Rates'!G$5*'Device Energy Use'!$E5+'Energy Usage'!G27*'Retail Rates'!G$6*(1-'Device Energy Use'!$E5)))/1000000</f>
        <v>12.438734514146459</v>
      </c>
      <c r="H77" s="120">
        <f>(('Energy Usage'!H27*'Retail Rates'!H$5*'Device Energy Use'!$E5+'Energy Usage'!H27*'Retail Rates'!H$6*(1-'Device Energy Use'!$E5)))/1000000</f>
        <v>11.700406772628194</v>
      </c>
      <c r="I77" s="120">
        <f>(('Energy Usage'!I27*'Retail Rates'!I$5*'Device Energy Use'!$E5+'Energy Usage'!I27*'Retail Rates'!I$6*(1-'Device Energy Use'!$E5)))/1000000</f>
        <v>11.00590405633862</v>
      </c>
      <c r="J77" s="120">
        <f>(('Energy Usage'!J27*'Retail Rates'!J$5*'Device Energy Use'!$E5+'Energy Usage'!J27*'Retail Rates'!J$6*(1-'Device Energy Use'!$E5)))/1000000</f>
        <v>10.352625036994519</v>
      </c>
      <c r="K77" s="120">
        <f>(('Energy Usage'!K27*'Retail Rates'!K$5*'Device Energy Use'!$E5+'Energy Usage'!K27*'Retail Rates'!K$6*(1-'Device Energy Use'!$E5)))/1000000</f>
        <v>9.7381227937272001</v>
      </c>
      <c r="L77" s="120">
        <f>(('Energy Usage'!L27*'Retail Rates'!L$5*'Device Energy Use'!$E5+'Energy Usage'!L27*'Retail Rates'!L$6*(1-'Device Energy Use'!$E5)))/1000000</f>
        <v>9.160095647899535</v>
      </c>
      <c r="M77" s="120">
        <f>(('Energy Usage'!M27*'Retail Rates'!M$5*'Device Energy Use'!$E5+'Energy Usage'!M27*'Retail Rates'!M$6*(1-'Device Energy Use'!$E5)))/1000000</f>
        <v>8.6163785419420691</v>
      </c>
      <c r="N77" s="120">
        <f>(('Energy Usage'!N27*'Retail Rates'!N$5*'Device Energy Use'!$E5+'Energy Usage'!N27*'Retail Rates'!N$6*(1-'Device Energy Use'!$E5)))/1000000</f>
        <v>8.1049349299167925</v>
      </c>
      <c r="O77" s="120">
        <f>(('Energy Usage'!O27*'Retail Rates'!O$5*'Device Energy Use'!$E5+'Energy Usage'!O27*'Retail Rates'!O$6*(1-'Device Energy Use'!$E5)))/1000000</f>
        <v>7.6238491494338749</v>
      </c>
      <c r="P77" s="120">
        <f>(('Energy Usage'!P27*'Retail Rates'!P$5*'Device Energy Use'!$E5+'Energy Usage'!P27*'Retail Rates'!P$6*(1-'Device Energy Use'!$E5)))/1000000</f>
        <v>7.1713192463496194</v>
      </c>
      <c r="Q77" s="120">
        <f>(('Energy Usage'!Q27*'Retail Rates'!Q$5*'Device Energy Use'!$E5+'Energy Usage'!Q27*'Retail Rates'!Q$6*(1-'Device Energy Use'!$E5)))/1000000</f>
        <v>6.7456502253698671</v>
      </c>
      <c r="R77" s="120">
        <f>(('Energy Usage'!R27*'Retail Rates'!R$5*'Device Energy Use'!$E5+'Energy Usage'!R27*'Retail Rates'!R$6*(1-'Device Energy Use'!$E5)))/1000000</f>
        <v>6.345247701278268</v>
      </c>
      <c r="S77" s="120">
        <f>(('Energy Usage'!S27*'Retail Rates'!S$5*'Device Energy Use'!$E5+'Energy Usage'!S27*'Retail Rates'!S$6*(1-'Device Energy Use'!$E5)))/1000000</f>
        <v>5.9686119270095368</v>
      </c>
      <c r="T77" s="120">
        <f>(('Energy Usage'!T27*'Retail Rates'!T$5*'Device Energy Use'!$E5+'Energy Usage'!T27*'Retail Rates'!T$6*(1-'Device Energy Use'!$E5)))/1000000</f>
        <v>5.6143321761991842</v>
      </c>
      <c r="U77" s="120">
        <f>(('Energy Usage'!U27*'Retail Rates'!U$5*'Device Energy Use'!$E5+'Energy Usage'!U27*'Retail Rates'!U$6*(1-'Device Energy Use'!$E5)))/1000000</f>
        <v>5.2810814591690747</v>
      </c>
      <c r="V77" s="120">
        <f>(('Energy Usage'!V27*'Retail Rates'!V$5*'Device Energy Use'!$E5+'Energy Usage'!V27*'Retail Rates'!V$6*(1-'Device Energy Use'!$E5)))/1000000</f>
        <v>4.9676115525569662</v>
      </c>
      <c r="W77" s="120">
        <f>(('Energy Usage'!W27*'Retail Rates'!W$5*'Device Energy Use'!$E5+'Energy Usage'!W27*'Retail Rates'!W$6*(1-'Device Energy Use'!$E5)))/1000000</f>
        <v>4.6727483239730496</v>
      </c>
    </row>
    <row r="78" spans="1:23">
      <c r="A78" s="37" t="str">
        <f>'Energy Usage'!A28</f>
        <v>HPWH</v>
      </c>
      <c r="B78" s="120">
        <f>(('Energy Usage'!B28*'Retail Rates'!B$5*'Device Energy Use'!$E6+'Energy Usage'!B28*'Retail Rates'!B$6*(1-'Device Energy Use'!$E6)))/1000000</f>
        <v>0</v>
      </c>
      <c r="C78" s="120">
        <f>(('Energy Usage'!C28*'Retail Rates'!C$5*'Device Energy Use'!$E6+'Energy Usage'!C28*'Retail Rates'!C$6*(1-'Device Energy Use'!$E6)))/1000000</f>
        <v>0.66657704518060767</v>
      </c>
      <c r="D78" s="120">
        <f>(('Energy Usage'!D28*'Retail Rates'!D$5*'Device Energy Use'!$E6+'Energy Usage'!D28*'Retail Rates'!D$6*(1-'Device Energy Use'!$E6)))/1000000</f>
        <v>1.3022534830524857</v>
      </c>
      <c r="E78" s="120">
        <f>(('Energy Usage'!E28*'Retail Rates'!E$5*'Device Energy Use'!$E6+'Energy Usage'!E28*'Retail Rates'!E$6*(1-'Device Energy Use'!$E6)))/1000000</f>
        <v>1.9089761368986664</v>
      </c>
      <c r="F78" s="120">
        <f>(('Energy Usage'!F28*'Retail Rates'!F$5*'Device Energy Use'!$E6+'Energy Usage'!F28*'Retail Rates'!F$6*(1-'Device Energy Use'!$E6)))/1000000</f>
        <v>2.4885777366042214</v>
      </c>
      <c r="G78" s="120">
        <f>(('Energy Usage'!G28*'Retail Rates'!G$5*'Device Energy Use'!$E6+'Energy Usage'!G28*'Retail Rates'!G$6*(1-'Device Energy Use'!$E6)))/1000000</f>
        <v>3.0427837099524915</v>
      </c>
      <c r="H78" s="120">
        <f>(('Energy Usage'!H28*'Retail Rates'!H$5*'Device Energy Use'!$E6+'Energy Usage'!H28*'Retail Rates'!H$6*(1-'Device Energy Use'!$E6)))/1000000</f>
        <v>3.5732185710568682</v>
      </c>
      <c r="I78" s="120">
        <f>(('Energy Usage'!I28*'Retail Rates'!I$5*'Device Energy Use'!$E6+'Energy Usage'!I28*'Retail Rates'!I$6*(1-'Device Energy Use'!$E6)))/1000000</f>
        <v>4.0814119298442373</v>
      </c>
      <c r="J78" s="120">
        <f>(('Energy Usage'!J28*'Retail Rates'!J$5*'Device Energy Use'!$E6+'Energy Usage'!J28*'Retail Rates'!J$6*(1-'Device Energy Use'!$E6)))/1000000</f>
        <v>4.5688041450866148</v>
      </c>
      <c r="K78" s="120">
        <f>(('Energy Usage'!K28*'Retail Rates'!K$5*'Device Energy Use'!$E6+'Energy Usage'!K28*'Retail Rates'!K$6*(1-'Device Energy Use'!$E6)))/1000000</f>
        <v>5.0367516421422645</v>
      </c>
      <c r="L78" s="120">
        <f>(('Energy Usage'!L28*'Retail Rates'!L$5*'Device Energy Use'!$E6+'Energy Usage'!L28*'Retail Rates'!L$6*(1-'Device Energy Use'!$E6)))/1000000</f>
        <v>5.4865319153115024</v>
      </c>
      <c r="M78" s="120">
        <f>(('Energy Usage'!M28*'Retail Rates'!M$5*'Device Energy Use'!$E6+'Energy Usage'!M28*'Retail Rates'!M$6*(1-'Device Energy Use'!$E6)))/1000000</f>
        <v>5.9193482335309708</v>
      </c>
      <c r="N78" s="120">
        <f>(('Energy Usage'!N28*'Retail Rates'!N$5*'Device Energy Use'!$E6+'Energy Usage'!N28*'Retail Rates'!N$6*(1-'Device Energy Use'!$E6)))/1000000</f>
        <v>6.3363340670187736</v>
      </c>
      <c r="O78" s="120">
        <f>(('Energy Usage'!O28*'Retail Rates'!O$5*'Device Energy Use'!$E6+'Energy Usage'!O28*'Retail Rates'!O$6*(1-'Device Energy Use'!$E6)))/1000000</f>
        <v>6.7385572514375234</v>
      </c>
      <c r="P78" s="120">
        <f>(('Energy Usage'!P28*'Retail Rates'!P$5*'Device Energy Use'!$E6+'Energy Usage'!P28*'Retail Rates'!P$6*(1-'Device Energy Use'!$E6)))/1000000</f>
        <v>7.1270239051590041</v>
      </c>
      <c r="Q78" s="120">
        <f>(('Energy Usage'!Q28*'Retail Rates'!Q$5*'Device Energy Use'!$E6+'Energy Usage'!Q28*'Retail Rates'!Q$6*(1-'Device Energy Use'!$E6)))/1000000</f>
        <v>7.5026821142892013</v>
      </c>
      <c r="R78" s="120">
        <f>(('Energy Usage'!R28*'Retail Rates'!R$5*'Device Energy Use'!$E6+'Energy Usage'!R28*'Retail Rates'!R$6*(1-'Device Energy Use'!$E6)))/1000000</f>
        <v>7.8664253992423934</v>
      </c>
      <c r="S78" s="120">
        <f>(('Energy Usage'!S28*'Retail Rates'!S$5*'Device Energy Use'!$E6+'Energy Usage'!S28*'Retail Rates'!S$6*(1-'Device Energy Use'!$E6)))/1000000</f>
        <v>8.2190959758345894</v>
      </c>
      <c r="T78" s="120">
        <f>(('Energy Usage'!T28*'Retail Rates'!T$5*'Device Energy Use'!$E6+'Energy Usage'!T28*'Retail Rates'!T$6*(1-'Device Energy Use'!$E6)))/1000000</f>
        <v>8.5614878230967619</v>
      </c>
      <c r="U78" s="120">
        <f>(('Energy Usage'!U28*'Retail Rates'!U$5*'Device Energy Use'!$E6+'Energy Usage'!U28*'Retail Rates'!U$6*(1-'Device Energy Use'!$E6)))/1000000</f>
        <v>8.8943495692842056</v>
      </c>
      <c r="V78" s="120">
        <f>(('Energy Usage'!V28*'Retail Rates'!V$5*'Device Energy Use'!$E6+'Energy Usage'!V28*'Retail Rates'!V$6*(1-'Device Energy Use'!$E6)))/1000000</f>
        <v>9.2183872068771695</v>
      </c>
      <c r="W78" s="120">
        <f>(('Energy Usage'!W28*'Retail Rates'!W$5*'Device Energy Use'!$E6+'Energy Usage'!W28*'Retail Rates'!W$6*(1-'Device Energy Use'!$E6)))/1000000</f>
        <v>9.5342666467272128</v>
      </c>
    </row>
    <row r="79" spans="1:23">
      <c r="A79" s="37" t="str">
        <f>'Energy Usage'!A29</f>
        <v>Gas Tank</v>
      </c>
      <c r="B79" s="120">
        <f>(('Energy Usage'!B29*'Retail Rates'!B$5*'Device Energy Use'!$E7+'Energy Usage'!B29*'Retail Rates'!B$6*(1-'Device Energy Use'!$E7)))/1000000</f>
        <v>0</v>
      </c>
      <c r="C79" s="120">
        <f>(('Energy Usage'!C29*'Retail Rates'!C$5*'Device Energy Use'!$E7+'Energy Usage'!C29*'Retail Rates'!C$6*(1-'Device Energy Use'!$E7)))/1000000</f>
        <v>0</v>
      </c>
      <c r="D79" s="120">
        <f>(('Energy Usage'!D29*'Retail Rates'!D$5*'Device Energy Use'!$E7+'Energy Usage'!D29*'Retail Rates'!D$6*(1-'Device Energy Use'!$E7)))/1000000</f>
        <v>0</v>
      </c>
      <c r="E79" s="120">
        <f>(('Energy Usage'!E29*'Retail Rates'!E$5*'Device Energy Use'!$E7+'Energy Usage'!E29*'Retail Rates'!E$6*(1-'Device Energy Use'!$E7)))/1000000</f>
        <v>0</v>
      </c>
      <c r="F79" s="120">
        <f>(('Energy Usage'!F29*'Retail Rates'!F$5*'Device Energy Use'!$E7+'Energy Usage'!F29*'Retail Rates'!F$6*(1-'Device Energy Use'!$E7)))/1000000</f>
        <v>0</v>
      </c>
      <c r="G79" s="120">
        <f>(('Energy Usage'!G29*'Retail Rates'!G$5*'Device Energy Use'!$E7+'Energy Usage'!G29*'Retail Rates'!G$6*(1-'Device Energy Use'!$E7)))/1000000</f>
        <v>0</v>
      </c>
      <c r="H79" s="120">
        <f>(('Energy Usage'!H29*'Retail Rates'!H$5*'Device Energy Use'!$E7+'Energy Usage'!H29*'Retail Rates'!H$6*(1-'Device Energy Use'!$E7)))/1000000</f>
        <v>0</v>
      </c>
      <c r="I79" s="120">
        <f>(('Energy Usage'!I29*'Retail Rates'!I$5*'Device Energy Use'!$E7+'Energy Usage'!I29*'Retail Rates'!I$6*(1-'Device Energy Use'!$E7)))/1000000</f>
        <v>0</v>
      </c>
      <c r="J79" s="120">
        <f>(('Energy Usage'!J29*'Retail Rates'!J$5*'Device Energy Use'!$E7+'Energy Usage'!J29*'Retail Rates'!J$6*(1-'Device Energy Use'!$E7)))/1000000</f>
        <v>0</v>
      </c>
      <c r="K79" s="120">
        <f>(('Energy Usage'!K29*'Retail Rates'!K$5*'Device Energy Use'!$E7+'Energy Usage'!K29*'Retail Rates'!K$6*(1-'Device Energy Use'!$E7)))/1000000</f>
        <v>0</v>
      </c>
      <c r="L79" s="120">
        <f>(('Energy Usage'!L29*'Retail Rates'!L$5*'Device Energy Use'!$E7+'Energy Usage'!L29*'Retail Rates'!L$6*(1-'Device Energy Use'!$E7)))/1000000</f>
        <v>0</v>
      </c>
      <c r="M79" s="120">
        <f>(('Energy Usage'!M29*'Retail Rates'!M$5*'Device Energy Use'!$E7+'Energy Usage'!M29*'Retail Rates'!M$6*(1-'Device Energy Use'!$E7)))/1000000</f>
        <v>0</v>
      </c>
      <c r="N79" s="120">
        <f>(('Energy Usage'!N29*'Retail Rates'!N$5*'Device Energy Use'!$E7+'Energy Usage'!N29*'Retail Rates'!N$6*(1-'Device Energy Use'!$E7)))/1000000</f>
        <v>0</v>
      </c>
      <c r="O79" s="120">
        <f>(('Energy Usage'!O29*'Retail Rates'!O$5*'Device Energy Use'!$E7+'Energy Usage'!O29*'Retail Rates'!O$6*(1-'Device Energy Use'!$E7)))/1000000</f>
        <v>0</v>
      </c>
      <c r="P79" s="120">
        <f>(('Energy Usage'!P29*'Retail Rates'!P$5*'Device Energy Use'!$E7+'Energy Usage'!P29*'Retail Rates'!P$6*(1-'Device Energy Use'!$E7)))/1000000</f>
        <v>0</v>
      </c>
      <c r="Q79" s="120">
        <f>(('Energy Usage'!Q29*'Retail Rates'!Q$5*'Device Energy Use'!$E7+'Energy Usage'!Q29*'Retail Rates'!Q$6*(1-'Device Energy Use'!$E7)))/1000000</f>
        <v>0</v>
      </c>
      <c r="R79" s="120">
        <f>(('Energy Usage'!R29*'Retail Rates'!R$5*'Device Energy Use'!$E7+'Energy Usage'!R29*'Retail Rates'!R$6*(1-'Device Energy Use'!$E7)))/1000000</f>
        <v>0</v>
      </c>
      <c r="S79" s="120">
        <f>(('Energy Usage'!S29*'Retail Rates'!S$5*'Device Energy Use'!$E7+'Energy Usage'!S29*'Retail Rates'!S$6*(1-'Device Energy Use'!$E7)))/1000000</f>
        <v>0</v>
      </c>
      <c r="T79" s="120">
        <f>(('Energy Usage'!T29*'Retail Rates'!T$5*'Device Energy Use'!$E7+'Energy Usage'!T29*'Retail Rates'!T$6*(1-'Device Energy Use'!$E7)))/1000000</f>
        <v>0</v>
      </c>
      <c r="U79" s="120">
        <f>(('Energy Usage'!U29*'Retail Rates'!U$5*'Device Energy Use'!$E7+'Energy Usage'!U29*'Retail Rates'!U$6*(1-'Device Energy Use'!$E7)))/1000000</f>
        <v>0</v>
      </c>
      <c r="V79" s="120">
        <f>(('Energy Usage'!V29*'Retail Rates'!V$5*'Device Energy Use'!$E7+'Energy Usage'!V29*'Retail Rates'!V$6*(1-'Device Energy Use'!$E7)))/1000000</f>
        <v>0</v>
      </c>
      <c r="W79" s="120">
        <f>(('Energy Usage'!W29*'Retail Rates'!W$5*'Device Energy Use'!$E7+'Energy Usage'!W29*'Retail Rates'!W$6*(1-'Device Energy Use'!$E7)))/1000000</f>
        <v>0</v>
      </c>
    </row>
    <row r="80" spans="1:23">
      <c r="A80" s="37" t="str">
        <f>'Energy Usage'!A30</f>
        <v>Instant Gas</v>
      </c>
      <c r="B80" s="120">
        <f>(('Energy Usage'!B30*'Retail Rates'!B$5*'Device Energy Use'!$E8+'Energy Usage'!B30*'Retail Rates'!B$6*(1-'Device Energy Use'!$E8)))/1000000</f>
        <v>0</v>
      </c>
      <c r="C80" s="120">
        <f>(('Energy Usage'!C30*'Retail Rates'!C$5*'Device Energy Use'!$E8+'Energy Usage'!C30*'Retail Rates'!C$6*(1-'Device Energy Use'!$E8)))/1000000</f>
        <v>0</v>
      </c>
      <c r="D80" s="120">
        <f>(('Energy Usage'!D30*'Retail Rates'!D$5*'Device Energy Use'!$E8+'Energy Usage'!D30*'Retail Rates'!D$6*(1-'Device Energy Use'!$E8)))/1000000</f>
        <v>0</v>
      </c>
      <c r="E80" s="120">
        <f>(('Energy Usage'!E30*'Retail Rates'!E$5*'Device Energy Use'!$E8+'Energy Usage'!E30*'Retail Rates'!E$6*(1-'Device Energy Use'!$E8)))/1000000</f>
        <v>0</v>
      </c>
      <c r="F80" s="120">
        <f>(('Energy Usage'!F30*'Retail Rates'!F$5*'Device Energy Use'!$E8+'Energy Usage'!F30*'Retail Rates'!F$6*(1-'Device Energy Use'!$E8)))/1000000</f>
        <v>0</v>
      </c>
      <c r="G80" s="120">
        <f>(('Energy Usage'!G30*'Retail Rates'!G$5*'Device Energy Use'!$E8+'Energy Usage'!G30*'Retail Rates'!G$6*(1-'Device Energy Use'!$E8)))/1000000</f>
        <v>0</v>
      </c>
      <c r="H80" s="120">
        <f>(('Energy Usage'!H30*'Retail Rates'!H$5*'Device Energy Use'!$E8+'Energy Usage'!H30*'Retail Rates'!H$6*(1-'Device Energy Use'!$E8)))/1000000</f>
        <v>0</v>
      </c>
      <c r="I80" s="120">
        <f>(('Energy Usage'!I30*'Retail Rates'!I$5*'Device Energy Use'!$E8+'Energy Usage'!I30*'Retail Rates'!I$6*(1-'Device Energy Use'!$E8)))/1000000</f>
        <v>0</v>
      </c>
      <c r="J80" s="120">
        <f>(('Energy Usage'!J30*'Retail Rates'!J$5*'Device Energy Use'!$E8+'Energy Usage'!J30*'Retail Rates'!J$6*(1-'Device Energy Use'!$E8)))/1000000</f>
        <v>0</v>
      </c>
      <c r="K80" s="120">
        <f>(('Energy Usage'!K30*'Retail Rates'!K$5*'Device Energy Use'!$E8+'Energy Usage'!K30*'Retail Rates'!K$6*(1-'Device Energy Use'!$E8)))/1000000</f>
        <v>0</v>
      </c>
      <c r="L80" s="120">
        <f>(('Energy Usage'!L30*'Retail Rates'!L$5*'Device Energy Use'!$E8+'Energy Usage'!L30*'Retail Rates'!L$6*(1-'Device Energy Use'!$E8)))/1000000</f>
        <v>0</v>
      </c>
      <c r="M80" s="120">
        <f>(('Energy Usage'!M30*'Retail Rates'!M$5*'Device Energy Use'!$E8+'Energy Usage'!M30*'Retail Rates'!M$6*(1-'Device Energy Use'!$E8)))/1000000</f>
        <v>0</v>
      </c>
      <c r="N80" s="120">
        <f>(('Energy Usage'!N30*'Retail Rates'!N$5*'Device Energy Use'!$E8+'Energy Usage'!N30*'Retail Rates'!N$6*(1-'Device Energy Use'!$E8)))/1000000</f>
        <v>0</v>
      </c>
      <c r="O80" s="120">
        <f>(('Energy Usage'!O30*'Retail Rates'!O$5*'Device Energy Use'!$E8+'Energy Usage'!O30*'Retail Rates'!O$6*(1-'Device Energy Use'!$E8)))/1000000</f>
        <v>0</v>
      </c>
      <c r="P80" s="120">
        <f>(('Energy Usage'!P30*'Retail Rates'!P$5*'Device Energy Use'!$E8+'Energy Usage'!P30*'Retail Rates'!P$6*(1-'Device Energy Use'!$E8)))/1000000</f>
        <v>0</v>
      </c>
      <c r="Q80" s="120">
        <f>(('Energy Usage'!Q30*'Retail Rates'!Q$5*'Device Energy Use'!$E8+'Energy Usage'!Q30*'Retail Rates'!Q$6*(1-'Device Energy Use'!$E8)))/1000000</f>
        <v>0</v>
      </c>
      <c r="R80" s="120">
        <f>(('Energy Usage'!R30*'Retail Rates'!R$5*'Device Energy Use'!$E8+'Energy Usage'!R30*'Retail Rates'!R$6*(1-'Device Energy Use'!$E8)))/1000000</f>
        <v>0</v>
      </c>
      <c r="S80" s="120">
        <f>(('Energy Usage'!S30*'Retail Rates'!S$5*'Device Energy Use'!$E8+'Energy Usage'!S30*'Retail Rates'!S$6*(1-'Device Energy Use'!$E8)))/1000000</f>
        <v>0</v>
      </c>
      <c r="T80" s="120">
        <f>(('Energy Usage'!T30*'Retail Rates'!T$5*'Device Energy Use'!$E8+'Energy Usage'!T30*'Retail Rates'!T$6*(1-'Device Energy Use'!$E8)))/1000000</f>
        <v>0</v>
      </c>
      <c r="U80" s="120">
        <f>(('Energy Usage'!U30*'Retail Rates'!U$5*'Device Energy Use'!$E8+'Energy Usage'!U30*'Retail Rates'!U$6*(1-'Device Energy Use'!$E8)))/1000000</f>
        <v>0</v>
      </c>
      <c r="V80" s="120">
        <f>(('Energy Usage'!V30*'Retail Rates'!V$5*'Device Energy Use'!$E8+'Energy Usage'!V30*'Retail Rates'!V$6*(1-'Device Energy Use'!$E8)))/1000000</f>
        <v>0</v>
      </c>
      <c r="W80" s="120">
        <f>(('Energy Usage'!W30*'Retail Rates'!W$5*'Device Energy Use'!$E8+'Energy Usage'!W30*'Retail Rates'!W$6*(1-'Device Energy Use'!$E8)))/1000000</f>
        <v>0</v>
      </c>
    </row>
    <row r="81" spans="1:23">
      <c r="A81" s="37" t="str">
        <f>'Energy Usage'!A31</f>
        <v>Condensing Gas</v>
      </c>
      <c r="B81" s="120">
        <f>(('Energy Usage'!B31*'Retail Rates'!B$5*'Device Energy Use'!$E9+'Energy Usage'!B31*'Retail Rates'!B$6*(1-'Device Energy Use'!$E9)))/1000000</f>
        <v>0</v>
      </c>
      <c r="C81" s="120">
        <f>(('Energy Usage'!C31*'Retail Rates'!C$5*'Device Energy Use'!$E9+'Energy Usage'!C31*'Retail Rates'!C$6*(1-'Device Energy Use'!$E9)))/1000000</f>
        <v>0</v>
      </c>
      <c r="D81" s="120">
        <f>(('Energy Usage'!D31*'Retail Rates'!D$5*'Device Energy Use'!$E9+'Energy Usage'!D31*'Retail Rates'!D$6*(1-'Device Energy Use'!$E9)))/1000000</f>
        <v>0</v>
      </c>
      <c r="E81" s="120">
        <f>(('Energy Usage'!E31*'Retail Rates'!E$5*'Device Energy Use'!$E9+'Energy Usage'!E31*'Retail Rates'!E$6*(1-'Device Energy Use'!$E9)))/1000000</f>
        <v>0</v>
      </c>
      <c r="F81" s="120">
        <f>(('Energy Usage'!F31*'Retail Rates'!F$5*'Device Energy Use'!$E9+'Energy Usage'!F31*'Retail Rates'!F$6*(1-'Device Energy Use'!$E9)))/1000000</f>
        <v>0</v>
      </c>
      <c r="G81" s="120">
        <f>(('Energy Usage'!G31*'Retail Rates'!G$5*'Device Energy Use'!$E9+'Energy Usage'!G31*'Retail Rates'!G$6*(1-'Device Energy Use'!$E9)))/1000000</f>
        <v>0</v>
      </c>
      <c r="H81" s="120">
        <f>(('Energy Usage'!H31*'Retail Rates'!H$5*'Device Energy Use'!$E9+'Energy Usage'!H31*'Retail Rates'!H$6*(1-'Device Energy Use'!$E9)))/1000000</f>
        <v>0</v>
      </c>
      <c r="I81" s="120">
        <f>(('Energy Usage'!I31*'Retail Rates'!I$5*'Device Energy Use'!$E9+'Energy Usage'!I31*'Retail Rates'!I$6*(1-'Device Energy Use'!$E9)))/1000000</f>
        <v>0</v>
      </c>
      <c r="J81" s="120">
        <f>(('Energy Usage'!J31*'Retail Rates'!J$5*'Device Energy Use'!$E9+'Energy Usage'!J31*'Retail Rates'!J$6*(1-'Device Energy Use'!$E9)))/1000000</f>
        <v>0</v>
      </c>
      <c r="K81" s="120">
        <f>(('Energy Usage'!K31*'Retail Rates'!K$5*'Device Energy Use'!$E9+'Energy Usage'!K31*'Retail Rates'!K$6*(1-'Device Energy Use'!$E9)))/1000000</f>
        <v>0</v>
      </c>
      <c r="L81" s="120">
        <f>(('Energy Usage'!L31*'Retail Rates'!L$5*'Device Energy Use'!$E9+'Energy Usage'!L31*'Retail Rates'!L$6*(1-'Device Energy Use'!$E9)))/1000000</f>
        <v>0</v>
      </c>
      <c r="M81" s="120">
        <f>(('Energy Usage'!M31*'Retail Rates'!M$5*'Device Energy Use'!$E9+'Energy Usage'!M31*'Retail Rates'!M$6*(1-'Device Energy Use'!$E9)))/1000000</f>
        <v>0</v>
      </c>
      <c r="N81" s="120">
        <f>(('Energy Usage'!N31*'Retail Rates'!N$5*'Device Energy Use'!$E9+'Energy Usage'!N31*'Retail Rates'!N$6*(1-'Device Energy Use'!$E9)))/1000000</f>
        <v>0</v>
      </c>
      <c r="O81" s="120">
        <f>(('Energy Usage'!O31*'Retail Rates'!O$5*'Device Energy Use'!$E9+'Energy Usage'!O31*'Retail Rates'!O$6*(1-'Device Energy Use'!$E9)))/1000000</f>
        <v>0</v>
      </c>
      <c r="P81" s="120">
        <f>(('Energy Usage'!P31*'Retail Rates'!P$5*'Device Energy Use'!$E9+'Energy Usage'!P31*'Retail Rates'!P$6*(1-'Device Energy Use'!$E9)))/1000000</f>
        <v>0</v>
      </c>
      <c r="Q81" s="120">
        <f>(('Energy Usage'!Q31*'Retail Rates'!Q$5*'Device Energy Use'!$E9+'Energy Usage'!Q31*'Retail Rates'!Q$6*(1-'Device Energy Use'!$E9)))/1000000</f>
        <v>0</v>
      </c>
      <c r="R81" s="120">
        <f>(('Energy Usage'!R31*'Retail Rates'!R$5*'Device Energy Use'!$E9+'Energy Usage'!R31*'Retail Rates'!R$6*(1-'Device Energy Use'!$E9)))/1000000</f>
        <v>0</v>
      </c>
      <c r="S81" s="120">
        <f>(('Energy Usage'!S31*'Retail Rates'!S$5*'Device Energy Use'!$E9+'Energy Usage'!S31*'Retail Rates'!S$6*(1-'Device Energy Use'!$E9)))/1000000</f>
        <v>0</v>
      </c>
      <c r="T81" s="120">
        <f>(('Energy Usage'!T31*'Retail Rates'!T$5*'Device Energy Use'!$E9+'Energy Usage'!T31*'Retail Rates'!T$6*(1-'Device Energy Use'!$E9)))/1000000</f>
        <v>0</v>
      </c>
      <c r="U81" s="120">
        <f>(('Energy Usage'!U31*'Retail Rates'!U$5*'Device Energy Use'!$E9+'Energy Usage'!U31*'Retail Rates'!U$6*(1-'Device Energy Use'!$E9)))/1000000</f>
        <v>0</v>
      </c>
      <c r="V81" s="120">
        <f>(('Energy Usage'!V31*'Retail Rates'!V$5*'Device Energy Use'!$E9+'Energy Usage'!V31*'Retail Rates'!V$6*(1-'Device Energy Use'!$E9)))/1000000</f>
        <v>0</v>
      </c>
      <c r="W81" s="120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A2" sqref="A2"/>
    </sheetView>
  </sheetViews>
  <sheetFormatPr defaultColWidth="9.140625"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4"/>
    <col min="26" max="16384" width="9.140625" style="9"/>
  </cols>
  <sheetData>
    <row r="1" spans="1:25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2" spans="1:25" s="146" customFormat="1">
      <c r="X2" s="147"/>
      <c r="Y2" s="147"/>
    </row>
    <row r="3" spans="1:25">
      <c r="A3" s="12" t="s">
        <v>148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141</v>
      </c>
      <c r="B5" s="128">
        <f>'Energy Usage'!B13</f>
        <v>0</v>
      </c>
      <c r="C5" s="128">
        <f>'Energy Usage'!C13</f>
        <v>-2.8107999151068454E-2</v>
      </c>
      <c r="D5" s="128">
        <f>'Energy Usage'!D13</f>
        <v>-5.422225919515191E-2</v>
      </c>
      <c r="E5" s="128">
        <f>'Energy Usage'!E13</f>
        <v>-7.8484891962942338E-2</v>
      </c>
      <c r="F5" s="128">
        <f>'Energy Usage'!F13</f>
        <v>-0.10102785441646236</v>
      </c>
      <c r="G5" s="128">
        <f>'Energy Usage'!G13</f>
        <v>-0.12197367402937254</v>
      </c>
      <c r="H5" s="128">
        <f>'Energy Usage'!H13</f>
        <v>-0.14143612235543374</v>
      </c>
      <c r="I5" s="128">
        <f>'Energy Usage'!I13</f>
        <v>-0.15952084048595444</v>
      </c>
      <c r="J5" s="128">
        <f>'Energy Usage'!J13</f>
        <v>-0.17632591983270587</v>
      </c>
      <c r="K5" s="128">
        <f>'Energy Usage'!K13</f>
        <v>-0.19194244142732603</v>
      </c>
      <c r="L5" s="128">
        <f>'Energy Usage'!L13</f>
        <v>-0.20645497670030274</v>
      </c>
      <c r="M5" s="128">
        <f>'Energy Usage'!M13</f>
        <v>-0.21994205249097618</v>
      </c>
      <c r="N5" s="128">
        <f>'Energy Usage'!N13</f>
        <v>-0.2324765828434705</v>
      </c>
      <c r="O5" s="128">
        <f>'Energy Usage'!O13</f>
        <v>-0.24412626996096962</v>
      </c>
      <c r="P5" s="128">
        <f>'Energy Usage'!P13</f>
        <v>-0.25495397652129481</v>
      </c>
      <c r="Q5" s="128">
        <f>'Energy Usage'!Q13</f>
        <v>-0.26501807139938705</v>
      </c>
      <c r="R5" s="128">
        <f>'Energy Usage'!R13</f>
        <v>-0.27437275069618211</v>
      </c>
      <c r="S5" s="128">
        <f>'Energy Usage'!S13</f>
        <v>-0.28306833583769125</v>
      </c>
      <c r="T5" s="128">
        <f>'Energy Usage'!T13</f>
        <v>-0.29115155038210877</v>
      </c>
      <c r="U5" s="128">
        <f>'Energy Usage'!U13</f>
        <v>-0.29866577705578634</v>
      </c>
      <c r="V5" s="128">
        <f>'Energy Usage'!V13</f>
        <v>-0.30565129643027839</v>
      </c>
      <c r="W5" s="128">
        <f>'Energy Usage'!W13</f>
        <v>-0.31214550855179346</v>
      </c>
      <c r="X5" s="9"/>
      <c r="Y5" s="9"/>
    </row>
    <row r="6" spans="1:25">
      <c r="A6" s="41" t="s">
        <v>142</v>
      </c>
      <c r="B6" s="129">
        <f t="shared" ref="B6" si="0">B13*ConvertMMBTU/1000</f>
        <v>0</v>
      </c>
      <c r="C6" s="129">
        <f>C13</f>
        <v>-2.1377692871411537E-2</v>
      </c>
      <c r="D6" s="129">
        <f t="shared" ref="D6:W6" si="1">D13</f>
        <v>-4.1239950231799022E-2</v>
      </c>
      <c r="E6" s="129">
        <f t="shared" si="1"/>
        <v>-5.9694796874777419E-2</v>
      </c>
      <c r="F6" s="129">
        <f t="shared" si="1"/>
        <v>-7.6842538395476293E-2</v>
      </c>
      <c r="G6" s="129">
        <f t="shared" si="1"/>
        <v>-9.277631258353583E-2</v>
      </c>
      <c r="H6" s="129">
        <f t="shared" si="1"/>
        <v>-0.10758260143167517</v>
      </c>
      <c r="I6" s="129">
        <f t="shared" si="1"/>
        <v>-0.12134170657300389</v>
      </c>
      <c r="J6" s="129">
        <f t="shared" si="1"/>
        <v>-0.13412819075929258</v>
      </c>
      <c r="K6" s="129">
        <f t="shared" si="1"/>
        <v>-0.14601128780584119</v>
      </c>
      <c r="L6" s="129">
        <f t="shared" si="1"/>
        <v>-0.15705528325531798</v>
      </c>
      <c r="M6" s="129">
        <f t="shared" si="1"/>
        <v>-0.16731986785206213</v>
      </c>
      <c r="N6" s="129">
        <f t="shared" si="1"/>
        <v>-0.17686046576894651</v>
      </c>
      <c r="O6" s="129">
        <f t="shared" si="1"/>
        <v>-0.18572853939017892</v>
      </c>
      <c r="P6" s="129">
        <f t="shared" si="1"/>
        <v>-0.19397187232460672</v>
      </c>
      <c r="Q6" s="129">
        <f t="shared" si="1"/>
        <v>-0.20163483220447856</v>
      </c>
      <c r="R6" s="129">
        <f t="shared" si="1"/>
        <v>-0.2087586147135447</v>
      </c>
      <c r="S6" s="129">
        <f t="shared" si="1"/>
        <v>-0.21538147018525011</v>
      </c>
      <c r="T6" s="129">
        <f t="shared" si="1"/>
        <v>-0.22153891401600065</v>
      </c>
      <c r="U6" s="129">
        <f t="shared" si="1"/>
        <v>-0.22726392204955628</v>
      </c>
      <c r="V6" s="129">
        <f t="shared" si="1"/>
        <v>-0.2325871120060351</v>
      </c>
      <c r="W6" s="129">
        <f t="shared" si="1"/>
        <v>-0.23753691195232474</v>
      </c>
      <c r="X6" s="9"/>
      <c r="Y6" s="9"/>
    </row>
    <row r="7" spans="1:25">
      <c r="A7" s="9" t="s">
        <v>144</v>
      </c>
      <c r="B7" s="128">
        <f t="shared" ref="B7:W7" si="2">B5-B6</f>
        <v>0</v>
      </c>
      <c r="C7" s="128">
        <f t="shared" si="2"/>
        <v>-6.7303062796569176E-3</v>
      </c>
      <c r="D7" s="128">
        <f t="shared" si="2"/>
        <v>-1.2982308963352888E-2</v>
      </c>
      <c r="E7" s="128">
        <f t="shared" si="2"/>
        <v>-1.879009508816492E-2</v>
      </c>
      <c r="F7" s="128">
        <f t="shared" si="2"/>
        <v>-2.4185316020986072E-2</v>
      </c>
      <c r="G7" s="128">
        <f t="shared" si="2"/>
        <v>-2.9197361445836706E-2</v>
      </c>
      <c r="H7" s="128">
        <f t="shared" si="2"/>
        <v>-3.3853520923758568E-2</v>
      </c>
      <c r="I7" s="128">
        <f t="shared" si="2"/>
        <v>-3.8179133912950552E-2</v>
      </c>
      <c r="J7" s="128">
        <f t="shared" si="2"/>
        <v>-4.2197729073413293E-2</v>
      </c>
      <c r="K7" s="128">
        <f t="shared" si="2"/>
        <v>-4.5931153621484838E-2</v>
      </c>
      <c r="L7" s="128">
        <f t="shared" si="2"/>
        <v>-4.9399693444984766E-2</v>
      </c>
      <c r="M7" s="128">
        <f t="shared" si="2"/>
        <v>-5.2622184638914049E-2</v>
      </c>
      <c r="N7" s="128">
        <f t="shared" si="2"/>
        <v>-5.5616117074523991E-2</v>
      </c>
      <c r="O7" s="128">
        <f t="shared" si="2"/>
        <v>-5.8397730570790701E-2</v>
      </c>
      <c r="P7" s="128">
        <f t="shared" si="2"/>
        <v>-6.0982104196688092E-2</v>
      </c>
      <c r="Q7" s="128">
        <f t="shared" si="2"/>
        <v>-6.3383239194908486E-2</v>
      </c>
      <c r="R7" s="128">
        <f t="shared" si="2"/>
        <v>-6.5614135982637406E-2</v>
      </c>
      <c r="S7" s="128">
        <f t="shared" si="2"/>
        <v>-6.7686865652441142E-2</v>
      </c>
      <c r="T7" s="128">
        <f t="shared" si="2"/>
        <v>-6.9612636366108122E-2</v>
      </c>
      <c r="U7" s="128">
        <f t="shared" si="2"/>
        <v>-7.1401855006230058E-2</v>
      </c>
      <c r="V7" s="128">
        <f t="shared" si="2"/>
        <v>-7.3064184424243284E-2</v>
      </c>
      <c r="W7" s="128">
        <f t="shared" si="2"/>
        <v>-7.4608596599468724E-2</v>
      </c>
      <c r="X7" s="9"/>
      <c r="Y7" s="9"/>
    </row>
    <row r="8" spans="1:25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9"/>
      <c r="Y8" s="9"/>
    </row>
    <row r="9" spans="1:25" s="146" customFormat="1" ht="23.25" customHeight="1">
      <c r="A9" s="42" t="s">
        <v>146</v>
      </c>
      <c r="X9" s="147"/>
      <c r="Y9" s="147"/>
    </row>
    <row r="10" spans="1:25" s="146" customFormat="1">
      <c r="B10" s="146">
        <f>'Energy Usage'!B5</f>
        <v>2014</v>
      </c>
      <c r="C10" s="146">
        <f>'Energy Usage'!C5</f>
        <v>2015</v>
      </c>
      <c r="D10" s="146">
        <f>'Energy Usage'!D5</f>
        <v>2016</v>
      </c>
      <c r="E10" s="146">
        <f>'Energy Usage'!E5</f>
        <v>2017</v>
      </c>
      <c r="F10" s="146">
        <f>'Energy Usage'!F5</f>
        <v>2018</v>
      </c>
      <c r="G10" s="146">
        <f>'Energy Usage'!G5</f>
        <v>2019</v>
      </c>
      <c r="H10" s="146">
        <f>'Energy Usage'!H5</f>
        <v>2020</v>
      </c>
      <c r="I10" s="146">
        <f>'Energy Usage'!I5</f>
        <v>2021</v>
      </c>
      <c r="J10" s="146">
        <f>'Energy Usage'!J5</f>
        <v>2022</v>
      </c>
      <c r="K10" s="146">
        <f>'Energy Usage'!K5</f>
        <v>2023</v>
      </c>
      <c r="L10" s="146">
        <f>'Energy Usage'!L5</f>
        <v>2024</v>
      </c>
      <c r="M10" s="146">
        <f>'Energy Usage'!M5</f>
        <v>2025</v>
      </c>
      <c r="N10" s="146">
        <f>'Energy Usage'!N5</f>
        <v>2026</v>
      </c>
      <c r="O10" s="146">
        <f>'Energy Usage'!O5</f>
        <v>2027</v>
      </c>
      <c r="P10" s="146">
        <f>'Energy Usage'!P5</f>
        <v>2028</v>
      </c>
      <c r="Q10" s="146">
        <f>'Energy Usage'!Q5</f>
        <v>2029</v>
      </c>
      <c r="R10" s="146">
        <f>'Energy Usage'!R5</f>
        <v>2030</v>
      </c>
      <c r="S10" s="146">
        <f>'Energy Usage'!S5</f>
        <v>2031</v>
      </c>
      <c r="T10" s="146">
        <f>'Energy Usage'!T5</f>
        <v>2032</v>
      </c>
      <c r="U10" s="146">
        <f>'Energy Usage'!U5</f>
        <v>2033</v>
      </c>
      <c r="V10" s="146">
        <f>'Energy Usage'!V5</f>
        <v>2034</v>
      </c>
      <c r="W10" s="146">
        <f>'Energy Usage'!W5</f>
        <v>2035</v>
      </c>
      <c r="X10" s="147"/>
      <c r="Y10" s="147"/>
    </row>
    <row r="11" spans="1:25" s="146" customFormat="1">
      <c r="A11" s="146" t="s">
        <v>160</v>
      </c>
      <c r="B11" s="149">
        <f>-'Energy Usage'!B8/3412*1000000</f>
        <v>0</v>
      </c>
      <c r="C11" s="149">
        <f>-'Energy Usage'!C8/3412*1000000</f>
        <v>-3.3041256370033287</v>
      </c>
      <c r="D11" s="149">
        <f>-'Energy Usage'!D8/3412*1000000</f>
        <v>-6.3740263109426616</v>
      </c>
      <c r="E11" s="149">
        <f>-'Energy Usage'!E8/3412*1000000</f>
        <v>-9.2263982804911002</v>
      </c>
      <c r="F11" s="149">
        <f>-'Energy Usage'!F8/3412*1000000</f>
        <v>-11.876744728821684</v>
      </c>
      <c r="G11" s="149">
        <f>-'Energy Usage'!G8/3412*1000000</f>
        <v>-14.339460986636141</v>
      </c>
      <c r="H11" s="149">
        <f>-'Energy Usage'!H8/3412*1000000</f>
        <v>-16.627913667955976</v>
      </c>
      <c r="I11" s="149">
        <f>-'Energy Usage'!I8/3412*1000000</f>
        <v>-18.754514153478191</v>
      </c>
      <c r="J11" s="149">
        <f>-'Energy Usage'!J8/3412*1000000</f>
        <v>-20.730786825238418</v>
      </c>
      <c r="K11" s="149">
        <f>-'Energy Usage'!K8/3412*1000000</f>
        <v>-22.567432427487045</v>
      </c>
      <c r="L11" s="149">
        <f>-'Energy Usage'!L8/3412*1000000</f>
        <v>-24.27438690190386</v>
      </c>
      <c r="M11" s="149">
        <f>-'Energy Usage'!M8/3412*1000000</f>
        <v>-25.860876020411457</v>
      </c>
      <c r="N11" s="149">
        <f>-'Energy Usage'!N8/3412*1000000</f>
        <v>-27.335466115756802</v>
      </c>
      <c r="O11" s="149">
        <f>-'Energy Usage'!O8/3412*1000000</f>
        <v>-28.706111188590253</v>
      </c>
      <c r="P11" s="149">
        <f>-'Energy Usage'!P8/3412*1000000</f>
        <v>-29.980196649861938</v>
      </c>
      <c r="Q11" s="149">
        <f>-'Energy Usage'!Q8/3412*1000000</f>
        <v>-31.1645799388684</v>
      </c>
      <c r="R11" s="149">
        <f>-'Energy Usage'!R8/3412*1000000</f>
        <v>-32.265628240115099</v>
      </c>
      <c r="S11" s="149">
        <f>-'Energy Usage'!S8/3412*1000000</f>
        <v>-33.289253506221037</v>
      </c>
      <c r="T11" s="149">
        <f>-'Energy Usage'!T8/3412*1000000</f>
        <v>-34.240944979289125</v>
      </c>
      <c r="U11" s="149">
        <f>-'Energy Usage'!U8/3412*1000000</f>
        <v>-35.125799389421374</v>
      </c>
      <c r="V11" s="149">
        <f>-'Energy Usage'!V8/3412*1000000</f>
        <v>-35.948548996295997</v>
      </c>
      <c r="W11" s="149">
        <f>-'Energy Usage'!W8/3412*1000000</f>
        <v>-36.713587627870901</v>
      </c>
      <c r="X11" s="147"/>
      <c r="Y11" s="147"/>
    </row>
    <row r="12" spans="1:25" s="146" customFormat="1">
      <c r="A12" s="150" t="s">
        <v>145</v>
      </c>
      <c r="B12" s="150">
        <f t="shared" ref="B12:W12" si="3">HeatRate</f>
        <v>6470</v>
      </c>
      <c r="C12" s="150">
        <f t="shared" si="3"/>
        <v>6470</v>
      </c>
      <c r="D12" s="150">
        <f t="shared" si="3"/>
        <v>6470</v>
      </c>
      <c r="E12" s="150">
        <f t="shared" si="3"/>
        <v>6470</v>
      </c>
      <c r="F12" s="150">
        <f t="shared" si="3"/>
        <v>6470</v>
      </c>
      <c r="G12" s="150">
        <f t="shared" si="3"/>
        <v>6470</v>
      </c>
      <c r="H12" s="150">
        <f t="shared" si="3"/>
        <v>6470</v>
      </c>
      <c r="I12" s="150">
        <f t="shared" si="3"/>
        <v>6470</v>
      </c>
      <c r="J12" s="150">
        <f t="shared" si="3"/>
        <v>6470</v>
      </c>
      <c r="K12" s="150">
        <f t="shared" si="3"/>
        <v>6470</v>
      </c>
      <c r="L12" s="150">
        <f t="shared" si="3"/>
        <v>6470</v>
      </c>
      <c r="M12" s="150">
        <f t="shared" si="3"/>
        <v>6470</v>
      </c>
      <c r="N12" s="150">
        <f t="shared" si="3"/>
        <v>6470</v>
      </c>
      <c r="O12" s="150">
        <f t="shared" si="3"/>
        <v>6470</v>
      </c>
      <c r="P12" s="150">
        <f t="shared" si="3"/>
        <v>6470</v>
      </c>
      <c r="Q12" s="150">
        <f t="shared" si="3"/>
        <v>6470</v>
      </c>
      <c r="R12" s="150">
        <f t="shared" si="3"/>
        <v>6470</v>
      </c>
      <c r="S12" s="150">
        <f t="shared" si="3"/>
        <v>6470</v>
      </c>
      <c r="T12" s="150">
        <f t="shared" si="3"/>
        <v>6470</v>
      </c>
      <c r="U12" s="150">
        <f t="shared" si="3"/>
        <v>6470</v>
      </c>
      <c r="V12" s="150">
        <f t="shared" si="3"/>
        <v>6470</v>
      </c>
      <c r="W12" s="150">
        <f t="shared" si="3"/>
        <v>6470</v>
      </c>
      <c r="X12" s="147"/>
      <c r="Y12" s="147"/>
    </row>
    <row r="13" spans="1:25" s="146" customFormat="1">
      <c r="A13" s="146" t="s">
        <v>161</v>
      </c>
      <c r="B13" s="148">
        <f t="shared" ref="B13" si="4">B11*1000000000/HeatRate/1000</f>
        <v>0</v>
      </c>
      <c r="C13" s="148">
        <f t="shared" ref="C13:W13" si="5">C11*HeatRate/1000000</f>
        <v>-2.1377692871411537E-2</v>
      </c>
      <c r="D13" s="148">
        <f t="shared" si="5"/>
        <v>-4.1239950231799022E-2</v>
      </c>
      <c r="E13" s="148">
        <f t="shared" si="5"/>
        <v>-5.9694796874777419E-2</v>
      </c>
      <c r="F13" s="148">
        <f t="shared" si="5"/>
        <v>-7.6842538395476293E-2</v>
      </c>
      <c r="G13" s="148">
        <f t="shared" si="5"/>
        <v>-9.277631258353583E-2</v>
      </c>
      <c r="H13" s="148">
        <f t="shared" si="5"/>
        <v>-0.10758260143167517</v>
      </c>
      <c r="I13" s="148">
        <f t="shared" si="5"/>
        <v>-0.12134170657300389</v>
      </c>
      <c r="J13" s="148">
        <f t="shared" si="5"/>
        <v>-0.13412819075929258</v>
      </c>
      <c r="K13" s="148">
        <f t="shared" si="5"/>
        <v>-0.14601128780584119</v>
      </c>
      <c r="L13" s="148">
        <f t="shared" si="5"/>
        <v>-0.15705528325531798</v>
      </c>
      <c r="M13" s="148">
        <f t="shared" si="5"/>
        <v>-0.16731986785206213</v>
      </c>
      <c r="N13" s="148">
        <f t="shared" si="5"/>
        <v>-0.17686046576894651</v>
      </c>
      <c r="O13" s="148">
        <f t="shared" si="5"/>
        <v>-0.18572853939017892</v>
      </c>
      <c r="P13" s="148">
        <f t="shared" si="5"/>
        <v>-0.19397187232460672</v>
      </c>
      <c r="Q13" s="148">
        <f t="shared" si="5"/>
        <v>-0.20163483220447856</v>
      </c>
      <c r="R13" s="148">
        <f t="shared" si="5"/>
        <v>-0.2087586147135447</v>
      </c>
      <c r="S13" s="148">
        <f t="shared" si="5"/>
        <v>-0.21538147018525011</v>
      </c>
      <c r="T13" s="148">
        <f t="shared" si="5"/>
        <v>-0.22153891401600065</v>
      </c>
      <c r="U13" s="148">
        <f t="shared" si="5"/>
        <v>-0.22726392204955628</v>
      </c>
      <c r="V13" s="148">
        <f t="shared" si="5"/>
        <v>-0.2325871120060351</v>
      </c>
      <c r="W13" s="148">
        <f t="shared" si="5"/>
        <v>-0.23753691195232474</v>
      </c>
      <c r="X13" s="147"/>
      <c r="Y13" s="147"/>
    </row>
    <row r="14" spans="1:25" s="146" customFormat="1">
      <c r="X14" s="147"/>
      <c r="Y14" s="147"/>
    </row>
    <row r="16" spans="1:25">
      <c r="B16" s="170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>
      <selection activeCell="A2" sqref="A2"/>
    </sheetView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33" ht="24" customHeight="1">
      <c r="A3" s="25" t="s">
        <v>47</v>
      </c>
      <c r="AG3" s="12"/>
    </row>
    <row r="4" spans="1:33">
      <c r="A4" s="41"/>
      <c r="B4" s="41">
        <f t="shared" ref="B4:W4" si="0">B16</f>
        <v>2014</v>
      </c>
      <c r="C4" s="41">
        <f t="shared" si="0"/>
        <v>2015</v>
      </c>
      <c r="D4" s="41">
        <f t="shared" si="0"/>
        <v>2016</v>
      </c>
      <c r="E4" s="41">
        <f t="shared" si="0"/>
        <v>2017</v>
      </c>
      <c r="F4" s="41">
        <f t="shared" si="0"/>
        <v>2018</v>
      </c>
      <c r="G4" s="41">
        <f t="shared" si="0"/>
        <v>2019</v>
      </c>
      <c r="H4" s="41">
        <f t="shared" si="0"/>
        <v>2020</v>
      </c>
      <c r="I4" s="41">
        <f t="shared" si="0"/>
        <v>2021</v>
      </c>
      <c r="J4" s="41">
        <f t="shared" si="0"/>
        <v>2022</v>
      </c>
      <c r="K4" s="41">
        <f t="shared" si="0"/>
        <v>2023</v>
      </c>
      <c r="L4" s="41">
        <f t="shared" si="0"/>
        <v>2024</v>
      </c>
      <c r="M4" s="41">
        <f t="shared" si="0"/>
        <v>2025</v>
      </c>
      <c r="N4" s="41">
        <f t="shared" si="0"/>
        <v>2026</v>
      </c>
      <c r="O4" s="41">
        <f t="shared" si="0"/>
        <v>2027</v>
      </c>
      <c r="P4" s="41">
        <f t="shared" si="0"/>
        <v>2028</v>
      </c>
      <c r="Q4" s="41">
        <f t="shared" si="0"/>
        <v>2029</v>
      </c>
      <c r="R4" s="41">
        <f t="shared" si="0"/>
        <v>2030</v>
      </c>
      <c r="S4" s="41">
        <f t="shared" si="0"/>
        <v>2031</v>
      </c>
      <c r="T4" s="41">
        <f t="shared" si="0"/>
        <v>2032</v>
      </c>
      <c r="U4" s="41">
        <f t="shared" si="0"/>
        <v>2033</v>
      </c>
      <c r="V4" s="41">
        <f t="shared" si="0"/>
        <v>2034</v>
      </c>
      <c r="W4" s="41">
        <f t="shared" si="0"/>
        <v>2035</v>
      </c>
      <c r="X4" s="44"/>
    </row>
    <row r="5" spans="1:33">
      <c r="A5" s="74" t="s">
        <v>73</v>
      </c>
      <c r="B5" s="90">
        <f t="shared" ref="B5:W5" si="1">B4</f>
        <v>2014</v>
      </c>
      <c r="C5" s="90">
        <f t="shared" si="1"/>
        <v>2015</v>
      </c>
      <c r="D5" s="90">
        <f t="shared" si="1"/>
        <v>2016</v>
      </c>
      <c r="E5" s="90">
        <f t="shared" si="1"/>
        <v>2017</v>
      </c>
      <c r="F5" s="90">
        <f t="shared" si="1"/>
        <v>2018</v>
      </c>
      <c r="G5" s="90">
        <f t="shared" si="1"/>
        <v>2019</v>
      </c>
      <c r="H5" s="90">
        <f t="shared" si="1"/>
        <v>2020</v>
      </c>
      <c r="I5" s="90">
        <f t="shared" si="1"/>
        <v>2021</v>
      </c>
      <c r="J5" s="90">
        <f t="shared" si="1"/>
        <v>2022</v>
      </c>
      <c r="K5" s="90">
        <f t="shared" si="1"/>
        <v>2023</v>
      </c>
      <c r="L5" s="90">
        <f t="shared" si="1"/>
        <v>2024</v>
      </c>
      <c r="M5" s="90">
        <f t="shared" si="1"/>
        <v>2025</v>
      </c>
      <c r="N5" s="90">
        <f t="shared" si="1"/>
        <v>2026</v>
      </c>
      <c r="O5" s="90">
        <f t="shared" si="1"/>
        <v>2027</v>
      </c>
      <c r="P5" s="90">
        <f t="shared" si="1"/>
        <v>2028</v>
      </c>
      <c r="Q5" s="90">
        <f t="shared" si="1"/>
        <v>2029</v>
      </c>
      <c r="R5" s="90">
        <f t="shared" si="1"/>
        <v>2030</v>
      </c>
      <c r="S5" s="90">
        <f t="shared" si="1"/>
        <v>2031</v>
      </c>
      <c r="T5" s="90">
        <f t="shared" si="1"/>
        <v>2032</v>
      </c>
      <c r="U5" s="90">
        <f t="shared" si="1"/>
        <v>2033</v>
      </c>
      <c r="V5" s="90">
        <f t="shared" si="1"/>
        <v>2034</v>
      </c>
      <c r="W5" s="90">
        <f t="shared" si="1"/>
        <v>2035</v>
      </c>
      <c r="X5" s="44"/>
      <c r="Y5" s="44"/>
    </row>
    <row r="6" spans="1:33">
      <c r="A6" s="50" t="s">
        <v>80</v>
      </c>
      <c r="B6" s="89">
        <f>(B$18*'Device Energy Use'!$E$5+B$19*'Device Energy Use'!$E$6+'Energy Usage'!B$20*'Device Energy Use'!$E$7+'Energy Usage'!B$21*'Device Energy Use'!$E$8+'Energy Usage'!B$22*'Device Energy Use'!$E$9)/1000000</f>
        <v>0.6586690269213451</v>
      </c>
      <c r="C6" s="89">
        <f>(C$18*'Device Energy Use'!$E$5+C$19*'Device Energy Use'!$E$6+'Energy Usage'!C$20*'Device Energy Use'!$E$7+'Energy Usage'!C$21*'Device Energy Use'!$E$8+'Energy Usage'!C$22*'Device Energy Use'!$E$9)/1000000</f>
        <v>0.62600751000190746</v>
      </c>
      <c r="D6" s="89">
        <f>(D$18*'Device Energy Use'!$E$5+D$19*'Device Energy Use'!$E$6+'Energy Usage'!D$20*'Device Energy Use'!$E$7+'Energy Usage'!D$21*'Device Energy Use'!$E$8+'Energy Usage'!D$22*'Device Energy Use'!$E$9)/1000000</f>
        <v>0.59567287153115722</v>
      </c>
      <c r="E6" s="89">
        <f>(E$18*'Device Energy Use'!$E$5+E$19*'Device Energy Use'!$E$6+'Energy Usage'!E$20*'Device Energy Use'!$E$7+'Energy Usage'!E$21*'Device Energy Use'!$E$8+'Energy Usage'!E$22*'Device Energy Use'!$E$9)/1000000</f>
        <v>0.56749902224059356</v>
      </c>
      <c r="F6" s="89">
        <f>(F$18*'Device Energy Use'!$E$5+F$19*'Device Energy Use'!$E$6+'Energy Usage'!F$20*'Device Energy Use'!$E$7+'Energy Usage'!F$21*'Device Energy Use'!$E$8+'Energy Usage'!F$22*'Device Energy Use'!$E$9)/1000000</f>
        <v>0.54133173803774415</v>
      </c>
      <c r="G6" s="89">
        <f>(G$18*'Device Energy Use'!$E$5+G$19*'Device Energy Use'!$E$6+'Energy Usage'!G$20*'Device Energy Use'!$E$7+'Energy Usage'!G$21*'Device Energy Use'!$E$8+'Energy Usage'!G$22*'Device Energy Use'!$E$9)/1000000</f>
        <v>0.51702781248216045</v>
      </c>
      <c r="H6" s="89">
        <f>(H$18*'Device Energy Use'!$E$5+H$19*'Device Energy Use'!$E$6+'Energy Usage'!H$20*'Device Energy Use'!$E$7+'Energy Usage'!H$21*'Device Energy Use'!$E$8+'Energy Usage'!H$22*'Device Energy Use'!$E$9)/1000000</f>
        <v>0.49445426979842788</v>
      </c>
      <c r="I6" s="89">
        <f>(I$18*'Device Energy Use'!$E$5+I$19*'Device Energy Use'!$E$6+'Energy Usage'!I$20*'Device Energy Use'!$E$7+'Energy Usage'!I$21*'Device Energy Use'!$E$8+'Energy Usage'!I$22*'Device Energy Use'!$E$9)/1000000</f>
        <v>0.47348763410211886</v>
      </c>
      <c r="J6" s="89">
        <f>(J$18*'Device Energy Use'!$E$5+J$19*'Device Energy Use'!$E$6+'Energy Usage'!J$20*'Device Energy Use'!$E$7+'Energy Usage'!J$21*'Device Energy Use'!$E$8+'Energy Usage'!J$22*'Device Energy Use'!$E$9)/1000000</f>
        <v>0.45401325082348765</v>
      </c>
      <c r="K6" s="89">
        <f>(K$18*'Device Energy Use'!$E$5+K$19*'Device Energy Use'!$E$6+'Energy Usage'!K$20*'Device Energy Use'!$E$7+'Energy Usage'!K$21*'Device Energy Use'!$E$8+'Energy Usage'!K$22*'Device Energy Use'!$E$9)/1000000</f>
        <v>0.4359246566005005</v>
      </c>
      <c r="L6" s="89">
        <f>(L$18*'Device Energy Use'!$E$5+L$19*'Device Energy Use'!$E$6+'Energy Usage'!L$20*'Device Energy Use'!$E$7+'Energy Usage'!L$21*'Device Energy Use'!$E$8+'Energy Usage'!L$22*'Device Energy Use'!$E$9)/1000000</f>
        <v>0.4191229941791122</v>
      </c>
      <c r="M6" s="89">
        <f>(M$18*'Device Energy Use'!$E$5+M$19*'Device Energy Use'!$E$6+'Energy Usage'!M$20*'Device Energy Use'!$E$7+'Energy Usage'!M$21*'Device Energy Use'!$E$8+'Energy Usage'!M$22*'Device Energy Use'!$E$9)/1000000</f>
        <v>0.40351646910599165</v>
      </c>
      <c r="N6" s="89">
        <f>(N$18*'Device Energy Use'!$E$5+N$19*'Device Energy Use'!$E$6+'Energy Usage'!N$20*'Device Energy Use'!$E$7+'Energy Usage'!N$21*'Device Energy Use'!$E$8+'Energy Usage'!N$22*'Device Energy Use'!$E$9)/1000000</f>
        <v>0.38901984522852739</v>
      </c>
      <c r="O6" s="89">
        <f>(O$18*'Device Energy Use'!$E$5+O$19*'Device Energy Use'!$E$6+'Energy Usage'!O$20*'Device Energy Use'!$E$7+'Energy Usage'!O$21*'Device Energy Use'!$E$8+'Energy Usage'!O$22*'Device Energy Use'!$E$9)/1000000</f>
        <v>0.37555397623016989</v>
      </c>
      <c r="P6" s="89">
        <f>(P$18*'Device Energy Use'!$E$5+P$19*'Device Energy Use'!$E$6+'Energy Usage'!P$20*'Device Energy Use'!$E$7+'Energy Usage'!P$21*'Device Energy Use'!$E$8+'Energy Usage'!P$22*'Device Energy Use'!$E$9)/1000000</f>
        <v>0.36304537062716469</v>
      </c>
      <c r="Q6" s="89">
        <f>(Q$18*'Device Energy Use'!$E$5+Q$19*'Device Energy Use'!$E$6+'Energy Usage'!Q$20*'Device Energy Use'!$E$7+'Energy Usage'!Q$21*'Device Energy Use'!$E$8+'Energy Usage'!Q$22*'Device Energy Use'!$E$9)/1000000</f>
        <v>0.35142578783658168</v>
      </c>
      <c r="R6" s="89">
        <f>(R$18*'Device Energy Use'!$E$5+R$19*'Device Energy Use'!$E$6+'Energy Usage'!R$20*'Device Energy Use'!$E$7+'Energy Usage'!R$21*'Device Energy Use'!$E$8+'Energy Usage'!R$22*'Device Energy Use'!$E$9)/1000000</f>
        <v>0.3406318630962703</v>
      </c>
      <c r="S6" s="89">
        <f>(S$18*'Device Energy Use'!$E$5+S$19*'Device Energy Use'!$E$6+'Energy Usage'!S$20*'Device Energy Use'!$E$7+'Energy Usage'!S$21*'Device Energy Use'!$E$8+'Energy Usage'!S$22*'Device Energy Use'!$E$9)/1000000</f>
        <v>0.33060475917589177</v>
      </c>
      <c r="T6" s="89">
        <f>(T$18*'Device Energy Use'!$E$5+T$19*'Device Energy Use'!$E$6+'Energy Usage'!T$20*'Device Energy Use'!$E$7+'Energy Usage'!T$21*'Device Energy Use'!$E$8+'Energy Usage'!T$22*'Device Energy Use'!$E$9)/1000000</f>
        <v>0.32128984296538876</v>
      </c>
      <c r="U6" s="89">
        <f>(U$18*'Device Energy Use'!$E$5+U$19*'Device Energy Use'!$E$6+'Energy Usage'!U$20*'Device Energy Use'!$E$7+'Energy Usage'!U$21*'Device Energy Use'!$E$8+'Energy Usage'!U$22*'Device Energy Use'!$E$9)/1000000</f>
        <v>0.31263638516393677</v>
      </c>
      <c r="V6" s="89">
        <f>(V$18*'Device Energy Use'!$E$5+V$19*'Device Energy Use'!$E$6+'Energy Usage'!V$20*'Device Energy Use'!$E$7+'Energy Usage'!V$21*'Device Energy Use'!$E$8+'Energy Usage'!V$22*'Device Energy Use'!$E$9)/1000000</f>
        <v>0.3045972814193485</v>
      </c>
      <c r="W6" s="89">
        <f>(W$18*'Device Energy Use'!$E$5+W$19*'Device Energy Use'!$E$6+'Energy Usage'!W$20*'Device Energy Use'!$E$7+'Energy Usage'!W$21*'Device Energy Use'!$E$8+'Energy Usage'!W$22*'Device Energy Use'!$E$9)/1000000</f>
        <v>0.29712879338576365</v>
      </c>
      <c r="X6" s="44"/>
    </row>
    <row r="7" spans="1:33">
      <c r="A7" s="52" t="s">
        <v>94</v>
      </c>
      <c r="B7" s="91">
        <f>(B$27*'Device Energy Use'!$E$5+B$28*'Device Energy Use'!$E$6+'Energy Usage'!B$29*'Device Energy Use'!$E$7+'Energy Usage'!B$30*'Device Energy Use'!$E$8+'Energy Usage'!B$31*'Device Energy Use'!$E$9)/1000000</f>
        <v>0.6586690269213451</v>
      </c>
      <c r="C7" s="91">
        <f>(C$27*'Device Energy Use'!$E$5+C$28*'Device Energy Use'!$E$6+'Energy Usage'!C$29*'Device Energy Use'!$E$7+'Energy Usage'!C$30*'Device Energy Use'!$E$8+'Energy Usage'!C$31*'Device Energy Use'!$E$9)/1000000</f>
        <v>0.63728118667536282</v>
      </c>
      <c r="D7" s="91">
        <f>(D$27*'Device Energy Use'!$E$5+D$28*'Device Energy Use'!$E$6+'Energy Usage'!D$29*'Device Energy Use'!$E$7+'Energy Usage'!D$30*'Device Energy Use'!$E$8+'Energy Usage'!D$31*'Device Energy Use'!$E$9)/1000000</f>
        <v>0.61742104930409358</v>
      </c>
      <c r="E7" s="91">
        <f>(E$27*'Device Energy Use'!$E$5+E$28*'Device Energy Use'!$E$6+'Energy Usage'!E$29*'Device Energy Use'!$E$7+'Energy Usage'!E$30*'Device Energy Use'!$E$8+'Energy Usage'!E$31*'Device Energy Use'!$E$9)/1000000</f>
        <v>0.5989794931736292</v>
      </c>
      <c r="F7" s="91">
        <f>(F$27*'Device Energy Use'!$E$5+F$28*'Device Energy Use'!$E$6+'Energy Usage'!F$29*'Device Energy Use'!$E$7+'Energy Usage'!F$30*'Device Energy Use'!$E$8+'Energy Usage'!F$31*'Device Energy Use'!$E$9)/1000000</f>
        <v>0.58185519105248373</v>
      </c>
      <c r="G7" s="91">
        <f>(G$27*'Device Energy Use'!$E$5+G$28*'Device Energy Use'!$E$6+'Energy Usage'!G$29*'Device Energy Use'!$E$7+'Energy Usage'!G$30*'Device Energy Use'!$E$8+'Energy Usage'!G$31*'Device Energy Use'!$E$9)/1000000</f>
        <v>0.56595405336856297</v>
      </c>
      <c r="H7" s="91">
        <f>(H$27*'Device Energy Use'!$E$5+H$28*'Device Energy Use'!$E$6+'Energy Usage'!H$29*'Device Energy Use'!$E$7+'Energy Usage'!H$30*'Device Energy Use'!$E$8+'Energy Usage'!H$31*'Device Energy Use'!$E$9)/1000000</f>
        <v>0.55118871123349367</v>
      </c>
      <c r="I7" s="91">
        <f>(I$27*'Device Energy Use'!$E$5+I$28*'Device Energy Use'!$E$6+'Energy Usage'!I$29*'Device Energy Use'!$E$7+'Energy Usage'!I$30*'Device Energy Use'!$E$8+'Energy Usage'!I$31*'Device Energy Use'!$E$9)/1000000</f>
        <v>0.53747803639378644</v>
      </c>
      <c r="J7" s="91">
        <f>(J$27*'Device Energy Use'!$E$5+J$28*'Device Energy Use'!$E$6+'Energy Usage'!J$29*'Device Energy Use'!$E$7+'Energy Usage'!J$30*'Device Energy Use'!$E$8+'Energy Usage'!J$31*'Device Energy Use'!$E$9)/1000000</f>
        <v>0.52474669547120112</v>
      </c>
      <c r="K7" s="91">
        <f>(K$27*'Device Energy Use'!$E$5+K$28*'Device Energy Use'!$E$6+'Energy Usage'!K$29*'Device Energy Use'!$E$7+'Energy Usage'!K$30*'Device Energy Use'!$E$8+'Energy Usage'!K$31*'Device Energy Use'!$E$9)/1000000</f>
        <v>0.5129247360430863</v>
      </c>
      <c r="L7" s="91">
        <f>(L$27*'Device Energy Use'!$E$5+L$28*'Device Energy Use'!$E$6+'Energy Usage'!L$29*'Device Energy Use'!$E$7+'Energy Usage'!L$30*'Device Energy Use'!$E$8+'Energy Usage'!L$31*'Device Energy Use'!$E$9)/1000000</f>
        <v>0.50194720228840817</v>
      </c>
      <c r="M7" s="91">
        <f>(M$27*'Device Energy Use'!$E$5+M$28*'Device Energy Use'!$E$6+'Energy Usage'!M$29*'Device Energy Use'!$E$7+'Energy Usage'!M$30*'Device Energy Use'!$E$8+'Energy Usage'!M$31*'Device Energy Use'!$E$9)/1000000</f>
        <v>0.49175377808763554</v>
      </c>
      <c r="N7" s="91">
        <f>(N$27*'Device Energy Use'!$E$5+N$28*'Device Energy Use'!$E$6+'Energy Usage'!N$29*'Device Energy Use'!$E$7+'Energy Usage'!N$30*'Device Energy Use'!$E$8+'Energy Usage'!N$31*'Device Energy Use'!$E$9)/1000000</f>
        <v>0.48228845561548961</v>
      </c>
      <c r="O7" s="91">
        <f>(O$27*'Device Energy Use'!$E$5+O$28*'Device Energy Use'!$E$6+'Energy Usage'!O$29*'Device Energy Use'!$E$7+'Energy Usage'!O$30*'Device Energy Use'!$E$8+'Energy Usage'!O$31*'Device Energy Use'!$E$9)/1000000</f>
        <v>0.47349922760563984</v>
      </c>
      <c r="P7" s="91">
        <f>(P$27*'Device Energy Use'!$E$5+P$28*'Device Energy Use'!$E$6+'Energy Usage'!P$29*'Device Energy Use'!$E$7+'Energy Usage'!P$30*'Device Energy Use'!$E$8+'Energy Usage'!P$31*'Device Energy Use'!$E$9)/1000000</f>
        <v>0.46533780159649363</v>
      </c>
      <c r="Q7" s="91">
        <f>(Q$27*'Device Energy Use'!$E$5+Q$28*'Device Energy Use'!$E$6+'Energy Usage'!Q$29*'Device Energy Use'!$E$7+'Energy Usage'!Q$30*'Device Energy Use'!$E$8+'Energy Usage'!Q$31*'Device Energy Use'!$E$9)/1000000</f>
        <v>0.45775933458800067</v>
      </c>
      <c r="R7" s="91">
        <f>(R$27*'Device Energy Use'!$E$5+R$28*'Device Energy Use'!$E$6+'Energy Usage'!R$29*'Device Energy Use'!$E$7+'Energy Usage'!R$30*'Device Energy Use'!$E$8+'Energy Usage'!R$31*'Device Energy Use'!$E$9)/1000000</f>
        <v>0.45072218665154301</v>
      </c>
      <c r="S7" s="91">
        <f>(S$27*'Device Energy Use'!$E$5+S$28*'Device Energy Use'!$E$6+'Energy Usage'!S$29*'Device Energy Use'!$E$7+'Energy Usage'!S$30*'Device Energy Use'!$E$8+'Energy Usage'!S$31*'Device Energy Use'!$E$9)/1000000</f>
        <v>0.44418769213911796</v>
      </c>
      <c r="T7" s="91">
        <f>(T$27*'Device Energy Use'!$E$5+T$28*'Device Energy Use'!$E$6+'Energy Usage'!T$29*'Device Energy Use'!$E$7+'Energy Usage'!T$30*'Device Energy Use'!$E$8+'Energy Usage'!T$31*'Device Energy Use'!$E$9)/1000000</f>
        <v>0.43811994723472325</v>
      </c>
      <c r="U7" s="91">
        <f>(U$27*'Device Energy Use'!$E$5+U$28*'Device Energy Use'!$E$6+'Energy Usage'!U$29*'Device Energy Use'!$E$7+'Energy Usage'!U$30*'Device Energy Use'!$E$8+'Energy Usage'!U$31*'Device Energy Use'!$E$9)/1000000</f>
        <v>0.43248561268064251</v>
      </c>
      <c r="V7" s="91">
        <f>(V$27*'Device Energy Use'!$E$5+V$28*'Device Energy Use'!$E$6+'Energy Usage'!V$29*'Device Energy Use'!$E$7+'Energy Usage'!V$30*'Device Energy Use'!$E$8+'Energy Usage'!V$31*'Device Energy Use'!$E$9)/1000000</f>
        <v>0.42725373059471045</v>
      </c>
      <c r="W7" s="91">
        <f>(W$27*'Device Energy Use'!$E$5+W$28*'Device Energy Use'!$E$6+'Energy Usage'!W$29*'Device Energy Use'!$E$7+'Energy Usage'!W$30*'Device Energy Use'!$E$8+'Energy Usage'!W$31*'Device Energy Use'!$E$9)/1000000</f>
        <v>0.42239555437205917</v>
      </c>
      <c r="X7" s="44"/>
    </row>
    <row r="8" spans="1:33">
      <c r="A8" s="34" t="s">
        <v>75</v>
      </c>
      <c r="B8" s="89">
        <f t="shared" ref="B8:W8" si="2">B7-B6</f>
        <v>0</v>
      </c>
      <c r="C8" s="89">
        <f t="shared" si="2"/>
        <v>1.1273676673455357E-2</v>
      </c>
      <c r="D8" s="89">
        <f t="shared" si="2"/>
        <v>2.1748177772936361E-2</v>
      </c>
      <c r="E8" s="89">
        <f t="shared" si="2"/>
        <v>3.1480470933035631E-2</v>
      </c>
      <c r="F8" s="89">
        <f t="shared" si="2"/>
        <v>4.0523453014739585E-2</v>
      </c>
      <c r="G8" s="89">
        <f t="shared" si="2"/>
        <v>4.8926240886402517E-2</v>
      </c>
      <c r="H8" s="89">
        <f t="shared" si="2"/>
        <v>5.6734441435065786E-2</v>
      </c>
      <c r="I8" s="89">
        <f t="shared" si="2"/>
        <v>6.3990402291667581E-2</v>
      </c>
      <c r="J8" s="89">
        <f t="shared" si="2"/>
        <v>7.0733444647713473E-2</v>
      </c>
      <c r="K8" s="89">
        <f t="shared" si="2"/>
        <v>7.70000794425858E-2</v>
      </c>
      <c r="L8" s="89">
        <f t="shared" si="2"/>
        <v>8.2824208109295971E-2</v>
      </c>
      <c r="M8" s="89">
        <f t="shared" si="2"/>
        <v>8.8237308981643892E-2</v>
      </c>
      <c r="N8" s="89">
        <f t="shared" si="2"/>
        <v>9.3268610386962214E-2</v>
      </c>
      <c r="O8" s="89">
        <f t="shared" si="2"/>
        <v>9.7945251375469944E-2</v>
      </c>
      <c r="P8" s="89">
        <f t="shared" si="2"/>
        <v>0.10229243096932894</v>
      </c>
      <c r="Q8" s="89">
        <f t="shared" si="2"/>
        <v>0.10633354675141898</v>
      </c>
      <c r="R8" s="89">
        <f t="shared" si="2"/>
        <v>0.11009032355527271</v>
      </c>
      <c r="S8" s="89">
        <f t="shared" si="2"/>
        <v>0.11358293296322619</v>
      </c>
      <c r="T8" s="89">
        <f t="shared" si="2"/>
        <v>0.11683010426933449</v>
      </c>
      <c r="U8" s="89">
        <f t="shared" si="2"/>
        <v>0.11984922751670574</v>
      </c>
      <c r="V8" s="89">
        <f t="shared" si="2"/>
        <v>0.12265644917536195</v>
      </c>
      <c r="W8" s="89">
        <f t="shared" si="2"/>
        <v>0.12526676098629552</v>
      </c>
      <c r="X8" s="44"/>
    </row>
    <row r="9" spans="1:33">
      <c r="A9" s="50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4"/>
    </row>
    <row r="10" spans="1:33">
      <c r="A10" s="74" t="s">
        <v>74</v>
      </c>
      <c r="B10" s="44">
        <f t="shared" ref="B10:W10" si="3">B4</f>
        <v>2014</v>
      </c>
      <c r="C10" s="44">
        <f t="shared" si="3"/>
        <v>2015</v>
      </c>
      <c r="D10" s="44">
        <f t="shared" si="3"/>
        <v>2016</v>
      </c>
      <c r="E10" s="44">
        <f t="shared" si="3"/>
        <v>2017</v>
      </c>
      <c r="F10" s="44">
        <f t="shared" si="3"/>
        <v>2018</v>
      </c>
      <c r="G10" s="44">
        <f t="shared" si="3"/>
        <v>2019</v>
      </c>
      <c r="H10" s="44">
        <f t="shared" si="3"/>
        <v>2020</v>
      </c>
      <c r="I10" s="44">
        <f t="shared" si="3"/>
        <v>2021</v>
      </c>
      <c r="J10" s="44">
        <f t="shared" si="3"/>
        <v>2022</v>
      </c>
      <c r="K10" s="44">
        <f t="shared" si="3"/>
        <v>2023</v>
      </c>
      <c r="L10" s="44">
        <f t="shared" si="3"/>
        <v>2024</v>
      </c>
      <c r="M10" s="44">
        <f t="shared" si="3"/>
        <v>2025</v>
      </c>
      <c r="N10" s="44">
        <f t="shared" si="3"/>
        <v>2026</v>
      </c>
      <c r="O10" s="44">
        <f t="shared" si="3"/>
        <v>2027</v>
      </c>
      <c r="P10" s="44">
        <f t="shared" si="3"/>
        <v>2028</v>
      </c>
      <c r="Q10" s="44">
        <f t="shared" si="3"/>
        <v>2029</v>
      </c>
      <c r="R10" s="44">
        <f t="shared" si="3"/>
        <v>2030</v>
      </c>
      <c r="S10" s="44">
        <f t="shared" si="3"/>
        <v>2031</v>
      </c>
      <c r="T10" s="44">
        <f t="shared" si="3"/>
        <v>2032</v>
      </c>
      <c r="U10" s="44">
        <f t="shared" si="3"/>
        <v>2033</v>
      </c>
      <c r="V10" s="44">
        <f t="shared" si="3"/>
        <v>2034</v>
      </c>
      <c r="W10" s="44">
        <f t="shared" si="3"/>
        <v>2035</v>
      </c>
      <c r="X10" s="44"/>
    </row>
    <row r="11" spans="1:33">
      <c r="A11" s="50" t="s">
        <v>81</v>
      </c>
      <c r="B11" s="89">
        <f t="shared" ref="B11:W11" si="4">B54/1000000</f>
        <v>0</v>
      </c>
      <c r="C11" s="89">
        <f t="shared" si="4"/>
        <v>2.8107999151068454E-2</v>
      </c>
      <c r="D11" s="89">
        <f t="shared" si="4"/>
        <v>5.422225919515191E-2</v>
      </c>
      <c r="E11" s="89">
        <f t="shared" si="4"/>
        <v>7.8484891962942338E-2</v>
      </c>
      <c r="F11" s="89">
        <f t="shared" si="4"/>
        <v>0.10102785441646236</v>
      </c>
      <c r="G11" s="89">
        <f t="shared" si="4"/>
        <v>0.12197367402937254</v>
      </c>
      <c r="H11" s="89">
        <f t="shared" si="4"/>
        <v>0.14143612235543374</v>
      </c>
      <c r="I11" s="89">
        <f t="shared" si="4"/>
        <v>0.15952084048595444</v>
      </c>
      <c r="J11" s="89">
        <f t="shared" si="4"/>
        <v>0.17632591983270587</v>
      </c>
      <c r="K11" s="89">
        <f t="shared" si="4"/>
        <v>0.19194244142732603</v>
      </c>
      <c r="L11" s="89">
        <f t="shared" si="4"/>
        <v>0.20645497670030274</v>
      </c>
      <c r="M11" s="89">
        <f t="shared" si="4"/>
        <v>0.21994205249097618</v>
      </c>
      <c r="N11" s="89">
        <f t="shared" si="4"/>
        <v>0.2324765828434705</v>
      </c>
      <c r="O11" s="89">
        <f t="shared" si="4"/>
        <v>0.24412626996096962</v>
      </c>
      <c r="P11" s="89">
        <f t="shared" si="4"/>
        <v>0.25495397652129481</v>
      </c>
      <c r="Q11" s="89">
        <f t="shared" si="4"/>
        <v>0.26501807139938705</v>
      </c>
      <c r="R11" s="89">
        <f t="shared" si="4"/>
        <v>0.27437275069618211</v>
      </c>
      <c r="S11" s="89">
        <f t="shared" si="4"/>
        <v>0.28306833583769125</v>
      </c>
      <c r="T11" s="89">
        <f t="shared" si="4"/>
        <v>0.29115155038210877</v>
      </c>
      <c r="U11" s="89">
        <f t="shared" si="4"/>
        <v>0.29866577705578634</v>
      </c>
      <c r="V11" s="89">
        <f t="shared" si="4"/>
        <v>0.30565129643027839</v>
      </c>
      <c r="W11" s="89">
        <f t="shared" si="4"/>
        <v>0.31214550855179346</v>
      </c>
      <c r="X11" s="44"/>
    </row>
    <row r="12" spans="1:33">
      <c r="A12" s="52" t="s">
        <v>96</v>
      </c>
      <c r="B12" s="91">
        <f t="shared" ref="B12:W12" si="5">B63/1000000</f>
        <v>0</v>
      </c>
      <c r="C12" s="91">
        <f t="shared" si="5"/>
        <v>0</v>
      </c>
      <c r="D12" s="91">
        <f t="shared" si="5"/>
        <v>0</v>
      </c>
      <c r="E12" s="91">
        <f t="shared" si="5"/>
        <v>0</v>
      </c>
      <c r="F12" s="91">
        <f t="shared" si="5"/>
        <v>0</v>
      </c>
      <c r="G12" s="91">
        <f t="shared" si="5"/>
        <v>0</v>
      </c>
      <c r="H12" s="91">
        <f t="shared" si="5"/>
        <v>0</v>
      </c>
      <c r="I12" s="91">
        <f t="shared" si="5"/>
        <v>0</v>
      </c>
      <c r="J12" s="91">
        <f t="shared" si="5"/>
        <v>0</v>
      </c>
      <c r="K12" s="91">
        <f t="shared" si="5"/>
        <v>0</v>
      </c>
      <c r="L12" s="91">
        <f t="shared" si="5"/>
        <v>0</v>
      </c>
      <c r="M12" s="91">
        <f t="shared" si="5"/>
        <v>0</v>
      </c>
      <c r="N12" s="91">
        <f t="shared" si="5"/>
        <v>0</v>
      </c>
      <c r="O12" s="91">
        <f t="shared" si="5"/>
        <v>0</v>
      </c>
      <c r="P12" s="91">
        <f t="shared" si="5"/>
        <v>0</v>
      </c>
      <c r="Q12" s="91">
        <f t="shared" si="5"/>
        <v>0</v>
      </c>
      <c r="R12" s="91">
        <f t="shared" si="5"/>
        <v>0</v>
      </c>
      <c r="S12" s="91">
        <f t="shared" si="5"/>
        <v>0</v>
      </c>
      <c r="T12" s="91">
        <f t="shared" si="5"/>
        <v>0</v>
      </c>
      <c r="U12" s="91">
        <f t="shared" si="5"/>
        <v>0</v>
      </c>
      <c r="V12" s="91">
        <f t="shared" si="5"/>
        <v>0</v>
      </c>
      <c r="W12" s="91">
        <f t="shared" si="5"/>
        <v>0</v>
      </c>
      <c r="X12" s="44"/>
    </row>
    <row r="13" spans="1:33">
      <c r="A13" s="34" t="s">
        <v>75</v>
      </c>
      <c r="B13" s="89">
        <f t="shared" ref="B13:W13" si="6">B12-B11</f>
        <v>0</v>
      </c>
      <c r="C13" s="89">
        <f t="shared" si="6"/>
        <v>-2.8107999151068454E-2</v>
      </c>
      <c r="D13" s="89">
        <f t="shared" si="6"/>
        <v>-5.422225919515191E-2</v>
      </c>
      <c r="E13" s="89">
        <f t="shared" si="6"/>
        <v>-7.8484891962942338E-2</v>
      </c>
      <c r="F13" s="89">
        <f t="shared" si="6"/>
        <v>-0.10102785441646236</v>
      </c>
      <c r="G13" s="89">
        <f t="shared" si="6"/>
        <v>-0.12197367402937254</v>
      </c>
      <c r="H13" s="89">
        <f t="shared" si="6"/>
        <v>-0.14143612235543374</v>
      </c>
      <c r="I13" s="89">
        <f t="shared" si="6"/>
        <v>-0.15952084048595444</v>
      </c>
      <c r="J13" s="89">
        <f t="shared" si="6"/>
        <v>-0.17632591983270587</v>
      </c>
      <c r="K13" s="89">
        <f t="shared" si="6"/>
        <v>-0.19194244142732603</v>
      </c>
      <c r="L13" s="89">
        <f t="shared" si="6"/>
        <v>-0.20645497670030274</v>
      </c>
      <c r="M13" s="89">
        <f t="shared" si="6"/>
        <v>-0.21994205249097618</v>
      </c>
      <c r="N13" s="89">
        <f t="shared" si="6"/>
        <v>-0.2324765828434705</v>
      </c>
      <c r="O13" s="89">
        <f t="shared" si="6"/>
        <v>-0.24412626996096962</v>
      </c>
      <c r="P13" s="89">
        <f t="shared" si="6"/>
        <v>-0.25495397652129481</v>
      </c>
      <c r="Q13" s="89">
        <f t="shared" si="6"/>
        <v>-0.26501807139938705</v>
      </c>
      <c r="R13" s="89">
        <f t="shared" si="6"/>
        <v>-0.27437275069618211</v>
      </c>
      <c r="S13" s="89">
        <f t="shared" si="6"/>
        <v>-0.28306833583769125</v>
      </c>
      <c r="T13" s="89">
        <f t="shared" si="6"/>
        <v>-0.29115155038210877</v>
      </c>
      <c r="U13" s="89">
        <f t="shared" si="6"/>
        <v>-0.29866577705578634</v>
      </c>
      <c r="V13" s="89">
        <f t="shared" si="6"/>
        <v>-0.30565129643027839</v>
      </c>
      <c r="W13" s="89">
        <f t="shared" si="6"/>
        <v>-0.31214550855179346</v>
      </c>
      <c r="X13" s="44"/>
    </row>
    <row r="14" spans="1:33">
      <c r="A14" s="51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33">
      <c r="A15" s="12" t="s">
        <v>43</v>
      </c>
    </row>
    <row r="16" spans="1:33">
      <c r="A16" s="38" t="str">
        <f>'Device Energy Use'!A4</f>
        <v>Water Heat Ending</v>
      </c>
      <c r="B16" s="41">
        <f>'Water Heater Stock'!B4</f>
        <v>2014</v>
      </c>
      <c r="C16" s="41">
        <f>'Water Heater Stock'!C4</f>
        <v>2015</v>
      </c>
      <c r="D16" s="41">
        <f>'Water Heater Stock'!D4</f>
        <v>2016</v>
      </c>
      <c r="E16" s="41">
        <f>'Water Heater Stock'!E4</f>
        <v>2017</v>
      </c>
      <c r="F16" s="41">
        <f>'Water Heater Stock'!F4</f>
        <v>2018</v>
      </c>
      <c r="G16" s="41">
        <f>'Water Heater Stock'!G4</f>
        <v>2019</v>
      </c>
      <c r="H16" s="41">
        <f>'Water Heater Stock'!H4</f>
        <v>2020</v>
      </c>
      <c r="I16" s="41">
        <f>'Water Heater Stock'!I4</f>
        <v>2021</v>
      </c>
      <c r="J16" s="41">
        <f>'Water Heater Stock'!J4</f>
        <v>2022</v>
      </c>
      <c r="K16" s="41">
        <f>'Water Heater Stock'!K4</f>
        <v>2023</v>
      </c>
      <c r="L16" s="41">
        <f>'Water Heater Stock'!L4</f>
        <v>2024</v>
      </c>
      <c r="M16" s="41">
        <f>'Water Heater Stock'!M4</f>
        <v>2025</v>
      </c>
      <c r="N16" s="41">
        <f>'Water Heater Stock'!N4</f>
        <v>2026</v>
      </c>
      <c r="O16" s="41">
        <f>'Water Heater Stock'!O4</f>
        <v>2027</v>
      </c>
      <c r="P16" s="41">
        <f>'Water Heater Stock'!P4</f>
        <v>2028</v>
      </c>
      <c r="Q16" s="41">
        <f>'Water Heater Stock'!Q4</f>
        <v>2029</v>
      </c>
      <c r="R16" s="41">
        <f>'Water Heater Stock'!R4</f>
        <v>2030</v>
      </c>
      <c r="S16" s="41">
        <f>'Water Heater Stock'!S4</f>
        <v>2031</v>
      </c>
      <c r="T16" s="41">
        <f>'Water Heater Stock'!T4</f>
        <v>2032</v>
      </c>
      <c r="U16" s="41">
        <f>'Water Heater Stock'!U4</f>
        <v>2033</v>
      </c>
      <c r="V16" s="41">
        <f>'Water Heater Stock'!V4</f>
        <v>2034</v>
      </c>
      <c r="W16" s="41">
        <f>'Water Heater Stock'!W4</f>
        <v>2035</v>
      </c>
    </row>
    <row r="17" spans="1:23" ht="16.5" thickBot="1">
      <c r="A17" s="48" t="s">
        <v>44</v>
      </c>
      <c r="B17" s="49">
        <f t="shared" ref="B17:W17" si="7">SUM(B18:B22)</f>
        <v>658669.02692134515</v>
      </c>
      <c r="C17" s="49">
        <f t="shared" si="7"/>
        <v>654115.50915297586</v>
      </c>
      <c r="D17" s="49">
        <f t="shared" si="7"/>
        <v>649895.13072630903</v>
      </c>
      <c r="E17" s="49">
        <f t="shared" si="7"/>
        <v>645983.91420353588</v>
      </c>
      <c r="F17" s="49">
        <f t="shared" si="7"/>
        <v>642359.59245420655</v>
      </c>
      <c r="G17" s="49">
        <f t="shared" si="7"/>
        <v>639001.48651153292</v>
      </c>
      <c r="H17" s="49">
        <f t="shared" si="7"/>
        <v>635890.39215386158</v>
      </c>
      <c r="I17" s="49">
        <f t="shared" si="7"/>
        <v>633008.47458807332</v>
      </c>
      <c r="J17" s="49">
        <f t="shared" si="7"/>
        <v>630339.17065619351</v>
      </c>
      <c r="K17" s="49">
        <f t="shared" si="7"/>
        <v>627867.09802782652</v>
      </c>
      <c r="L17" s="49">
        <f t="shared" si="7"/>
        <v>625577.97087941493</v>
      </c>
      <c r="M17" s="49">
        <f t="shared" si="7"/>
        <v>623458.52159696782</v>
      </c>
      <c r="N17" s="49">
        <f t="shared" si="7"/>
        <v>621496.42807199794</v>
      </c>
      <c r="O17" s="49">
        <f t="shared" si="7"/>
        <v>619680.24619113957</v>
      </c>
      <c r="P17" s="49">
        <f t="shared" si="7"/>
        <v>617999.3471484594</v>
      </c>
      <c r="Q17" s="49">
        <f t="shared" si="7"/>
        <v>616443.85923596867</v>
      </c>
      <c r="R17" s="49">
        <f t="shared" si="7"/>
        <v>615004.61379245238</v>
      </c>
      <c r="S17" s="49">
        <f t="shared" si="7"/>
        <v>613673.09501358296</v>
      </c>
      <c r="T17" s="49">
        <f t="shared" si="7"/>
        <v>612441.39334749756</v>
      </c>
      <c r="U17" s="49">
        <f t="shared" si="7"/>
        <v>611302.1622197231</v>
      </c>
      <c r="V17" s="49">
        <f t="shared" si="7"/>
        <v>610248.57784962689</v>
      </c>
      <c r="W17" s="49">
        <f t="shared" si="7"/>
        <v>609274.30193755706</v>
      </c>
    </row>
    <row r="18" spans="1:23" ht="16.5" thickTop="1">
      <c r="A18" s="9" t="str">
        <f>'Device Energy Use'!A5</f>
        <v>Electric Resistance</v>
      </c>
      <c r="B18" s="33">
        <f>'Water Heater Stock'!B6*'Device Energy Use'!$D5</f>
        <v>658669.02692134515</v>
      </c>
      <c r="C18" s="33">
        <f>'Water Heater Stock'!C6*'Device Energy Use'!$D5</f>
        <v>611622.23927444778</v>
      </c>
      <c r="D18" s="33">
        <f>'Water Heater Stock'!D6*'Device Energy Use'!$D5</f>
        <v>567935.92617049371</v>
      </c>
      <c r="E18" s="33">
        <f>'Water Heater Stock'!E6*'Device Energy Use'!$D5</f>
        <v>527370.05386499711</v>
      </c>
      <c r="F18" s="33">
        <f>'Water Heater Stock'!F6*'Device Energy Use'!$D5</f>
        <v>489701.73387905594</v>
      </c>
      <c r="G18" s="33">
        <f>'Water Heater Stock'!G6*'Device Energy Use'!$D5</f>
        <v>454723.99833753554</v>
      </c>
      <c r="H18" s="33">
        <f>'Water Heater Stock'!H6*'Device Energy Use'!$D5</f>
        <v>422244.66278309864</v>
      </c>
      <c r="I18" s="33">
        <f>'Water Heater Stock'!I6*'Device Energy Use'!$D5</f>
        <v>392085.27021780284</v>
      </c>
      <c r="J18" s="33">
        <f>'Water Heater Stock'!J6*'Device Energy Use'!$D5</f>
        <v>364080.11057030037</v>
      </c>
      <c r="K18" s="33">
        <f>'Water Heater Stock'!K6*'Device Energy Use'!$D5</f>
        <v>338075.31020109437</v>
      </c>
      <c r="L18" s="33">
        <f>'Water Heater Stock'!L6*'Device Energy Use'!$D5</f>
        <v>313927.98644313449</v>
      </c>
      <c r="M18" s="33">
        <f>'Water Heater Stock'!M6*'Device Energy Use'!$D5</f>
        <v>291505.46253237023</v>
      </c>
      <c r="N18" s="33">
        <f>'Water Heater Stock'!N6*'Device Energy Use'!$D5</f>
        <v>270684.5386146938</v>
      </c>
      <c r="O18" s="33">
        <f>'Water Heater Stock'!O6*'Device Energy Use'!$D5</f>
        <v>251350.81482381554</v>
      </c>
      <c r="P18" s="33">
        <f>'Water Heater Stock'!P6*'Device Energy Use'!$D5</f>
        <v>233398.06271072023</v>
      </c>
      <c r="Q18" s="33">
        <f>'Water Heater Stock'!Q6*'Device Energy Use'!$D5</f>
        <v>216727.64157101919</v>
      </c>
      <c r="R18" s="33">
        <f>'Water Heater Stock'!R6*'Device Energy Use'!$D5</f>
        <v>201247.95646320662</v>
      </c>
      <c r="S18" s="33">
        <f>'Water Heater Stock'!S6*'Device Energy Use'!$D5</f>
        <v>186873.95493989691</v>
      </c>
      <c r="T18" s="33">
        <f>'Water Heater Stock'!T6*'Device Energy Use'!$D5</f>
        <v>173526.65972683195</v>
      </c>
      <c r="U18" s="33">
        <f>'Water Heater Stock'!U6*'Device Energy Use'!$D5</f>
        <v>161132.73478195866</v>
      </c>
      <c r="V18" s="33">
        <f>'Water Heater Stock'!V6*'Device Energy Use'!$D5</f>
        <v>149624.08235028732</v>
      </c>
      <c r="W18" s="33">
        <f>'Water Heater Stock'!W6*'Device Energy Use'!$D5</f>
        <v>138937.46880054555</v>
      </c>
    </row>
    <row r="19" spans="1:23">
      <c r="A19" s="9" t="str">
        <f>'Device Energy Use'!A6</f>
        <v>HPWH</v>
      </c>
      <c r="B19" s="33">
        <f>'Water Heater Stock'!B7*'Device Energy Use'!$D6</f>
        <v>0</v>
      </c>
      <c r="C19" s="33">
        <f>'Water Heater Stock'!C7*'Device Energy Use'!$D6</f>
        <v>14385.270727459701</v>
      </c>
      <c r="D19" s="33">
        <f>'Water Heater Stock'!D7*'Device Energy Use'!$D6</f>
        <v>27736.945360663438</v>
      </c>
      <c r="E19" s="33">
        <f>'Water Heater Stock'!E7*'Device Energy Use'!$D6</f>
        <v>40128.968375596458</v>
      </c>
      <c r="F19" s="33">
        <f>'Water Heater Stock'!F7*'Device Energy Use'!$D6</f>
        <v>51630.004158688229</v>
      </c>
      <c r="G19" s="33">
        <f>'Water Heater Stock'!G7*'Device Energy Use'!$D6</f>
        <v>62303.814144624885</v>
      </c>
      <c r="H19" s="33">
        <f>'Water Heater Stock'!H7*'Device Energy Use'!$D6</f>
        <v>72209.607015329224</v>
      </c>
      <c r="I19" s="33">
        <f>'Water Heater Stock'!I7*'Device Energy Use'!$D6</f>
        <v>81402.363884316001</v>
      </c>
      <c r="J19" s="33">
        <f>'Water Heater Stock'!J7*'Device Energy Use'!$D6</f>
        <v>89933.140253187288</v>
      </c>
      <c r="K19" s="33">
        <f>'Water Heater Stock'!K7*'Device Energy Use'!$D6</f>
        <v>97849.346399406146</v>
      </c>
      <c r="L19" s="33">
        <f>'Water Heater Stock'!L7*'Device Energy Use'!$D6</f>
        <v>105195.00773597772</v>
      </c>
      <c r="M19" s="33">
        <f>'Water Heater Stock'!M7*'Device Energy Use'!$D6</f>
        <v>112011.00657362142</v>
      </c>
      <c r="N19" s="33">
        <f>'Water Heater Stock'!N7*'Device Energy Use'!$D6</f>
        <v>118335.3066138336</v>
      </c>
      <c r="O19" s="33">
        <f>'Water Heater Stock'!O7*'Device Energy Use'!$D6</f>
        <v>124203.16140635437</v>
      </c>
      <c r="P19" s="33">
        <f>'Water Heater Stock'!P7*'Device Energy Use'!$D6</f>
        <v>129647.30791644442</v>
      </c>
      <c r="Q19" s="33">
        <f>'Water Heater Stock'!Q7*'Device Energy Use'!$D6</f>
        <v>134698.14626556248</v>
      </c>
      <c r="R19" s="33">
        <f>'Water Heater Stock'!R7*'Device Energy Use'!$D6</f>
        <v>139383.90663306369</v>
      </c>
      <c r="S19" s="33">
        <f>'Water Heater Stock'!S7*'Device Energy Use'!$D6</f>
        <v>143730.80423599487</v>
      </c>
      <c r="T19" s="33">
        <f>'Water Heater Stock'!T7*'Device Energy Use'!$D6</f>
        <v>147763.18323855687</v>
      </c>
      <c r="U19" s="33">
        <f>'Water Heater Stock'!U7*'Device Energy Use'!$D6</f>
        <v>151503.65038197808</v>
      </c>
      <c r="V19" s="33">
        <f>'Water Heater Stock'!V7*'Device Energy Use'!$D6</f>
        <v>154973.19906906117</v>
      </c>
      <c r="W19" s="33">
        <f>'Water Heater Stock'!W7*'Device Energy Use'!$D6</f>
        <v>158191.3245852181</v>
      </c>
    </row>
    <row r="20" spans="1:23">
      <c r="A20" s="9" t="str">
        <f>'Device Energy Use'!A7</f>
        <v>Gas Tank</v>
      </c>
      <c r="B20" s="33">
        <f>'Water Heater Stock'!B8*'Device Energy Use'!$D7</f>
        <v>0</v>
      </c>
      <c r="C20" s="33">
        <f>'Water Heater Stock'!C8*'Device Energy Use'!$D7</f>
        <v>2.3711181578794891</v>
      </c>
      <c r="D20" s="33">
        <f>'Water Heater Stock'!D8*'Device Energy Use'!$D7</f>
        <v>4.5492767652293828</v>
      </c>
      <c r="E20" s="33">
        <f>'Water Heater Stock'!E8*'Device Energy Use'!$D7</f>
        <v>6.5484857163973649</v>
      </c>
      <c r="F20" s="33">
        <f>'Water Heater Stock'!F8*'Device Energy Use'!$D7</f>
        <v>8.3817539356943449</v>
      </c>
      <c r="G20" s="33">
        <f>'Water Heater Stock'!G8*'Device Energy Use'!$D7</f>
        <v>10.061160814153912</v>
      </c>
      <c r="H20" s="33">
        <f>'Water Heater Stock'!H8*'Device Energy Use'!$D7</f>
        <v>11.597922545021275</v>
      </c>
      <c r="I20" s="33">
        <f>'Water Heater Stock'!I8*'Device Energy Use'!$D7</f>
        <v>13.002453722362867</v>
      </c>
      <c r="J20" s="33">
        <f>'Water Heater Stock'!J8*'Device Energy Use'!$D7</f>
        <v>14.284424541158014</v>
      </c>
      <c r="K20" s="33">
        <f>'Water Heater Stock'!K8*'Device Energy Use'!$D7</f>
        <v>15.452813913063597</v>
      </c>
      <c r="L20" s="33">
        <f>'Water Heater Stock'!L8*'Device Energy Use'!$D7</f>
        <v>16.515958789598702</v>
      </c>
      <c r="M20" s="33">
        <f>'Water Heater Stock'!M8*'Device Energy Use'!$D7</f>
        <v>17.481599963655423</v>
      </c>
      <c r="N20" s="33">
        <f>'Water Heater Stock'!N8*'Device Energy Use'!$D7</f>
        <v>18.35692460088989</v>
      </c>
      <c r="O20" s="33">
        <f>'Water Heater Stock'!O8*'Device Energy Use'!$D7</f>
        <v>19.148605734577778</v>
      </c>
      <c r="P20" s="33">
        <f>'Water Heater Stock'!P8*'Device Energy Use'!$D7</f>
        <v>19.862838940832361</v>
      </c>
      <c r="Q20" s="33">
        <f>'Water Heater Stock'!Q8*'Device Energy Use'!$D7</f>
        <v>20.505376395588968</v>
      </c>
      <c r="R20" s="33">
        <f>'Water Heater Stock'!R8*'Device Energy Use'!$D7</f>
        <v>21.081558500372036</v>
      </c>
      <c r="S20" s="33">
        <f>'Water Heater Stock'!S8*'Device Energy Use'!$D7</f>
        <v>21.596343250501445</v>
      </c>
      <c r="T20" s="33">
        <f>'Water Heater Stock'!T8*'Device Energy Use'!$D7</f>
        <v>22.054333506989078</v>
      </c>
      <c r="U20" s="33">
        <f>'Water Heater Stock'!U8*'Device Energy Use'!$D7</f>
        <v>22.459802321857421</v>
      </c>
      <c r="V20" s="33">
        <f>'Water Heater Stock'!V8*'Device Energy Use'!$D7</f>
        <v>22.816716455915579</v>
      </c>
      <c r="W20" s="33">
        <f>'Water Heater Stock'!W8*'Device Energy Use'!$D7</f>
        <v>23.128758218095591</v>
      </c>
    </row>
    <row r="21" spans="1:23">
      <c r="A21" s="9" t="str">
        <f>'Device Energy Use'!A8</f>
        <v>Instant Gas</v>
      </c>
      <c r="B21" s="33">
        <f>'Water Heater Stock'!B9*'Device Energy Use'!$D8</f>
        <v>0</v>
      </c>
      <c r="C21" s="33">
        <f>'Water Heater Stock'!C9*'Device Energy Use'!$D8</f>
        <v>8377.3332502306876</v>
      </c>
      <c r="D21" s="33">
        <f>'Water Heater Stock'!D9*'Device Energy Use'!$D8</f>
        <v>16189.010371216264</v>
      </c>
      <c r="E21" s="33">
        <f>'Water Heater Stock'!E9*'Device Energy Use'!$D8</f>
        <v>23475.545297998684</v>
      </c>
      <c r="F21" s="33">
        <f>'Water Heater Stock'!F9*'Device Energy Use'!$D8</f>
        <v>30274.554284693113</v>
      </c>
      <c r="G21" s="33">
        <f>'Water Heater Stock'!G9*'Device Energy Use'!$D8</f>
        <v>36620.962794140614</v>
      </c>
      <c r="H21" s="33">
        <f>'Water Heater Stock'!H9*'Device Energy Use'!$D8</f>
        <v>42547.19761016938</v>
      </c>
      <c r="I21" s="33">
        <f>'Water Heater Stock'!I9*'Device Energy Use'!$D8</f>
        <v>48083.365228064795</v>
      </c>
      <c r="J21" s="33">
        <f>'Water Heater Stock'!J9*'Device Energy Use'!$D8</f>
        <v>53257.417503449629</v>
      </c>
      <c r="K21" s="33">
        <f>'Water Heater Stock'!K9*'Device Energy Use'!$D8</f>
        <v>58095.305469762177</v>
      </c>
      <c r="L21" s="33">
        <f>'Water Heater Stock'!L9*'Device Energy Use'!$D8</f>
        <v>62621.122169507478</v>
      </c>
      <c r="M21" s="33">
        <f>'Water Heater Stock'!M9*'Device Energy Use'!$D8</f>
        <v>66857.235284087903</v>
      </c>
      <c r="N21" s="33">
        <f>'Water Heater Stock'!N9*'Device Energy Use'!$D8</f>
        <v>70824.410290962303</v>
      </c>
      <c r="O21" s="33">
        <f>'Water Heater Stock'!O9*'Device Energy Use'!$D8</f>
        <v>74541.924824830159</v>
      </c>
      <c r="P21" s="33">
        <f>'Water Heater Stock'!P9*'Device Energy Use'!$D8</f>
        <v>78027.674871201831</v>
      </c>
      <c r="Q21" s="33">
        <f>'Water Heater Stock'!Q9*'Device Energy Use'!$D8</f>
        <v>81298.273375833713</v>
      </c>
      <c r="R21" s="33">
        <f>'Water Heater Stock'!R9*'Device Energy Use'!$D8</f>
        <v>84369.141811829933</v>
      </c>
      <c r="S21" s="33">
        <f>'Water Heater Stock'!S9*'Device Energy Use'!$D8</f>
        <v>87254.595207512597</v>
      </c>
      <c r="T21" s="33">
        <f>'Water Heater Stock'!T9*'Device Energy Use'!$D8</f>
        <v>89967.921102226523</v>
      </c>
      <c r="U21" s="33">
        <f>'Water Heater Stock'!U9*'Device Energy Use'!$D8</f>
        <v>92521.45286387518</v>
      </c>
      <c r="V21" s="33">
        <f>'Water Heater Stock'!V9*'Device Energy Use'!$D8</f>
        <v>94926.637770999208</v>
      </c>
      <c r="W21" s="33">
        <f>'Water Heater Stock'!W9*'Device Energy Use'!$D8</f>
        <v>97194.100233436096</v>
      </c>
    </row>
    <row r="22" spans="1:23">
      <c r="A22" s="9" t="str">
        <f>'Device Energy Use'!A9</f>
        <v>Condensing Gas</v>
      </c>
      <c r="B22" s="33">
        <f>'Water Heater Stock'!B10*'Device Energy Use'!$D9</f>
        <v>0</v>
      </c>
      <c r="C22" s="33">
        <f>'Water Heater Stock'!C10*'Device Energy Use'!$D9</f>
        <v>19728.294782679888</v>
      </c>
      <c r="D22" s="33">
        <f>'Water Heater Stock'!D10*'Device Energy Use'!$D9</f>
        <v>38028.699547170421</v>
      </c>
      <c r="E22" s="33">
        <f>'Water Heater Stock'!E10*'Device Energy Use'!$D9</f>
        <v>55002.798179227255</v>
      </c>
      <c r="F22" s="33">
        <f>'Water Heater Stock'!F10*'Device Energy Use'!$D9</f>
        <v>70744.918377833557</v>
      </c>
      <c r="G22" s="33">
        <f>'Water Heater Stock'!G10*'Device Energy Use'!$D9</f>
        <v>85342.650074417761</v>
      </c>
      <c r="H22" s="33">
        <f>'Water Heater Stock'!H10*'Device Energy Use'!$D9</f>
        <v>98877.326822719333</v>
      </c>
      <c r="I22" s="33">
        <f>'Water Heater Stock'!I10*'Device Energy Use'!$D9</f>
        <v>111424.47280416729</v>
      </c>
      <c r="J22" s="33">
        <f>'Water Heater Stock'!J10*'Device Energy Use'!$D9</f>
        <v>123054.21790471509</v>
      </c>
      <c r="K22" s="33">
        <f>'Water Heater Stock'!K10*'Device Energy Use'!$D9</f>
        <v>133831.68314365079</v>
      </c>
      <c r="L22" s="33">
        <f>'Water Heater Stock'!L10*'Device Energy Use'!$D9</f>
        <v>143817.33857200565</v>
      </c>
      <c r="M22" s="33">
        <f>'Water Heater Stock'!M10*'Device Energy Use'!$D9</f>
        <v>153067.33560692464</v>
      </c>
      <c r="N22" s="33">
        <f>'Water Heater Stock'!N10*'Device Energy Use'!$D9</f>
        <v>161633.81562790732</v>
      </c>
      <c r="O22" s="33">
        <f>'Water Heater Stock'!O10*'Device Energy Use'!$D9</f>
        <v>169565.19653040491</v>
      </c>
      <c r="P22" s="33">
        <f>'Water Heater Stock'!P10*'Device Energy Use'!$D9</f>
        <v>176906.43881115215</v>
      </c>
      <c r="Q22" s="33">
        <f>'Water Heater Stock'!Q10*'Device Energy Use'!$D9</f>
        <v>183699.29264715771</v>
      </c>
      <c r="R22" s="33">
        <f>'Water Heater Stock'!R10*'Device Energy Use'!$D9</f>
        <v>189982.52732585181</v>
      </c>
      <c r="S22" s="33">
        <f>'Water Heater Stock'!S10*'Device Energy Use'!$D9</f>
        <v>195792.14428692815</v>
      </c>
      <c r="T22" s="33">
        <f>'Water Heater Stock'!T10*'Device Energy Use'!$D9</f>
        <v>201161.57494637527</v>
      </c>
      <c r="U22" s="33">
        <f>'Water Heater Stock'!U10*'Device Energy Use'!$D9</f>
        <v>206121.86438958929</v>
      </c>
      <c r="V22" s="33">
        <f>'Water Heater Stock'!V10*'Device Energy Use'!$D9</f>
        <v>210701.84194282326</v>
      </c>
      <c r="W22" s="33">
        <f>'Water Heater Stock'!W10*'Device Energy Use'!$D9</f>
        <v>214928.27956013926</v>
      </c>
    </row>
    <row r="24" spans="1:23">
      <c r="A24" s="12" t="s">
        <v>97</v>
      </c>
    </row>
    <row r="25" spans="1:23">
      <c r="A25" s="38" t="str">
        <f>'Device Energy Use'!A4</f>
        <v>Water Heat Ending</v>
      </c>
      <c r="B25" s="41">
        <f>'Water Heater Stock'!B4</f>
        <v>2014</v>
      </c>
      <c r="C25" s="41">
        <f>'Water Heater Stock'!C4</f>
        <v>2015</v>
      </c>
      <c r="D25" s="41">
        <f>'Water Heater Stock'!D4</f>
        <v>2016</v>
      </c>
      <c r="E25" s="41">
        <f>'Water Heater Stock'!E4</f>
        <v>2017</v>
      </c>
      <c r="F25" s="41">
        <f>'Water Heater Stock'!F4</f>
        <v>2018</v>
      </c>
      <c r="G25" s="41">
        <f>'Water Heater Stock'!G4</f>
        <v>2019</v>
      </c>
      <c r="H25" s="41">
        <f>'Water Heater Stock'!H4</f>
        <v>2020</v>
      </c>
      <c r="I25" s="41">
        <f>'Water Heater Stock'!I4</f>
        <v>2021</v>
      </c>
      <c r="J25" s="41">
        <f>'Water Heater Stock'!J4</f>
        <v>2022</v>
      </c>
      <c r="K25" s="41">
        <f>'Water Heater Stock'!K4</f>
        <v>2023</v>
      </c>
      <c r="L25" s="41">
        <f>'Water Heater Stock'!L4</f>
        <v>2024</v>
      </c>
      <c r="M25" s="41">
        <f>'Water Heater Stock'!M4</f>
        <v>2025</v>
      </c>
      <c r="N25" s="41">
        <f>'Water Heater Stock'!N4</f>
        <v>2026</v>
      </c>
      <c r="O25" s="41">
        <f>'Water Heater Stock'!O4</f>
        <v>2027</v>
      </c>
      <c r="P25" s="41">
        <f>'Water Heater Stock'!P4</f>
        <v>2028</v>
      </c>
      <c r="Q25" s="41">
        <f>'Water Heater Stock'!Q4</f>
        <v>2029</v>
      </c>
      <c r="R25" s="41">
        <f>'Water Heater Stock'!R4</f>
        <v>2030</v>
      </c>
      <c r="S25" s="41">
        <f>'Water Heater Stock'!S4</f>
        <v>2031</v>
      </c>
      <c r="T25" s="41">
        <f>'Water Heater Stock'!T4</f>
        <v>2032</v>
      </c>
      <c r="U25" s="41">
        <f>'Water Heater Stock'!U4</f>
        <v>2033</v>
      </c>
      <c r="V25" s="41">
        <f>'Water Heater Stock'!V4</f>
        <v>2034</v>
      </c>
      <c r="W25" s="41">
        <f>'Water Heater Stock'!W4</f>
        <v>2035</v>
      </c>
    </row>
    <row r="26" spans="1:23" ht="16.5" thickBot="1">
      <c r="A26" s="48" t="s">
        <v>44</v>
      </c>
      <c r="B26" s="49">
        <f t="shared" ref="B26:W26" si="8">SUM(B27:B31)</f>
        <v>658669.02692134515</v>
      </c>
      <c r="C26" s="49">
        <f t="shared" si="8"/>
        <v>637281.18667536287</v>
      </c>
      <c r="D26" s="49">
        <f t="shared" si="8"/>
        <v>617421.04930409358</v>
      </c>
      <c r="E26" s="49">
        <f t="shared" si="8"/>
        <v>598979.49317362916</v>
      </c>
      <c r="F26" s="49">
        <f t="shared" si="8"/>
        <v>581855.19105248374</v>
      </c>
      <c r="G26" s="49">
        <f t="shared" si="8"/>
        <v>565954.05336856295</v>
      </c>
      <c r="H26" s="49">
        <f t="shared" si="8"/>
        <v>551188.71123349364</v>
      </c>
      <c r="I26" s="49">
        <f t="shared" si="8"/>
        <v>537478.03639378643</v>
      </c>
      <c r="J26" s="49">
        <f t="shared" si="8"/>
        <v>524746.69547120109</v>
      </c>
      <c r="K26" s="49">
        <f t="shared" si="8"/>
        <v>512924.73604308628</v>
      </c>
      <c r="L26" s="49">
        <f t="shared" si="8"/>
        <v>501947.20228840812</v>
      </c>
      <c r="M26" s="49">
        <f t="shared" si="8"/>
        <v>491753.77808763552</v>
      </c>
      <c r="N26" s="49">
        <f t="shared" si="8"/>
        <v>482288.45561548963</v>
      </c>
      <c r="O26" s="49">
        <f t="shared" si="8"/>
        <v>473499.22760563984</v>
      </c>
      <c r="P26" s="49">
        <f t="shared" si="8"/>
        <v>465337.80159649363</v>
      </c>
      <c r="Q26" s="49">
        <f t="shared" si="8"/>
        <v>457759.33458800067</v>
      </c>
      <c r="R26" s="49">
        <f t="shared" si="8"/>
        <v>450722.18665154302</v>
      </c>
      <c r="S26" s="49">
        <f t="shared" si="8"/>
        <v>444187.69213911798</v>
      </c>
      <c r="T26" s="49">
        <f t="shared" si="8"/>
        <v>438119.94723472325</v>
      </c>
      <c r="U26" s="49">
        <f t="shared" si="8"/>
        <v>432485.61268064252</v>
      </c>
      <c r="V26" s="49">
        <f t="shared" si="8"/>
        <v>427253.73059471045</v>
      </c>
      <c r="W26" s="49">
        <f t="shared" si="8"/>
        <v>422395.55437205918</v>
      </c>
    </row>
    <row r="27" spans="1:23" ht="16.5" thickTop="1">
      <c r="A27" s="14" t="str">
        <f>'Device Energy Use'!A5</f>
        <v>Electric Resistance</v>
      </c>
      <c r="B27" s="33">
        <f>'Water Heater Stock'!B15*'Device Energy Use'!$D5</f>
        <v>658669.02692134515</v>
      </c>
      <c r="C27" s="33">
        <f>'Water Heater Stock'!C15*'Device Energy Use'!$D5</f>
        <v>611621.2392841063</v>
      </c>
      <c r="D27" s="33">
        <f>'Water Heater Stock'!D15*'Device Energy Use'!$D5</f>
        <v>567934.0079066701</v>
      </c>
      <c r="E27" s="33">
        <f>'Water Heater Stock'!E15*'Device Energy Use'!$D5</f>
        <v>527367.29305619362</v>
      </c>
      <c r="F27" s="33">
        <f>'Water Heater Stock'!F15*'Device Energy Use'!$D5</f>
        <v>489698.20069503697</v>
      </c>
      <c r="G27" s="33">
        <f>'Water Heater Stock'!G15*'Device Energy Use'!$D5</f>
        <v>454719.75778824859</v>
      </c>
      <c r="H27" s="33">
        <f>'Water Heater Stock'!H15*'Device Energy Use'!$D5</f>
        <v>422239.77508908795</v>
      </c>
      <c r="I27" s="33">
        <f>'Water Heater Stock'!I15*'Device Energy Use'!$D5</f>
        <v>392079.79115415312</v>
      </c>
      <c r="J27" s="33">
        <f>'Water Heater Stock'!J15*'Device Energy Use'!$D5</f>
        <v>364074.09178599931</v>
      </c>
      <c r="K27" s="33">
        <f>'Water Heater Stock'!K15*'Device Energy Use'!$D5</f>
        <v>338068.7995155708</v>
      </c>
      <c r="L27" s="33">
        <f>'Water Heater Stock'!L15*'Device Energy Use'!$D5</f>
        <v>313921.02812160144</v>
      </c>
      <c r="M27" s="33">
        <f>'Water Heater Stock'!M15*'Device Energy Use'!$D5</f>
        <v>291498.09754148702</v>
      </c>
      <c r="N27" s="33">
        <f>'Water Heater Stock'!N15*'Device Energy Use'!$D5</f>
        <v>270676.80485995224</v>
      </c>
      <c r="O27" s="33">
        <f>'Water Heater Stock'!O15*'Device Energy Use'!$D5</f>
        <v>251342.74736995567</v>
      </c>
      <c r="P27" s="33">
        <f>'Water Heater Stock'!P15*'Device Energy Use'!$D5</f>
        <v>233389.6939863874</v>
      </c>
      <c r="Q27" s="33">
        <f>'Water Heater Stock'!Q15*'Device Energy Use'!$D5</f>
        <v>216719.0015587883</v>
      </c>
      <c r="R27" s="33">
        <f>'Water Heater Stock'!R15*'Device Energy Use'!$D5</f>
        <v>201239.07287601769</v>
      </c>
      <c r="S27" s="33">
        <f>'Water Heater Stock'!S15*'Device Energy Use'!$D5</f>
        <v>186864.85338487357</v>
      </c>
      <c r="T27" s="33">
        <f>'Water Heater Stock'!T15*'Device Energy Use'!$D5</f>
        <v>173517.36385738259</v>
      </c>
      <c r="U27" s="33">
        <f>'Water Heater Stock'!U15*'Device Energy Use'!$D5</f>
        <v>161123.26643899811</v>
      </c>
      <c r="V27" s="33">
        <f>'Water Heater Stock'!V15*'Device Energy Use'!$D5</f>
        <v>149614.46169335538</v>
      </c>
      <c r="W27" s="33">
        <f>'Water Heater Stock'!W15*'Device Energy Use'!$D5</f>
        <v>138927.71442954428</v>
      </c>
    </row>
    <row r="28" spans="1:23">
      <c r="A28" s="14" t="str">
        <f>'Device Energy Use'!A6</f>
        <v>HPWH</v>
      </c>
      <c r="B28" s="33">
        <f>'Water Heater Stock'!B16*'Device Energy Use'!$D6</f>
        <v>0</v>
      </c>
      <c r="C28" s="33">
        <f>'Water Heater Stock'!C16*'Device Energy Use'!$D6</f>
        <v>25659.947391256625</v>
      </c>
      <c r="D28" s="33">
        <f>'Water Heater Stock'!D16*'Device Energy Use'!$D6</f>
        <v>49487.041397423483</v>
      </c>
      <c r="E28" s="33">
        <f>'Water Heater Stock'!E16*'Device Energy Use'!$D6</f>
        <v>71612.200117435583</v>
      </c>
      <c r="F28" s="33">
        <f>'Water Heater Stock'!F16*'Device Energy Use'!$D6</f>
        <v>92156.990357446804</v>
      </c>
      <c r="G28" s="33">
        <f>'Water Heater Stock'!G16*'Device Energy Use'!$D6</f>
        <v>111234.29558031437</v>
      </c>
      <c r="H28" s="33">
        <f>'Water Heater Stock'!H16*'Device Energy Use'!$D6</f>
        <v>128948.93614440566</v>
      </c>
      <c r="I28" s="33">
        <f>'Water Heater Stock'!I16*'Device Energy Use'!$D6</f>
        <v>145398.24523963331</v>
      </c>
      <c r="J28" s="33">
        <f>'Water Heater Stock'!J16*'Device Energy Use'!$D6</f>
        <v>160672.60368520182</v>
      </c>
      <c r="K28" s="33">
        <f>'Water Heater Stock'!K16*'Device Energy Use'!$D6</f>
        <v>174855.93652751547</v>
      </c>
      <c r="L28" s="33">
        <f>'Water Heater Stock'!L16*'Device Energy Use'!$D6</f>
        <v>188026.17416680668</v>
      </c>
      <c r="M28" s="33">
        <f>'Water Heater Stock'!M16*'Device Energy Use'!$D6</f>
        <v>200255.68054614853</v>
      </c>
      <c r="N28" s="33">
        <f>'Water Heater Stock'!N16*'Device Energy Use'!$D6</f>
        <v>211611.65075553738</v>
      </c>
      <c r="O28" s="33">
        <f>'Water Heater Stock'!O16*'Device Energy Use'!$D6</f>
        <v>222156.4802356842</v>
      </c>
      <c r="P28" s="33">
        <f>'Water Heater Stock'!P16*'Device Energy Use'!$D6</f>
        <v>231948.10761010624</v>
      </c>
      <c r="Q28" s="33">
        <f>'Water Heater Stock'!Q16*'Device Energy Use'!$D6</f>
        <v>241040.3330292124</v>
      </c>
      <c r="R28" s="33">
        <f>'Water Heater Stock'!R16*'Device Energy Use'!$D6</f>
        <v>249483.1137755253</v>
      </c>
      <c r="S28" s="33">
        <f>'Water Heater Stock'!S16*'Device Energy Use'!$D6</f>
        <v>257322.83875424438</v>
      </c>
      <c r="T28" s="33">
        <f>'Water Heater Stock'!T16*'Device Energy Use'!$D6</f>
        <v>264602.58337734069</v>
      </c>
      <c r="U28" s="33">
        <f>'Water Heater Stock'!U16*'Device Energy Use'!$D6</f>
        <v>271362.34624164441</v>
      </c>
      <c r="V28" s="33">
        <f>'Water Heater Stock'!V16*'Device Energy Use'!$D6</f>
        <v>277639.26890135504</v>
      </c>
      <c r="W28" s="33">
        <f>'Water Heater Stock'!W16*'Device Energy Use'!$D6</f>
        <v>283467.8399425149</v>
      </c>
    </row>
    <row r="29" spans="1:23">
      <c r="A29" s="14" t="str">
        <f>'Device Energy Use'!A7</f>
        <v>Gas Tank</v>
      </c>
      <c r="B29" s="33">
        <f>'Water Heater Stock'!B17*'Device Energy Use'!$D7</f>
        <v>0</v>
      </c>
      <c r="C29" s="33">
        <f>'Water Heater Stock'!C17*'Device Energy Use'!$D7</f>
        <v>0</v>
      </c>
      <c r="D29" s="33">
        <f>'Water Heater Stock'!D17*'Device Energy Use'!$D7</f>
        <v>0</v>
      </c>
      <c r="E29" s="33">
        <f>'Water Heater Stock'!E17*'Device Energy Use'!$D7</f>
        <v>0</v>
      </c>
      <c r="F29" s="33">
        <f>'Water Heater Stock'!F17*'Device Energy Use'!$D7</f>
        <v>0</v>
      </c>
      <c r="G29" s="33">
        <f>'Water Heater Stock'!G17*'Device Energy Use'!$D7</f>
        <v>0</v>
      </c>
      <c r="H29" s="33">
        <f>'Water Heater Stock'!H17*'Device Energy Use'!$D7</f>
        <v>0</v>
      </c>
      <c r="I29" s="33">
        <f>'Water Heater Stock'!I17*'Device Energy Use'!$D7</f>
        <v>0</v>
      </c>
      <c r="J29" s="33">
        <f>'Water Heater Stock'!J17*'Device Energy Use'!$D7</f>
        <v>0</v>
      </c>
      <c r="K29" s="33">
        <f>'Water Heater Stock'!K17*'Device Energy Use'!$D7</f>
        <v>0</v>
      </c>
      <c r="L29" s="33">
        <f>'Water Heater Stock'!L17*'Device Energy Use'!$D7</f>
        <v>0</v>
      </c>
      <c r="M29" s="33">
        <f>'Water Heater Stock'!M17*'Device Energy Use'!$D7</f>
        <v>0</v>
      </c>
      <c r="N29" s="33">
        <f>'Water Heater Stock'!N17*'Device Energy Use'!$D7</f>
        <v>0</v>
      </c>
      <c r="O29" s="33">
        <f>'Water Heater Stock'!O17*'Device Energy Use'!$D7</f>
        <v>0</v>
      </c>
      <c r="P29" s="33">
        <f>'Water Heater Stock'!P17*'Device Energy Use'!$D7</f>
        <v>0</v>
      </c>
      <c r="Q29" s="33">
        <f>'Water Heater Stock'!Q17*'Device Energy Use'!$D7</f>
        <v>0</v>
      </c>
      <c r="R29" s="33">
        <f>'Water Heater Stock'!R17*'Device Energy Use'!$D7</f>
        <v>0</v>
      </c>
      <c r="S29" s="33">
        <f>'Water Heater Stock'!S17*'Device Energy Use'!$D7</f>
        <v>0</v>
      </c>
      <c r="T29" s="33">
        <f>'Water Heater Stock'!T17*'Device Energy Use'!$D7</f>
        <v>0</v>
      </c>
      <c r="U29" s="33">
        <f>'Water Heater Stock'!U17*'Device Energy Use'!$D7</f>
        <v>0</v>
      </c>
      <c r="V29" s="33">
        <f>'Water Heater Stock'!V17*'Device Energy Use'!$D7</f>
        <v>0</v>
      </c>
      <c r="W29" s="33">
        <f>'Water Heater Stock'!W17*'Device Energy Use'!$D7</f>
        <v>0</v>
      </c>
    </row>
    <row r="30" spans="1:23">
      <c r="A30" s="14" t="str">
        <f>'Device Energy Use'!A8</f>
        <v>Instant Gas</v>
      </c>
      <c r="B30" s="33">
        <f>'Water Heater Stock'!B18*'Device Energy Use'!$D8</f>
        <v>0</v>
      </c>
      <c r="C30" s="33">
        <f>'Water Heater Stock'!C18*'Device Energy Use'!$D8</f>
        <v>0</v>
      </c>
      <c r="D30" s="33">
        <f>'Water Heater Stock'!D18*'Device Energy Use'!$D8</f>
        <v>0</v>
      </c>
      <c r="E30" s="33">
        <f>'Water Heater Stock'!E18*'Device Energy Use'!$D8</f>
        <v>0</v>
      </c>
      <c r="F30" s="33">
        <f>'Water Heater Stock'!F18*'Device Energy Use'!$D8</f>
        <v>0</v>
      </c>
      <c r="G30" s="33">
        <f>'Water Heater Stock'!G18*'Device Energy Use'!$D8</f>
        <v>0</v>
      </c>
      <c r="H30" s="33">
        <f>'Water Heater Stock'!H18*'Device Energy Use'!$D8</f>
        <v>0</v>
      </c>
      <c r="I30" s="33">
        <f>'Water Heater Stock'!I18*'Device Energy Use'!$D8</f>
        <v>0</v>
      </c>
      <c r="J30" s="33">
        <f>'Water Heater Stock'!J18*'Device Energy Use'!$D8</f>
        <v>0</v>
      </c>
      <c r="K30" s="33">
        <f>'Water Heater Stock'!K18*'Device Energy Use'!$D8</f>
        <v>0</v>
      </c>
      <c r="L30" s="33">
        <f>'Water Heater Stock'!L18*'Device Energy Use'!$D8</f>
        <v>0</v>
      </c>
      <c r="M30" s="33">
        <f>'Water Heater Stock'!M18*'Device Energy Use'!$D8</f>
        <v>0</v>
      </c>
      <c r="N30" s="33">
        <f>'Water Heater Stock'!N18*'Device Energy Use'!$D8</f>
        <v>0</v>
      </c>
      <c r="O30" s="33">
        <f>'Water Heater Stock'!O18*'Device Energy Use'!$D8</f>
        <v>0</v>
      </c>
      <c r="P30" s="33">
        <f>'Water Heater Stock'!P18*'Device Energy Use'!$D8</f>
        <v>0</v>
      </c>
      <c r="Q30" s="33">
        <f>'Water Heater Stock'!Q18*'Device Energy Use'!$D8</f>
        <v>0</v>
      </c>
      <c r="R30" s="33">
        <f>'Water Heater Stock'!R18*'Device Energy Use'!$D8</f>
        <v>0</v>
      </c>
      <c r="S30" s="33">
        <f>'Water Heater Stock'!S18*'Device Energy Use'!$D8</f>
        <v>0</v>
      </c>
      <c r="T30" s="33">
        <f>'Water Heater Stock'!T18*'Device Energy Use'!$D8</f>
        <v>0</v>
      </c>
      <c r="U30" s="33">
        <f>'Water Heater Stock'!U18*'Device Energy Use'!$D8</f>
        <v>0</v>
      </c>
      <c r="V30" s="33">
        <f>'Water Heater Stock'!V18*'Device Energy Use'!$D8</f>
        <v>0</v>
      </c>
      <c r="W30" s="33">
        <f>'Water Heater Stock'!W18*'Device Energy Use'!$D8</f>
        <v>0</v>
      </c>
    </row>
    <row r="31" spans="1:23">
      <c r="A31" s="14" t="str">
        <f>'Device Energy Use'!A9</f>
        <v>Condensing Gas</v>
      </c>
      <c r="B31" s="33">
        <f>'Water Heater Stock'!B19*'Device Energy Use'!$D9</f>
        <v>0</v>
      </c>
      <c r="C31" s="33">
        <f>'Water Heater Stock'!C19*'Device Energy Use'!$D9</f>
        <v>0</v>
      </c>
      <c r="D31" s="33">
        <f>'Water Heater Stock'!D19*'Device Energy Use'!$D9</f>
        <v>0</v>
      </c>
      <c r="E31" s="33">
        <f>'Water Heater Stock'!E19*'Device Energy Use'!$D9</f>
        <v>0</v>
      </c>
      <c r="F31" s="33">
        <f>'Water Heater Stock'!F19*'Device Energy Use'!$D9</f>
        <v>0</v>
      </c>
      <c r="G31" s="33">
        <f>'Water Heater Stock'!G19*'Device Energy Use'!$D9</f>
        <v>0</v>
      </c>
      <c r="H31" s="33">
        <f>'Water Heater Stock'!H19*'Device Energy Use'!$D9</f>
        <v>0</v>
      </c>
      <c r="I31" s="33">
        <f>'Water Heater Stock'!I19*'Device Energy Use'!$D9</f>
        <v>0</v>
      </c>
      <c r="J31" s="33">
        <f>'Water Heater Stock'!J19*'Device Energy Use'!$D9</f>
        <v>0</v>
      </c>
      <c r="K31" s="33">
        <f>'Water Heater Stock'!K19*'Device Energy Use'!$D9</f>
        <v>0</v>
      </c>
      <c r="L31" s="33">
        <f>'Water Heater Stock'!L19*'Device Energy Use'!$D9</f>
        <v>0</v>
      </c>
      <c r="M31" s="33">
        <f>'Water Heater Stock'!M19*'Device Energy Use'!$D9</f>
        <v>0</v>
      </c>
      <c r="N31" s="33">
        <f>'Water Heater Stock'!N19*'Device Energy Use'!$D9</f>
        <v>0</v>
      </c>
      <c r="O31" s="33">
        <f>'Water Heater Stock'!O19*'Device Energy Use'!$D9</f>
        <v>0</v>
      </c>
      <c r="P31" s="33">
        <f>'Water Heater Stock'!P19*'Device Energy Use'!$D9</f>
        <v>0</v>
      </c>
      <c r="Q31" s="33">
        <f>'Water Heater Stock'!Q19*'Device Energy Use'!$D9</f>
        <v>0</v>
      </c>
      <c r="R31" s="33">
        <f>'Water Heater Stock'!R19*'Device Energy Use'!$D9</f>
        <v>0</v>
      </c>
      <c r="S31" s="33">
        <f>'Water Heater Stock'!S19*'Device Energy Use'!$D9</f>
        <v>0</v>
      </c>
      <c r="T31" s="33">
        <f>'Water Heater Stock'!T19*'Device Energy Use'!$D9</f>
        <v>0</v>
      </c>
      <c r="U31" s="33">
        <f>'Water Heater Stock'!U19*'Device Energy Use'!$D9</f>
        <v>0</v>
      </c>
      <c r="V31" s="33">
        <f>'Water Heater Stock'!V19*'Device Energy Use'!$D9</f>
        <v>0</v>
      </c>
      <c r="W31" s="33">
        <f>'Water Heater Stock'!W19*'Device Energy Use'!$D9</f>
        <v>0</v>
      </c>
    </row>
    <row r="34" spans="1:23">
      <c r="A34" s="12" t="s">
        <v>45</v>
      </c>
    </row>
    <row r="35" spans="1:23">
      <c r="A35" s="38" t="str">
        <f>'Device Energy Use'!A4</f>
        <v>Water Heat Ending</v>
      </c>
      <c r="B35" s="41">
        <f>'Water Heater Stock'!B4</f>
        <v>2014</v>
      </c>
      <c r="C35" s="41">
        <f>'Water Heater Stock'!C4</f>
        <v>2015</v>
      </c>
      <c r="D35" s="41">
        <f>'Water Heater Stock'!D4</f>
        <v>2016</v>
      </c>
      <c r="E35" s="41">
        <f>'Water Heater Stock'!E4</f>
        <v>2017</v>
      </c>
      <c r="F35" s="41">
        <f>'Water Heater Stock'!F4</f>
        <v>2018</v>
      </c>
      <c r="G35" s="41">
        <f>'Water Heater Stock'!G4</f>
        <v>2019</v>
      </c>
      <c r="H35" s="41">
        <f>'Water Heater Stock'!H4</f>
        <v>2020</v>
      </c>
      <c r="I35" s="41">
        <f>'Water Heater Stock'!I4</f>
        <v>2021</v>
      </c>
      <c r="J35" s="41">
        <f>'Water Heater Stock'!J4</f>
        <v>2022</v>
      </c>
      <c r="K35" s="41">
        <f>'Water Heater Stock'!K4</f>
        <v>2023</v>
      </c>
      <c r="L35" s="41">
        <f>'Water Heater Stock'!L4</f>
        <v>2024</v>
      </c>
      <c r="M35" s="41">
        <f>'Water Heater Stock'!M4</f>
        <v>2025</v>
      </c>
      <c r="N35" s="41">
        <f>'Water Heater Stock'!N4</f>
        <v>2026</v>
      </c>
      <c r="O35" s="41">
        <f>'Water Heater Stock'!O4</f>
        <v>2027</v>
      </c>
      <c r="P35" s="41">
        <f>'Water Heater Stock'!P4</f>
        <v>2028</v>
      </c>
      <c r="Q35" s="41">
        <f>'Water Heater Stock'!Q4</f>
        <v>2029</v>
      </c>
      <c r="R35" s="41">
        <f>'Water Heater Stock'!R4</f>
        <v>2030</v>
      </c>
      <c r="S35" s="41">
        <f>'Water Heater Stock'!S4</f>
        <v>2031</v>
      </c>
      <c r="T35" s="41">
        <f>'Water Heater Stock'!T4</f>
        <v>2032</v>
      </c>
      <c r="U35" s="41">
        <f>'Water Heater Stock'!U4</f>
        <v>2033</v>
      </c>
      <c r="V35" s="41">
        <f>'Water Heater Stock'!V4</f>
        <v>2034</v>
      </c>
      <c r="W35" s="41">
        <f>'Water Heater Stock'!W4</f>
        <v>2035</v>
      </c>
    </row>
    <row r="36" spans="1:23" ht="16.5" thickBot="1">
      <c r="A36" s="48" t="s">
        <v>44</v>
      </c>
      <c r="B36" s="49">
        <f t="shared" ref="B36:W36" si="9">SUM(B37:B41)</f>
        <v>193044.84962524771</v>
      </c>
      <c r="C36" s="49">
        <f t="shared" si="9"/>
        <v>183472.30656562353</v>
      </c>
      <c r="D36" s="49">
        <f t="shared" si="9"/>
        <v>174581.7325706791</v>
      </c>
      <c r="E36" s="49">
        <f t="shared" si="9"/>
        <v>166324.44966019742</v>
      </c>
      <c r="F36" s="49">
        <f t="shared" si="9"/>
        <v>158655.25733814307</v>
      </c>
      <c r="G36" s="49">
        <f t="shared" si="9"/>
        <v>151532.1841975851</v>
      </c>
      <c r="H36" s="49">
        <f t="shared" si="9"/>
        <v>144916.25726800348</v>
      </c>
      <c r="I36" s="49">
        <f t="shared" si="9"/>
        <v>138771.28783766669</v>
      </c>
      <c r="J36" s="49">
        <f t="shared" si="9"/>
        <v>133063.67257429298</v>
      </c>
      <c r="K36" s="49">
        <f t="shared" si="9"/>
        <v>127762.20885126041</v>
      </c>
      <c r="L36" s="49">
        <f t="shared" si="9"/>
        <v>122837.92326468704</v>
      </c>
      <c r="M36" s="49">
        <f t="shared" si="9"/>
        <v>118263.91239917692</v>
      </c>
      <c r="N36" s="49">
        <f t="shared" si="9"/>
        <v>114015.19496732925</v>
      </c>
      <c r="O36" s="49">
        <f t="shared" si="9"/>
        <v>110068.5745106008</v>
      </c>
      <c r="P36" s="49">
        <f t="shared" si="9"/>
        <v>106402.51190714087</v>
      </c>
      <c r="Q36" s="49">
        <f t="shared" si="9"/>
        <v>102997.0069861025</v>
      </c>
      <c r="R36" s="49">
        <f t="shared" si="9"/>
        <v>99833.488597969015</v>
      </c>
      <c r="S36" s="49">
        <f t="shared" si="9"/>
        <v>96894.712536896768</v>
      </c>
      <c r="T36" s="49">
        <f t="shared" si="9"/>
        <v>94164.66675421712</v>
      </c>
      <c r="U36" s="49">
        <f t="shared" si="9"/>
        <v>91628.483342302672</v>
      </c>
      <c r="V36" s="49">
        <f t="shared" si="9"/>
        <v>89272.35680520178</v>
      </c>
      <c r="W36" s="49">
        <f t="shared" si="9"/>
        <v>87083.468166988168</v>
      </c>
    </row>
    <row r="37" spans="1:23" ht="16.5" thickTop="1">
      <c r="A37" s="37" t="str">
        <f>'Device Energy Use'!A5</f>
        <v>Electric Resistance</v>
      </c>
      <c r="B37" s="33">
        <f>'Water Heater Stock'!B6*'Device Energy Use'!$B5/1000</f>
        <v>193044.84962524771</v>
      </c>
      <c r="C37" s="33">
        <f>'Water Heater Stock'!C6*'Device Energy Use'!$B5/1000</f>
        <v>179256.22487527778</v>
      </c>
      <c r="D37" s="33">
        <f>'Water Heater Stock'!D6*'Device Energy Use'!$B5/1000</f>
        <v>166452.4988776359</v>
      </c>
      <c r="E37" s="33">
        <f>'Water Heater Stock'!E6*'Device Energy Use'!$B5/1000</f>
        <v>154563.32176582565</v>
      </c>
      <c r="F37" s="33">
        <f>'Water Heater Stock'!F6*'Device Energy Use'!$B5/1000</f>
        <v>143523.36866326374</v>
      </c>
      <c r="G37" s="33">
        <f>'Water Heater Stock'!G6*'Device Energy Use'!$B5/1000</f>
        <v>133271.98075543245</v>
      </c>
      <c r="H37" s="33">
        <f>'Water Heater Stock'!H6*'Device Energy Use'!$B5/1000</f>
        <v>123752.83199973582</v>
      </c>
      <c r="I37" s="33">
        <f>'Water Heater Stock'!I6*'Device Energy Use'!$B5/1000</f>
        <v>114913.61964179449</v>
      </c>
      <c r="J37" s="33">
        <f>'Water Heater Stock'!J6*'Device Energy Use'!$B5/1000</f>
        <v>106705.77683771994</v>
      </c>
      <c r="K37" s="33">
        <f>'Water Heater Stock'!K6*'Device Energy Use'!$B5/1000</f>
        <v>99084.205803368808</v>
      </c>
      <c r="L37" s="33">
        <f>'Water Heater Stock'!L6*'Device Energy Use'!$B5/1000</f>
        <v>92007.030024365318</v>
      </c>
      <c r="M37" s="33">
        <f>'Water Heater Stock'!M6*'Device Energy Use'!$B5/1000</f>
        <v>85435.36416540746</v>
      </c>
      <c r="N37" s="33">
        <f>'Water Heater Stock'!N6*'Device Energy Use'!$B5/1000</f>
        <v>79333.100414623041</v>
      </c>
      <c r="O37" s="33">
        <f>'Water Heater Stock'!O6*'Device Energy Use'!$B5/1000</f>
        <v>73666.710089043248</v>
      </c>
      <c r="P37" s="33">
        <f>'Water Heater Stock'!P6*'Device Energy Use'!$B5/1000</f>
        <v>68405.059411113791</v>
      </c>
      <c r="Q37" s="33">
        <f>'Water Heater Stock'!Q6*'Device Energy Use'!$B5/1000</f>
        <v>63519.238444026734</v>
      </c>
      <c r="R37" s="33">
        <f>'Water Heater Stock'!R6*'Device Energy Use'!$B5/1000</f>
        <v>58982.40224595739</v>
      </c>
      <c r="S37" s="33">
        <f>'Water Heater Stock'!S6*'Device Energy Use'!$B5/1000</f>
        <v>54769.623370426991</v>
      </c>
      <c r="T37" s="33">
        <f>'Water Heater Stock'!T6*'Device Energy Use'!$B5/1000</f>
        <v>50857.754902354027</v>
      </c>
      <c r="U37" s="33">
        <f>'Water Heater Stock'!U6*'Device Energy Use'!$B5/1000</f>
        <v>47225.303277244624</v>
      </c>
      <c r="V37" s="33">
        <f>'Water Heater Stock'!V6*'Device Energy Use'!$B5/1000</f>
        <v>43852.310184726652</v>
      </c>
      <c r="W37" s="33">
        <f>'Water Heater Stock'!W6*'Device Energy Use'!$B5/1000</f>
        <v>40720.242907545588</v>
      </c>
    </row>
    <row r="38" spans="1:23">
      <c r="A38" s="37" t="str">
        <f>'Device Energy Use'!A6</f>
        <v>HPWH</v>
      </c>
      <c r="B38" s="33">
        <f>'Water Heater Stock'!B7*'Device Energy Use'!$B6/1000</f>
        <v>0</v>
      </c>
      <c r="C38" s="33">
        <f>'Water Heater Stock'!C7*'Device Energy Use'!$B6/1000</f>
        <v>4216.0816903457498</v>
      </c>
      <c r="D38" s="33">
        <f>'Water Heater Stock'!D7*'Device Energy Use'!$B6/1000</f>
        <v>8129.2336930432102</v>
      </c>
      <c r="E38" s="33">
        <f>'Water Heater Stock'!E7*'Device Energy Use'!$B6/1000</f>
        <v>11761.127894371763</v>
      </c>
      <c r="F38" s="33">
        <f>'Water Heater Stock'!F7*'Device Energy Use'!$B6/1000</f>
        <v>15131.888674879316</v>
      </c>
      <c r="G38" s="33">
        <f>'Water Heater Stock'!G7*'Device Energy Use'!$B6/1000</f>
        <v>18260.203442152659</v>
      </c>
      <c r="H38" s="33">
        <f>'Water Heater Stock'!H7*'Device Energy Use'!$B6/1000</f>
        <v>21163.425268267645</v>
      </c>
      <c r="I38" s="33">
        <f>'Water Heater Stock'!I7*'Device Energy Use'!$B6/1000</f>
        <v>23857.668195872215</v>
      </c>
      <c r="J38" s="33">
        <f>'Water Heater Stock'!J7*'Device Energy Use'!$B6/1000</f>
        <v>26357.89573657306</v>
      </c>
      <c r="K38" s="33">
        <f>'Water Heater Stock'!K7*'Device Energy Use'!$B6/1000</f>
        <v>28678.003047891598</v>
      </c>
      <c r="L38" s="33">
        <f>'Water Heater Stock'!L7*'Device Energy Use'!$B6/1000</f>
        <v>30830.893240321722</v>
      </c>
      <c r="M38" s="33">
        <f>'Water Heater Stock'!M7*'Device Energy Use'!$B6/1000</f>
        <v>32828.548233769463</v>
      </c>
      <c r="N38" s="33">
        <f>'Water Heater Stock'!N7*'Device Energy Use'!$B6/1000</f>
        <v>34682.094552706214</v>
      </c>
      <c r="O38" s="33">
        <f>'Water Heater Stock'!O7*'Device Energy Use'!$B6/1000</f>
        <v>36401.864421557555</v>
      </c>
      <c r="P38" s="33">
        <f>'Water Heater Stock'!P7*'Device Energy Use'!$B6/1000</f>
        <v>37997.452496027079</v>
      </c>
      <c r="Q38" s="33">
        <f>'Water Heater Stock'!Q7*'Device Energy Use'!$B6/1000</f>
        <v>39477.768542075755</v>
      </c>
      <c r="R38" s="33">
        <f>'Water Heater Stock'!R7*'Device Energy Use'!$B6/1000</f>
        <v>40851.086352011625</v>
      </c>
      <c r="S38" s="33">
        <f>'Water Heater Stock'!S7*'Device Energy Use'!$B6/1000</f>
        <v>42125.089166469777</v>
      </c>
      <c r="T38" s="33">
        <f>'Water Heater Stock'!T7*'Device Energy Use'!$B6/1000</f>
        <v>43306.911851863093</v>
      </c>
      <c r="U38" s="33">
        <f>'Water Heater Stock'!U7*'Device Energy Use'!$B6/1000</f>
        <v>44403.180065058055</v>
      </c>
      <c r="V38" s="33">
        <f>'Water Heater Stock'!V7*'Device Energy Use'!$B6/1000</f>
        <v>45420.046620475128</v>
      </c>
      <c r="W38" s="33">
        <f>'Water Heater Stock'!W7*'Device Energy Use'!$B6/1000</f>
        <v>46363.225259442581</v>
      </c>
    </row>
    <row r="39" spans="1:23">
      <c r="A39" s="37" t="str">
        <f>'Device Energy Use'!A7</f>
        <v>Gas Tank</v>
      </c>
      <c r="B39" s="33">
        <f>'Water Heater Stock'!B8*'Device Energy Use'!$B7/1000</f>
        <v>0</v>
      </c>
      <c r="C39" s="33">
        <f>'Water Heater Stock'!C8*'Device Energy Use'!$B7/1000</f>
        <v>0</v>
      </c>
      <c r="D39" s="33">
        <f>'Water Heater Stock'!D8*'Device Energy Use'!$B7/1000</f>
        <v>0</v>
      </c>
      <c r="E39" s="33">
        <f>'Water Heater Stock'!E8*'Device Energy Use'!$B7/1000</f>
        <v>0</v>
      </c>
      <c r="F39" s="33">
        <f>'Water Heater Stock'!F8*'Device Energy Use'!$B7/1000</f>
        <v>0</v>
      </c>
      <c r="G39" s="33">
        <f>'Water Heater Stock'!G8*'Device Energy Use'!$B7/1000</f>
        <v>0</v>
      </c>
      <c r="H39" s="33">
        <f>'Water Heater Stock'!H8*'Device Energy Use'!$B7/1000</f>
        <v>0</v>
      </c>
      <c r="I39" s="33">
        <f>'Water Heater Stock'!I8*'Device Energy Use'!$B7/1000</f>
        <v>0</v>
      </c>
      <c r="J39" s="33">
        <f>'Water Heater Stock'!J8*'Device Energy Use'!$B7/1000</f>
        <v>0</v>
      </c>
      <c r="K39" s="33">
        <f>'Water Heater Stock'!K8*'Device Energy Use'!$B7/1000</f>
        <v>0</v>
      </c>
      <c r="L39" s="33">
        <f>'Water Heater Stock'!L8*'Device Energy Use'!$B7/1000</f>
        <v>0</v>
      </c>
      <c r="M39" s="33">
        <f>'Water Heater Stock'!M8*'Device Energy Use'!$B7/1000</f>
        <v>0</v>
      </c>
      <c r="N39" s="33">
        <f>'Water Heater Stock'!N8*'Device Energy Use'!$B7/1000</f>
        <v>0</v>
      </c>
      <c r="O39" s="33">
        <f>'Water Heater Stock'!O8*'Device Energy Use'!$B7/1000</f>
        <v>0</v>
      </c>
      <c r="P39" s="33">
        <f>'Water Heater Stock'!P8*'Device Energy Use'!$B7/1000</f>
        <v>0</v>
      </c>
      <c r="Q39" s="33">
        <f>'Water Heater Stock'!Q8*'Device Energy Use'!$B7/1000</f>
        <v>0</v>
      </c>
      <c r="R39" s="33">
        <f>'Water Heater Stock'!R8*'Device Energy Use'!$B7/1000</f>
        <v>0</v>
      </c>
      <c r="S39" s="33">
        <f>'Water Heater Stock'!S8*'Device Energy Use'!$B7/1000</f>
        <v>0</v>
      </c>
      <c r="T39" s="33">
        <f>'Water Heater Stock'!T8*'Device Energy Use'!$B7/1000</f>
        <v>0</v>
      </c>
      <c r="U39" s="33">
        <f>'Water Heater Stock'!U8*'Device Energy Use'!$B7/1000</f>
        <v>0</v>
      </c>
      <c r="V39" s="33">
        <f>'Water Heater Stock'!V8*'Device Energy Use'!$B7/1000</f>
        <v>0</v>
      </c>
      <c r="W39" s="33">
        <f>'Water Heater Stock'!W8*'Device Energy Use'!$B7/1000</f>
        <v>0</v>
      </c>
    </row>
    <row r="40" spans="1:23">
      <c r="A40" s="37" t="str">
        <f>'Device Energy Use'!A8</f>
        <v>Instant Gas</v>
      </c>
      <c r="B40" s="33">
        <f>'Water Heater Stock'!B9*'Device Energy Use'!$B8/1000</f>
        <v>0</v>
      </c>
      <c r="C40" s="33">
        <f>'Water Heater Stock'!C9*'Device Energy Use'!$B8/1000</f>
        <v>0</v>
      </c>
      <c r="D40" s="33">
        <f>'Water Heater Stock'!D9*'Device Energy Use'!$B8/1000</f>
        <v>0</v>
      </c>
      <c r="E40" s="33">
        <f>'Water Heater Stock'!E9*'Device Energy Use'!$B8/1000</f>
        <v>0</v>
      </c>
      <c r="F40" s="33">
        <f>'Water Heater Stock'!F9*'Device Energy Use'!$B8/1000</f>
        <v>0</v>
      </c>
      <c r="G40" s="33">
        <f>'Water Heater Stock'!G9*'Device Energy Use'!$B8/1000</f>
        <v>0</v>
      </c>
      <c r="H40" s="33">
        <f>'Water Heater Stock'!H9*'Device Energy Use'!$B8/1000</f>
        <v>0</v>
      </c>
      <c r="I40" s="33">
        <f>'Water Heater Stock'!I9*'Device Energy Use'!$B8/1000</f>
        <v>0</v>
      </c>
      <c r="J40" s="33">
        <f>'Water Heater Stock'!J9*'Device Energy Use'!$B8/1000</f>
        <v>0</v>
      </c>
      <c r="K40" s="33">
        <f>'Water Heater Stock'!K9*'Device Energy Use'!$B8/1000</f>
        <v>0</v>
      </c>
      <c r="L40" s="33">
        <f>'Water Heater Stock'!L9*'Device Energy Use'!$B8/1000</f>
        <v>0</v>
      </c>
      <c r="M40" s="33">
        <f>'Water Heater Stock'!M9*'Device Energy Use'!$B8/1000</f>
        <v>0</v>
      </c>
      <c r="N40" s="33">
        <f>'Water Heater Stock'!N9*'Device Energy Use'!$B8/1000</f>
        <v>0</v>
      </c>
      <c r="O40" s="33">
        <f>'Water Heater Stock'!O9*'Device Energy Use'!$B8/1000</f>
        <v>0</v>
      </c>
      <c r="P40" s="33">
        <f>'Water Heater Stock'!P9*'Device Energy Use'!$B8/1000</f>
        <v>0</v>
      </c>
      <c r="Q40" s="33">
        <f>'Water Heater Stock'!Q9*'Device Energy Use'!$B8/1000</f>
        <v>0</v>
      </c>
      <c r="R40" s="33">
        <f>'Water Heater Stock'!R9*'Device Energy Use'!$B8/1000</f>
        <v>0</v>
      </c>
      <c r="S40" s="33">
        <f>'Water Heater Stock'!S9*'Device Energy Use'!$B8/1000</f>
        <v>0</v>
      </c>
      <c r="T40" s="33">
        <f>'Water Heater Stock'!T9*'Device Energy Use'!$B8/1000</f>
        <v>0</v>
      </c>
      <c r="U40" s="33">
        <f>'Water Heater Stock'!U9*'Device Energy Use'!$B8/1000</f>
        <v>0</v>
      </c>
      <c r="V40" s="33">
        <f>'Water Heater Stock'!V9*'Device Energy Use'!$B8/1000</f>
        <v>0</v>
      </c>
      <c r="W40" s="33">
        <f>'Water Heater Stock'!W9*'Device Energy Use'!$B8/1000</f>
        <v>0</v>
      </c>
    </row>
    <row r="41" spans="1:23">
      <c r="A41" s="37" t="str">
        <f>'Device Energy Use'!A9</f>
        <v>Condensing Gas</v>
      </c>
      <c r="B41" s="33">
        <f>'Water Heater Stock'!B10*'Device Energy Use'!$B9/1000</f>
        <v>0</v>
      </c>
      <c r="C41" s="33">
        <f>'Water Heater Stock'!C10*'Device Energy Use'!$B9/1000</f>
        <v>0</v>
      </c>
      <c r="D41" s="33">
        <f>'Water Heater Stock'!D10*'Device Energy Use'!$B9/1000</f>
        <v>0</v>
      </c>
      <c r="E41" s="33">
        <f>'Water Heater Stock'!E10*'Device Energy Use'!$B9/1000</f>
        <v>0</v>
      </c>
      <c r="F41" s="33">
        <f>'Water Heater Stock'!F10*'Device Energy Use'!$B9/1000</f>
        <v>0</v>
      </c>
      <c r="G41" s="33">
        <f>'Water Heater Stock'!G10*'Device Energy Use'!$B9/1000</f>
        <v>0</v>
      </c>
      <c r="H41" s="33">
        <f>'Water Heater Stock'!H10*'Device Energy Use'!$B9/1000</f>
        <v>0</v>
      </c>
      <c r="I41" s="33">
        <f>'Water Heater Stock'!I10*'Device Energy Use'!$B9/1000</f>
        <v>0</v>
      </c>
      <c r="J41" s="33">
        <f>'Water Heater Stock'!J10*'Device Energy Use'!$B9/1000</f>
        <v>0</v>
      </c>
      <c r="K41" s="33">
        <f>'Water Heater Stock'!K10*'Device Energy Use'!$B9/1000</f>
        <v>0</v>
      </c>
      <c r="L41" s="33">
        <f>'Water Heater Stock'!L10*'Device Energy Use'!$B9/1000</f>
        <v>0</v>
      </c>
      <c r="M41" s="33">
        <f>'Water Heater Stock'!M10*'Device Energy Use'!$B9/1000</f>
        <v>0</v>
      </c>
      <c r="N41" s="33">
        <f>'Water Heater Stock'!N10*'Device Energy Use'!$B9/1000</f>
        <v>0</v>
      </c>
      <c r="O41" s="33">
        <f>'Water Heater Stock'!O10*'Device Energy Use'!$B9/1000</f>
        <v>0</v>
      </c>
      <c r="P41" s="33">
        <f>'Water Heater Stock'!P10*'Device Energy Use'!$B9/1000</f>
        <v>0</v>
      </c>
      <c r="Q41" s="33">
        <f>'Water Heater Stock'!Q10*'Device Energy Use'!$B9/1000</f>
        <v>0</v>
      </c>
      <c r="R41" s="33">
        <f>'Water Heater Stock'!R10*'Device Energy Use'!$B9/1000</f>
        <v>0</v>
      </c>
      <c r="S41" s="33">
        <f>'Water Heater Stock'!S10*'Device Energy Use'!$B9/1000</f>
        <v>0</v>
      </c>
      <c r="T41" s="33">
        <f>'Water Heater Stock'!T10*'Device Energy Use'!$B9/1000</f>
        <v>0</v>
      </c>
      <c r="U41" s="33">
        <f>'Water Heater Stock'!U10*'Device Energy Use'!$B9/1000</f>
        <v>0</v>
      </c>
      <c r="V41" s="33">
        <f>'Water Heater Stock'!V10*'Device Energy Use'!$B9/1000</f>
        <v>0</v>
      </c>
      <c r="W41" s="33">
        <f>'Water Heater Stock'!W10*'Device Energy Use'!$B9/1000</f>
        <v>0</v>
      </c>
    </row>
    <row r="42" spans="1:23">
      <c r="A42" s="37"/>
    </row>
    <row r="43" spans="1:23">
      <c r="A43" s="12" t="s">
        <v>98</v>
      </c>
    </row>
    <row r="44" spans="1:23">
      <c r="A44" s="38" t="str">
        <f>'Device Energy Use'!A4</f>
        <v>Water Heat Ending</v>
      </c>
      <c r="B44" s="41">
        <f>'Water Heater Stock'!B13</f>
        <v>2014</v>
      </c>
      <c r="C44" s="41">
        <f>'Water Heater Stock'!C13</f>
        <v>2015</v>
      </c>
      <c r="D44" s="41">
        <f>'Water Heater Stock'!D13</f>
        <v>2016</v>
      </c>
      <c r="E44" s="41">
        <f>'Water Heater Stock'!E13</f>
        <v>2017</v>
      </c>
      <c r="F44" s="41">
        <f>'Water Heater Stock'!F13</f>
        <v>2018</v>
      </c>
      <c r="G44" s="41">
        <f>'Water Heater Stock'!G13</f>
        <v>2019</v>
      </c>
      <c r="H44" s="41">
        <f>'Water Heater Stock'!H13</f>
        <v>2020</v>
      </c>
      <c r="I44" s="41">
        <f>'Water Heater Stock'!I13</f>
        <v>2021</v>
      </c>
      <c r="J44" s="41">
        <f>'Water Heater Stock'!J13</f>
        <v>2022</v>
      </c>
      <c r="K44" s="41">
        <f>'Water Heater Stock'!K13</f>
        <v>2023</v>
      </c>
      <c r="L44" s="41">
        <f>'Water Heater Stock'!L13</f>
        <v>2024</v>
      </c>
      <c r="M44" s="41">
        <f>'Water Heater Stock'!M13</f>
        <v>2025</v>
      </c>
      <c r="N44" s="41">
        <f>'Water Heater Stock'!N13</f>
        <v>2026</v>
      </c>
      <c r="O44" s="41">
        <f>'Water Heater Stock'!O13</f>
        <v>2027</v>
      </c>
      <c r="P44" s="41">
        <f>'Water Heater Stock'!P13</f>
        <v>2028</v>
      </c>
      <c r="Q44" s="41">
        <f>'Water Heater Stock'!Q13</f>
        <v>2029</v>
      </c>
      <c r="R44" s="41">
        <f>'Water Heater Stock'!R13</f>
        <v>2030</v>
      </c>
      <c r="S44" s="41">
        <f>'Water Heater Stock'!S13</f>
        <v>2031</v>
      </c>
      <c r="T44" s="41">
        <f>'Water Heater Stock'!T13</f>
        <v>2032</v>
      </c>
      <c r="U44" s="41">
        <f>'Water Heater Stock'!U13</f>
        <v>2033</v>
      </c>
      <c r="V44" s="41">
        <f>'Water Heater Stock'!V13</f>
        <v>2034</v>
      </c>
      <c r="W44" s="41">
        <f>'Water Heater Stock'!W13</f>
        <v>2035</v>
      </c>
    </row>
    <row r="45" spans="1:23" ht="16.5" thickBot="1">
      <c r="A45" s="48" t="s">
        <v>44</v>
      </c>
      <c r="B45" s="49">
        <f t="shared" ref="B45:W45" si="10">SUM(B46:B50)</f>
        <v>193044.84962524771</v>
      </c>
      <c r="C45" s="49">
        <f t="shared" si="10"/>
        <v>186776.43220262686</v>
      </c>
      <c r="D45" s="49">
        <f t="shared" si="10"/>
        <v>180955.75888162179</v>
      </c>
      <c r="E45" s="49">
        <f t="shared" si="10"/>
        <v>175550.84794068849</v>
      </c>
      <c r="F45" s="49">
        <f t="shared" si="10"/>
        <v>170532.00206696475</v>
      </c>
      <c r="G45" s="49">
        <f t="shared" si="10"/>
        <v>165871.64518422124</v>
      </c>
      <c r="H45" s="49">
        <f t="shared" si="10"/>
        <v>161544.17093595944</v>
      </c>
      <c r="I45" s="49">
        <f t="shared" si="10"/>
        <v>157525.80199114489</v>
      </c>
      <c r="J45" s="49">
        <f t="shared" si="10"/>
        <v>153794.45939953139</v>
      </c>
      <c r="K45" s="49">
        <f t="shared" si="10"/>
        <v>150329.64127874741</v>
      </c>
      <c r="L45" s="49">
        <f t="shared" si="10"/>
        <v>147112.31016659091</v>
      </c>
      <c r="M45" s="49">
        <f t="shared" si="10"/>
        <v>144124.78841958841</v>
      </c>
      <c r="N45" s="49">
        <f t="shared" si="10"/>
        <v>141350.66108308607</v>
      </c>
      <c r="O45" s="49">
        <f t="shared" si="10"/>
        <v>138774.68569919103</v>
      </c>
      <c r="P45" s="49">
        <f t="shared" si="10"/>
        <v>136382.70855700283</v>
      </c>
      <c r="Q45" s="49">
        <f t="shared" si="10"/>
        <v>134161.58692497091</v>
      </c>
      <c r="R45" s="49">
        <f t="shared" si="10"/>
        <v>132099.1168380841</v>
      </c>
      <c r="S45" s="49">
        <f t="shared" si="10"/>
        <v>130183.96604311781</v>
      </c>
      <c r="T45" s="49">
        <f t="shared" si="10"/>
        <v>128405.61173350623</v>
      </c>
      <c r="U45" s="49">
        <f t="shared" si="10"/>
        <v>126754.28273172407</v>
      </c>
      <c r="V45" s="49">
        <f t="shared" si="10"/>
        <v>125220.90580149776</v>
      </c>
      <c r="W45" s="49">
        <f t="shared" si="10"/>
        <v>123797.05579485906</v>
      </c>
    </row>
    <row r="46" spans="1:23" ht="16.5" thickTop="1">
      <c r="A46" s="37" t="str">
        <f>'Device Energy Use'!A5</f>
        <v>Electric Resistance</v>
      </c>
      <c r="B46" s="33">
        <f>'Water Heater Stock'!B15*'Device Energy Use'!$B5/1000</f>
        <v>193044.84962524771</v>
      </c>
      <c r="C46" s="33">
        <f>'Water Heater Stock'!C15*'Device Energy Use'!$B5/1000</f>
        <v>179255.93179487289</v>
      </c>
      <c r="D46" s="33">
        <f>'Water Heater Stock'!D15*'Device Energy Use'!$B5/1000</f>
        <v>166451.93666666767</v>
      </c>
      <c r="E46" s="33">
        <f>'Water Heater Stock'!E15*'Device Energy Use'!$B5/1000</f>
        <v>154562.51261904853</v>
      </c>
      <c r="F46" s="33">
        <f>'Water Heater Stock'!F15*'Device Energy Use'!$B5/1000</f>
        <v>143522.33314625936</v>
      </c>
      <c r="G46" s="33">
        <f>'Water Heater Stock'!G15*'Device Energy Use'!$B5/1000</f>
        <v>133270.73792152654</v>
      </c>
      <c r="H46" s="33">
        <f>'Water Heater Stock'!H15*'Device Energy Use'!$B5/1000</f>
        <v>123751.39949856035</v>
      </c>
      <c r="I46" s="33">
        <f>'Water Heater Stock'!I15*'Device Energy Use'!$B5/1000</f>
        <v>114912.01382009177</v>
      </c>
      <c r="J46" s="33">
        <f>'Water Heater Stock'!J15*'Device Energy Use'!$B5/1000</f>
        <v>106704.01283294235</v>
      </c>
      <c r="K46" s="33">
        <f>'Water Heater Stock'!K15*'Device Energy Use'!$B5/1000</f>
        <v>99082.297630589324</v>
      </c>
      <c r="L46" s="33">
        <f>'Water Heater Stock'!L15*'Device Energy Use'!$B5/1000</f>
        <v>92004.990656975802</v>
      </c>
      <c r="M46" s="33">
        <f>'Water Heater Stock'!M15*'Device Energy Use'!$B5/1000</f>
        <v>85433.205610048972</v>
      </c>
      <c r="N46" s="33">
        <f>'Water Heater Stock'!N15*'Device Energy Use'!$B5/1000</f>
        <v>79330.833780759756</v>
      </c>
      <c r="O46" s="33">
        <f>'Water Heater Stock'!O15*'Device Energy Use'!$B5/1000</f>
        <v>73664.345653562617</v>
      </c>
      <c r="P46" s="33">
        <f>'Water Heater Stock'!P15*'Device Energy Use'!$B5/1000</f>
        <v>68402.606678308148</v>
      </c>
      <c r="Q46" s="33">
        <f>'Water Heater Stock'!Q15*'Device Energy Use'!$B5/1000</f>
        <v>63516.706201286128</v>
      </c>
      <c r="R46" s="33">
        <f>'Water Heater Stock'!R15*'Device Energy Use'!$B5/1000</f>
        <v>58979.798615479973</v>
      </c>
      <c r="S46" s="33">
        <f>'Water Heater Stock'!S15*'Device Energy Use'!$B5/1000</f>
        <v>54766.955857231405</v>
      </c>
      <c r="T46" s="33">
        <f>'Water Heater Stock'!T15*'Device Energy Use'!$B5/1000</f>
        <v>50855.030438857735</v>
      </c>
      <c r="U46" s="33">
        <f>'Water Heater Stock'!U15*'Device Energy Use'!$B5/1000</f>
        <v>47222.528264653607</v>
      </c>
      <c r="V46" s="33">
        <f>'Water Heater Stock'!V15*'Device Energy Use'!$B5/1000</f>
        <v>43849.490531464064</v>
      </c>
      <c r="W46" s="33">
        <f>'Water Heater Stock'!W15*'Device Energy Use'!$B5/1000</f>
        <v>40717.384064930913</v>
      </c>
    </row>
    <row r="47" spans="1:23">
      <c r="A47" s="37" t="str">
        <f>'Device Energy Use'!A6</f>
        <v>HPWH</v>
      </c>
      <c r="B47" s="33">
        <f>'Water Heater Stock'!B16*'Device Energy Use'!$B6/1000</f>
        <v>0</v>
      </c>
      <c r="C47" s="33">
        <f>'Water Heater Stock'!C16*'Device Energy Use'!$B6/1000</f>
        <v>7520.5004077539916</v>
      </c>
      <c r="D47" s="33">
        <f>'Water Heater Stock'!D16*'Device Energy Use'!$B6/1000</f>
        <v>14503.822214954127</v>
      </c>
      <c r="E47" s="33">
        <f>'Water Heater Stock'!E16*'Device Energy Use'!$B6/1000</f>
        <v>20988.335321639966</v>
      </c>
      <c r="F47" s="33">
        <f>'Water Heater Stock'!F16*'Device Energy Use'!$B6/1000</f>
        <v>27009.668920705393</v>
      </c>
      <c r="G47" s="33">
        <f>'Water Heater Stock'!G16*'Device Energy Use'!$B6/1000</f>
        <v>32600.907262694713</v>
      </c>
      <c r="H47" s="33">
        <f>'Water Heater Stock'!H16*'Device Energy Use'!$B6/1000</f>
        <v>37792.771437399075</v>
      </c>
      <c r="I47" s="33">
        <f>'Water Heater Stock'!I16*'Device Energy Use'!$B6/1000</f>
        <v>42613.788171053136</v>
      </c>
      <c r="J47" s="33">
        <f>'Water Heater Stock'!J16*'Device Energy Use'!$B6/1000</f>
        <v>47090.446566589046</v>
      </c>
      <c r="K47" s="33">
        <f>'Water Heater Stock'!K16*'Device Energy Use'!$B6/1000</f>
        <v>51247.343648158101</v>
      </c>
      <c r="L47" s="33">
        <f>'Water Heater Stock'!L16*'Device Energy Use'!$B6/1000</f>
        <v>55107.319509615088</v>
      </c>
      <c r="M47" s="33">
        <f>'Water Heater Stock'!M16*'Device Energy Use'!$B6/1000</f>
        <v>58691.582809539424</v>
      </c>
      <c r="N47" s="33">
        <f>'Water Heater Stock'!N16*'Device Energy Use'!$B6/1000</f>
        <v>62019.82730232631</v>
      </c>
      <c r="O47" s="33">
        <f>'Water Heater Stock'!O16*'Device Energy Use'!$B6/1000</f>
        <v>65110.340045628422</v>
      </c>
      <c r="P47" s="33">
        <f>'Water Heater Stock'!P16*'Device Energy Use'!$B6/1000</f>
        <v>67980.101878694666</v>
      </c>
      <c r="Q47" s="33">
        <f>'Water Heater Stock'!Q16*'Device Energy Use'!$B6/1000</f>
        <v>70644.880723684764</v>
      </c>
      <c r="R47" s="33">
        <f>'Water Heater Stock'!R16*'Device Energy Use'!$B6/1000</f>
        <v>73119.318222604124</v>
      </c>
      <c r="S47" s="33">
        <f>'Water Heater Stock'!S16*'Device Energy Use'!$B6/1000</f>
        <v>75417.010185886393</v>
      </c>
      <c r="T47" s="33">
        <f>'Water Heater Stock'!T16*'Device Energy Use'!$B6/1000</f>
        <v>77550.581294648495</v>
      </c>
      <c r="U47" s="33">
        <f>'Water Heater Stock'!U16*'Device Energy Use'!$B6/1000</f>
        <v>79531.754467070466</v>
      </c>
      <c r="V47" s="33">
        <f>'Water Heater Stock'!V16*'Device Energy Use'!$B6/1000</f>
        <v>81371.4152700337</v>
      </c>
      <c r="W47" s="33">
        <f>'Water Heater Stock'!W16*'Device Energy Use'!$B6/1000</f>
        <v>83079.671729928144</v>
      </c>
    </row>
    <row r="48" spans="1:23">
      <c r="A48" s="37" t="str">
        <f>'Device Energy Use'!A7</f>
        <v>Gas Tank</v>
      </c>
      <c r="B48" s="33">
        <f>'Water Heater Stock'!B17*'Device Energy Use'!$B7/1000</f>
        <v>0</v>
      </c>
      <c r="C48" s="33">
        <f>'Water Heater Stock'!C17*'Device Energy Use'!$B7/1000</f>
        <v>0</v>
      </c>
      <c r="D48" s="33">
        <f>'Water Heater Stock'!D17*'Device Energy Use'!$B7/1000</f>
        <v>0</v>
      </c>
      <c r="E48" s="33">
        <f>'Water Heater Stock'!E17*'Device Energy Use'!$B7/1000</f>
        <v>0</v>
      </c>
      <c r="F48" s="33">
        <f>'Water Heater Stock'!F17*'Device Energy Use'!$B7/1000</f>
        <v>0</v>
      </c>
      <c r="G48" s="33">
        <f>'Water Heater Stock'!G17*'Device Energy Use'!$B7/1000</f>
        <v>0</v>
      </c>
      <c r="H48" s="33">
        <f>'Water Heater Stock'!H17*'Device Energy Use'!$B7/1000</f>
        <v>0</v>
      </c>
      <c r="I48" s="33">
        <f>'Water Heater Stock'!I17*'Device Energy Use'!$B7/1000</f>
        <v>0</v>
      </c>
      <c r="J48" s="33">
        <f>'Water Heater Stock'!J17*'Device Energy Use'!$B7/1000</f>
        <v>0</v>
      </c>
      <c r="K48" s="33">
        <f>'Water Heater Stock'!K17*'Device Energy Use'!$B7/1000</f>
        <v>0</v>
      </c>
      <c r="L48" s="33">
        <f>'Water Heater Stock'!L17*'Device Energy Use'!$B7/1000</f>
        <v>0</v>
      </c>
      <c r="M48" s="33">
        <f>'Water Heater Stock'!M17*'Device Energy Use'!$B7/1000</f>
        <v>0</v>
      </c>
      <c r="N48" s="33">
        <f>'Water Heater Stock'!N17*'Device Energy Use'!$B7/1000</f>
        <v>0</v>
      </c>
      <c r="O48" s="33">
        <f>'Water Heater Stock'!O17*'Device Energy Use'!$B7/1000</f>
        <v>0</v>
      </c>
      <c r="P48" s="33">
        <f>'Water Heater Stock'!P17*'Device Energy Use'!$B7/1000</f>
        <v>0</v>
      </c>
      <c r="Q48" s="33">
        <f>'Water Heater Stock'!Q17*'Device Energy Use'!$B7/1000</f>
        <v>0</v>
      </c>
      <c r="R48" s="33">
        <f>'Water Heater Stock'!R17*'Device Energy Use'!$B7/1000</f>
        <v>0</v>
      </c>
      <c r="S48" s="33">
        <f>'Water Heater Stock'!S17*'Device Energy Use'!$B7/1000</f>
        <v>0</v>
      </c>
      <c r="T48" s="33">
        <f>'Water Heater Stock'!T17*'Device Energy Use'!$B7/1000</f>
        <v>0</v>
      </c>
      <c r="U48" s="33">
        <f>'Water Heater Stock'!U17*'Device Energy Use'!$B7/1000</f>
        <v>0</v>
      </c>
      <c r="V48" s="33">
        <f>'Water Heater Stock'!V17*'Device Energy Use'!$B7/1000</f>
        <v>0</v>
      </c>
      <c r="W48" s="33">
        <f>'Water Heater Stock'!W17*'Device Energy Use'!$B7/1000</f>
        <v>0</v>
      </c>
    </row>
    <row r="49" spans="1:23">
      <c r="A49" s="37" t="str">
        <f>'Device Energy Use'!A8</f>
        <v>Instant Gas</v>
      </c>
      <c r="B49" s="33">
        <f>'Water Heater Stock'!B18*'Device Energy Use'!$B8/1000</f>
        <v>0</v>
      </c>
      <c r="C49" s="33">
        <f>'Water Heater Stock'!C18*'Device Energy Use'!$B8/1000</f>
        <v>0</v>
      </c>
      <c r="D49" s="33">
        <f>'Water Heater Stock'!D18*'Device Energy Use'!$B8/1000</f>
        <v>0</v>
      </c>
      <c r="E49" s="33">
        <f>'Water Heater Stock'!E18*'Device Energy Use'!$B8/1000</f>
        <v>0</v>
      </c>
      <c r="F49" s="33">
        <f>'Water Heater Stock'!F18*'Device Energy Use'!$B8/1000</f>
        <v>0</v>
      </c>
      <c r="G49" s="33">
        <f>'Water Heater Stock'!G18*'Device Energy Use'!$B8/1000</f>
        <v>0</v>
      </c>
      <c r="H49" s="33">
        <f>'Water Heater Stock'!H18*'Device Energy Use'!$B8/1000</f>
        <v>0</v>
      </c>
      <c r="I49" s="33">
        <f>'Water Heater Stock'!I18*'Device Energy Use'!$B8/1000</f>
        <v>0</v>
      </c>
      <c r="J49" s="33">
        <f>'Water Heater Stock'!J18*'Device Energy Use'!$B8/1000</f>
        <v>0</v>
      </c>
      <c r="K49" s="33">
        <f>'Water Heater Stock'!K18*'Device Energy Use'!$B8/1000</f>
        <v>0</v>
      </c>
      <c r="L49" s="33">
        <f>'Water Heater Stock'!L18*'Device Energy Use'!$B8/1000</f>
        <v>0</v>
      </c>
      <c r="M49" s="33">
        <f>'Water Heater Stock'!M18*'Device Energy Use'!$B8/1000</f>
        <v>0</v>
      </c>
      <c r="N49" s="33">
        <f>'Water Heater Stock'!N18*'Device Energy Use'!$B8/1000</f>
        <v>0</v>
      </c>
      <c r="O49" s="33">
        <f>'Water Heater Stock'!O18*'Device Energy Use'!$B8/1000</f>
        <v>0</v>
      </c>
      <c r="P49" s="33">
        <f>'Water Heater Stock'!P18*'Device Energy Use'!$B8/1000</f>
        <v>0</v>
      </c>
      <c r="Q49" s="33">
        <f>'Water Heater Stock'!Q18*'Device Energy Use'!$B8/1000</f>
        <v>0</v>
      </c>
      <c r="R49" s="33">
        <f>'Water Heater Stock'!R18*'Device Energy Use'!$B8/1000</f>
        <v>0</v>
      </c>
      <c r="S49" s="33">
        <f>'Water Heater Stock'!S18*'Device Energy Use'!$B8/1000</f>
        <v>0</v>
      </c>
      <c r="T49" s="33">
        <f>'Water Heater Stock'!T18*'Device Energy Use'!$B8/1000</f>
        <v>0</v>
      </c>
      <c r="U49" s="33">
        <f>'Water Heater Stock'!U18*'Device Energy Use'!$B8/1000</f>
        <v>0</v>
      </c>
      <c r="V49" s="33">
        <f>'Water Heater Stock'!V18*'Device Energy Use'!$B8/1000</f>
        <v>0</v>
      </c>
      <c r="W49" s="33">
        <f>'Water Heater Stock'!W18*'Device Energy Use'!$B8/1000</f>
        <v>0</v>
      </c>
    </row>
    <row r="50" spans="1:23">
      <c r="A50" s="37" t="str">
        <f>'Device Energy Use'!A9</f>
        <v>Condensing Gas</v>
      </c>
      <c r="B50" s="33">
        <f>'Water Heater Stock'!B19*'Device Energy Use'!$B9/1000</f>
        <v>0</v>
      </c>
      <c r="C50" s="33">
        <f>'Water Heater Stock'!C19*'Device Energy Use'!$B9/1000</f>
        <v>0</v>
      </c>
      <c r="D50" s="33">
        <f>'Water Heater Stock'!D19*'Device Energy Use'!$B9/1000</f>
        <v>0</v>
      </c>
      <c r="E50" s="33">
        <f>'Water Heater Stock'!E19*'Device Energy Use'!$B9/1000</f>
        <v>0</v>
      </c>
      <c r="F50" s="33">
        <f>'Water Heater Stock'!F19*'Device Energy Use'!$B9/1000</f>
        <v>0</v>
      </c>
      <c r="G50" s="33">
        <f>'Water Heater Stock'!G19*'Device Energy Use'!$B9/1000</f>
        <v>0</v>
      </c>
      <c r="H50" s="33">
        <f>'Water Heater Stock'!H19*'Device Energy Use'!$B9/1000</f>
        <v>0</v>
      </c>
      <c r="I50" s="33">
        <f>'Water Heater Stock'!I19*'Device Energy Use'!$B9/1000</f>
        <v>0</v>
      </c>
      <c r="J50" s="33">
        <f>'Water Heater Stock'!J19*'Device Energy Use'!$B9/1000</f>
        <v>0</v>
      </c>
      <c r="K50" s="33">
        <f>'Water Heater Stock'!K19*'Device Energy Use'!$B9/1000</f>
        <v>0</v>
      </c>
      <c r="L50" s="33">
        <f>'Water Heater Stock'!L19*'Device Energy Use'!$B9/1000</f>
        <v>0</v>
      </c>
      <c r="M50" s="33">
        <f>'Water Heater Stock'!M19*'Device Energy Use'!$B9/1000</f>
        <v>0</v>
      </c>
      <c r="N50" s="33">
        <f>'Water Heater Stock'!N19*'Device Energy Use'!$B9/1000</f>
        <v>0</v>
      </c>
      <c r="O50" s="33">
        <f>'Water Heater Stock'!O19*'Device Energy Use'!$B9/1000</f>
        <v>0</v>
      </c>
      <c r="P50" s="33">
        <f>'Water Heater Stock'!P19*'Device Energy Use'!$B9/1000</f>
        <v>0</v>
      </c>
      <c r="Q50" s="33">
        <f>'Water Heater Stock'!Q19*'Device Energy Use'!$B9/1000</f>
        <v>0</v>
      </c>
      <c r="R50" s="33">
        <f>'Water Heater Stock'!R19*'Device Energy Use'!$B9/1000</f>
        <v>0</v>
      </c>
      <c r="S50" s="33">
        <f>'Water Heater Stock'!S19*'Device Energy Use'!$B9/1000</f>
        <v>0</v>
      </c>
      <c r="T50" s="33">
        <f>'Water Heater Stock'!T19*'Device Energy Use'!$B9/1000</f>
        <v>0</v>
      </c>
      <c r="U50" s="33">
        <f>'Water Heater Stock'!U19*'Device Energy Use'!$B9/1000</f>
        <v>0</v>
      </c>
      <c r="V50" s="33">
        <f>'Water Heater Stock'!V19*'Device Energy Use'!$B9/1000</f>
        <v>0</v>
      </c>
      <c r="W50" s="33">
        <f>'Water Heater Stock'!W19*'Device Energy Use'!$B9/1000</f>
        <v>0</v>
      </c>
    </row>
    <row r="51" spans="1:23">
      <c r="A51" s="37"/>
    </row>
    <row r="52" spans="1:23">
      <c r="A52" s="12" t="s">
        <v>46</v>
      </c>
    </row>
    <row r="53" spans="1:23">
      <c r="A53" s="38" t="str">
        <f>'Device Energy Use'!A4</f>
        <v>Water Heat Ending</v>
      </c>
      <c r="B53" s="41">
        <f>'Water Heater Stock'!B4</f>
        <v>2014</v>
      </c>
      <c r="C53" s="41">
        <f>'Water Heater Stock'!C4</f>
        <v>2015</v>
      </c>
      <c r="D53" s="41">
        <f>'Water Heater Stock'!D4</f>
        <v>2016</v>
      </c>
      <c r="E53" s="41">
        <f>'Water Heater Stock'!E4</f>
        <v>2017</v>
      </c>
      <c r="F53" s="41">
        <f>'Water Heater Stock'!F4</f>
        <v>2018</v>
      </c>
      <c r="G53" s="41">
        <f>'Water Heater Stock'!G4</f>
        <v>2019</v>
      </c>
      <c r="H53" s="41">
        <f>'Water Heater Stock'!H4</f>
        <v>2020</v>
      </c>
      <c r="I53" s="41">
        <f>'Water Heater Stock'!I4</f>
        <v>2021</v>
      </c>
      <c r="J53" s="41">
        <f>'Water Heater Stock'!J4</f>
        <v>2022</v>
      </c>
      <c r="K53" s="41">
        <f>'Water Heater Stock'!K4</f>
        <v>2023</v>
      </c>
      <c r="L53" s="41">
        <f>'Water Heater Stock'!L4</f>
        <v>2024</v>
      </c>
      <c r="M53" s="41">
        <f>'Water Heater Stock'!M4</f>
        <v>2025</v>
      </c>
      <c r="N53" s="41">
        <f>'Water Heater Stock'!N4</f>
        <v>2026</v>
      </c>
      <c r="O53" s="41">
        <f>'Water Heater Stock'!O4</f>
        <v>2027</v>
      </c>
      <c r="P53" s="41">
        <f>'Water Heater Stock'!P4</f>
        <v>2028</v>
      </c>
      <c r="Q53" s="41">
        <f>'Water Heater Stock'!Q4</f>
        <v>2029</v>
      </c>
      <c r="R53" s="41">
        <f>'Water Heater Stock'!R4</f>
        <v>2030</v>
      </c>
      <c r="S53" s="41">
        <f>'Water Heater Stock'!S4</f>
        <v>2031</v>
      </c>
      <c r="T53" s="41">
        <f>'Water Heater Stock'!T4</f>
        <v>2032</v>
      </c>
      <c r="U53" s="41">
        <f>'Water Heater Stock'!U4</f>
        <v>2033</v>
      </c>
      <c r="V53" s="41">
        <f>'Water Heater Stock'!V4</f>
        <v>2034</v>
      </c>
      <c r="W53" s="41">
        <f>'Water Heater Stock'!W4</f>
        <v>2035</v>
      </c>
    </row>
    <row r="54" spans="1:23" ht="16.5" thickBot="1">
      <c r="A54" s="48" t="s">
        <v>44</v>
      </c>
      <c r="B54" s="49">
        <f t="shared" ref="B54:W54" si="11">SUM(B55:B59)</f>
        <v>0</v>
      </c>
      <c r="C54" s="49">
        <f t="shared" si="11"/>
        <v>28107.999151068456</v>
      </c>
      <c r="D54" s="49">
        <f t="shared" si="11"/>
        <v>54222.259195151913</v>
      </c>
      <c r="E54" s="49">
        <f t="shared" si="11"/>
        <v>78484.891962942333</v>
      </c>
      <c r="F54" s="49">
        <f t="shared" si="11"/>
        <v>101027.85441646236</v>
      </c>
      <c r="G54" s="49">
        <f t="shared" si="11"/>
        <v>121973.67402937253</v>
      </c>
      <c r="H54" s="49">
        <f t="shared" si="11"/>
        <v>141436.12235543373</v>
      </c>
      <c r="I54" s="49">
        <f t="shared" si="11"/>
        <v>159520.84048595445</v>
      </c>
      <c r="J54" s="49">
        <f t="shared" si="11"/>
        <v>176325.91983270587</v>
      </c>
      <c r="K54" s="49">
        <f t="shared" si="11"/>
        <v>191942.44142732603</v>
      </c>
      <c r="L54" s="49">
        <f t="shared" si="11"/>
        <v>206454.97670030274</v>
      </c>
      <c r="M54" s="49">
        <f t="shared" si="11"/>
        <v>219942.05249097617</v>
      </c>
      <c r="N54" s="49">
        <f t="shared" si="11"/>
        <v>232476.5828434705</v>
      </c>
      <c r="O54" s="49">
        <f t="shared" si="11"/>
        <v>244126.26996096963</v>
      </c>
      <c r="P54" s="49">
        <f t="shared" si="11"/>
        <v>254953.9765212948</v>
      </c>
      <c r="Q54" s="49">
        <f t="shared" si="11"/>
        <v>265018.07139938703</v>
      </c>
      <c r="R54" s="49">
        <f t="shared" si="11"/>
        <v>274372.75069618213</v>
      </c>
      <c r="S54" s="49">
        <f t="shared" si="11"/>
        <v>283068.33583769127</v>
      </c>
      <c r="T54" s="49">
        <f t="shared" si="11"/>
        <v>291151.55038210878</v>
      </c>
      <c r="U54" s="49">
        <f t="shared" si="11"/>
        <v>298665.77705578634</v>
      </c>
      <c r="V54" s="49">
        <f t="shared" si="11"/>
        <v>305651.29643027839</v>
      </c>
      <c r="W54" s="49">
        <f t="shared" si="11"/>
        <v>312145.50855179346</v>
      </c>
    </row>
    <row r="55" spans="1:23" ht="16.5" thickTop="1">
      <c r="A55" s="37" t="str">
        <f>'Device Energy Use'!A5</f>
        <v>Electric Resistance</v>
      </c>
      <c r="B55" s="33">
        <f>'Water Heater Stock'!B6*'Device Energy Use'!$C5</f>
        <v>0</v>
      </c>
      <c r="C55" s="33">
        <f>'Water Heater Stock'!C6*'Device Energy Use'!$C5</f>
        <v>0</v>
      </c>
      <c r="D55" s="33">
        <f>'Water Heater Stock'!D6*'Device Energy Use'!$C5</f>
        <v>0</v>
      </c>
      <c r="E55" s="33">
        <f>'Water Heater Stock'!E6*'Device Energy Use'!$C5</f>
        <v>0</v>
      </c>
      <c r="F55" s="33">
        <f>'Water Heater Stock'!F6*'Device Energy Use'!$C5</f>
        <v>0</v>
      </c>
      <c r="G55" s="33">
        <f>'Water Heater Stock'!G6*'Device Energy Use'!$C5</f>
        <v>0</v>
      </c>
      <c r="H55" s="33">
        <f>'Water Heater Stock'!H6*'Device Energy Use'!$C5</f>
        <v>0</v>
      </c>
      <c r="I55" s="33">
        <f>'Water Heater Stock'!I6*'Device Energy Use'!$C5</f>
        <v>0</v>
      </c>
      <c r="J55" s="33">
        <f>'Water Heater Stock'!J6*'Device Energy Use'!$C5</f>
        <v>0</v>
      </c>
      <c r="K55" s="33">
        <f>'Water Heater Stock'!K6*'Device Energy Use'!$C5</f>
        <v>0</v>
      </c>
      <c r="L55" s="33">
        <f>'Water Heater Stock'!L6*'Device Energy Use'!$C5</f>
        <v>0</v>
      </c>
      <c r="M55" s="33">
        <f>'Water Heater Stock'!M6*'Device Energy Use'!$C5</f>
        <v>0</v>
      </c>
      <c r="N55" s="33">
        <f>'Water Heater Stock'!N6*'Device Energy Use'!$C5</f>
        <v>0</v>
      </c>
      <c r="O55" s="33">
        <f>'Water Heater Stock'!O6*'Device Energy Use'!$C5</f>
        <v>0</v>
      </c>
      <c r="P55" s="33">
        <f>'Water Heater Stock'!P6*'Device Energy Use'!$C5</f>
        <v>0</v>
      </c>
      <c r="Q55" s="33">
        <f>'Water Heater Stock'!Q6*'Device Energy Use'!$C5</f>
        <v>0</v>
      </c>
      <c r="R55" s="33">
        <f>'Water Heater Stock'!R6*'Device Energy Use'!$C5</f>
        <v>0</v>
      </c>
      <c r="S55" s="33">
        <f>'Water Heater Stock'!S6*'Device Energy Use'!$C5</f>
        <v>0</v>
      </c>
      <c r="T55" s="33">
        <f>'Water Heater Stock'!T6*'Device Energy Use'!$C5</f>
        <v>0</v>
      </c>
      <c r="U55" s="33">
        <f>'Water Heater Stock'!U6*'Device Energy Use'!$C5</f>
        <v>0</v>
      </c>
      <c r="V55" s="33">
        <f>'Water Heater Stock'!V6*'Device Energy Use'!$C5</f>
        <v>0</v>
      </c>
      <c r="W55" s="33">
        <f>'Water Heater Stock'!W6*'Device Energy Use'!$C5</f>
        <v>0</v>
      </c>
    </row>
    <row r="56" spans="1:23">
      <c r="A56" s="37" t="str">
        <f>'Device Energy Use'!A6</f>
        <v>HPWH</v>
      </c>
      <c r="B56" s="33">
        <f>'Water Heater Stock'!B7*'Device Energy Use'!$C6</f>
        <v>0</v>
      </c>
      <c r="C56" s="33">
        <f>'Water Heater Stock'!C7*'Device Energy Use'!$C6</f>
        <v>0</v>
      </c>
      <c r="D56" s="33">
        <f>'Water Heater Stock'!D7*'Device Energy Use'!$C6</f>
        <v>0</v>
      </c>
      <c r="E56" s="33">
        <f>'Water Heater Stock'!E7*'Device Energy Use'!$C6</f>
        <v>0</v>
      </c>
      <c r="F56" s="33">
        <f>'Water Heater Stock'!F7*'Device Energy Use'!$C6</f>
        <v>0</v>
      </c>
      <c r="G56" s="33">
        <f>'Water Heater Stock'!G7*'Device Energy Use'!$C6</f>
        <v>0</v>
      </c>
      <c r="H56" s="33">
        <f>'Water Heater Stock'!H7*'Device Energy Use'!$C6</f>
        <v>0</v>
      </c>
      <c r="I56" s="33">
        <f>'Water Heater Stock'!I7*'Device Energy Use'!$C6</f>
        <v>0</v>
      </c>
      <c r="J56" s="33">
        <f>'Water Heater Stock'!J7*'Device Energy Use'!$C6</f>
        <v>0</v>
      </c>
      <c r="K56" s="33">
        <f>'Water Heater Stock'!K7*'Device Energy Use'!$C6</f>
        <v>0</v>
      </c>
      <c r="L56" s="33">
        <f>'Water Heater Stock'!L7*'Device Energy Use'!$C6</f>
        <v>0</v>
      </c>
      <c r="M56" s="33">
        <f>'Water Heater Stock'!M7*'Device Energy Use'!$C6</f>
        <v>0</v>
      </c>
      <c r="N56" s="33">
        <f>'Water Heater Stock'!N7*'Device Energy Use'!$C6</f>
        <v>0</v>
      </c>
      <c r="O56" s="33">
        <f>'Water Heater Stock'!O7*'Device Energy Use'!$C6</f>
        <v>0</v>
      </c>
      <c r="P56" s="33">
        <f>'Water Heater Stock'!P7*'Device Energy Use'!$C6</f>
        <v>0</v>
      </c>
      <c r="Q56" s="33">
        <f>'Water Heater Stock'!Q7*'Device Energy Use'!$C6</f>
        <v>0</v>
      </c>
      <c r="R56" s="33">
        <f>'Water Heater Stock'!R7*'Device Energy Use'!$C6</f>
        <v>0</v>
      </c>
      <c r="S56" s="33">
        <f>'Water Heater Stock'!S7*'Device Energy Use'!$C6</f>
        <v>0</v>
      </c>
      <c r="T56" s="33">
        <f>'Water Heater Stock'!T7*'Device Energy Use'!$C6</f>
        <v>0</v>
      </c>
      <c r="U56" s="33">
        <f>'Water Heater Stock'!U7*'Device Energy Use'!$C6</f>
        <v>0</v>
      </c>
      <c r="V56" s="33">
        <f>'Water Heater Stock'!V7*'Device Energy Use'!$C6</f>
        <v>0</v>
      </c>
      <c r="W56" s="33">
        <f>'Water Heater Stock'!W7*'Device Energy Use'!$C6</f>
        <v>0</v>
      </c>
    </row>
    <row r="57" spans="1:23">
      <c r="A57" s="37" t="str">
        <f>'Device Energy Use'!A7</f>
        <v>Gas Tank</v>
      </c>
      <c r="B57" s="33">
        <f>'Water Heater Stock'!B8*'Device Energy Use'!$C7</f>
        <v>0</v>
      </c>
      <c r="C57" s="33">
        <f>'Water Heater Stock'!C8*'Device Energy Use'!$C7</f>
        <v>2.3711181578794891</v>
      </c>
      <c r="D57" s="33">
        <f>'Water Heater Stock'!D8*'Device Energy Use'!$C7</f>
        <v>4.5492767652293828</v>
      </c>
      <c r="E57" s="33">
        <f>'Water Heater Stock'!E8*'Device Energy Use'!$C7</f>
        <v>6.5484857163973649</v>
      </c>
      <c r="F57" s="33">
        <f>'Water Heater Stock'!F8*'Device Energy Use'!$C7</f>
        <v>8.3817539356943449</v>
      </c>
      <c r="G57" s="33">
        <f>'Water Heater Stock'!G8*'Device Energy Use'!$C7</f>
        <v>10.061160814153912</v>
      </c>
      <c r="H57" s="33">
        <f>'Water Heater Stock'!H8*'Device Energy Use'!$C7</f>
        <v>11.597922545021275</v>
      </c>
      <c r="I57" s="33">
        <f>'Water Heater Stock'!I8*'Device Energy Use'!$C7</f>
        <v>13.002453722362867</v>
      </c>
      <c r="J57" s="33">
        <f>'Water Heater Stock'!J8*'Device Energy Use'!$C7</f>
        <v>14.284424541158014</v>
      </c>
      <c r="K57" s="33">
        <f>'Water Heater Stock'!K8*'Device Energy Use'!$C7</f>
        <v>15.452813913063597</v>
      </c>
      <c r="L57" s="33">
        <f>'Water Heater Stock'!L8*'Device Energy Use'!$C7</f>
        <v>16.515958789598702</v>
      </c>
      <c r="M57" s="33">
        <f>'Water Heater Stock'!M8*'Device Energy Use'!$C7</f>
        <v>17.481599963655423</v>
      </c>
      <c r="N57" s="33">
        <f>'Water Heater Stock'!N8*'Device Energy Use'!$C7</f>
        <v>18.35692460088989</v>
      </c>
      <c r="O57" s="33">
        <f>'Water Heater Stock'!O8*'Device Energy Use'!$C7</f>
        <v>19.148605734577778</v>
      </c>
      <c r="P57" s="33">
        <f>'Water Heater Stock'!P8*'Device Energy Use'!$C7</f>
        <v>19.862838940832361</v>
      </c>
      <c r="Q57" s="33">
        <f>'Water Heater Stock'!Q8*'Device Energy Use'!$C7</f>
        <v>20.505376395588968</v>
      </c>
      <c r="R57" s="33">
        <f>'Water Heater Stock'!R8*'Device Energy Use'!$C7</f>
        <v>21.081558500372036</v>
      </c>
      <c r="S57" s="33">
        <f>'Water Heater Stock'!S8*'Device Energy Use'!$C7</f>
        <v>21.596343250501445</v>
      </c>
      <c r="T57" s="33">
        <f>'Water Heater Stock'!T8*'Device Energy Use'!$C7</f>
        <v>22.054333506989078</v>
      </c>
      <c r="U57" s="33">
        <f>'Water Heater Stock'!U8*'Device Energy Use'!$C7</f>
        <v>22.459802321857421</v>
      </c>
      <c r="V57" s="33">
        <f>'Water Heater Stock'!V8*'Device Energy Use'!$C7</f>
        <v>22.816716455915579</v>
      </c>
      <c r="W57" s="33">
        <f>'Water Heater Stock'!W8*'Device Energy Use'!$C7</f>
        <v>23.128758218095591</v>
      </c>
    </row>
    <row r="58" spans="1:23">
      <c r="A58" s="37" t="str">
        <f>'Device Energy Use'!A8</f>
        <v>Instant Gas</v>
      </c>
      <c r="B58" s="33">
        <f>'Water Heater Stock'!B9*'Device Energy Use'!$C8</f>
        <v>0</v>
      </c>
      <c r="C58" s="33">
        <f>'Water Heater Stock'!C9*'Device Energy Use'!$C8</f>
        <v>8377.3332502306876</v>
      </c>
      <c r="D58" s="33">
        <f>'Water Heater Stock'!D9*'Device Energy Use'!$C8</f>
        <v>16189.010371216264</v>
      </c>
      <c r="E58" s="33">
        <f>'Water Heater Stock'!E9*'Device Energy Use'!$C8</f>
        <v>23475.545297998684</v>
      </c>
      <c r="F58" s="33">
        <f>'Water Heater Stock'!F9*'Device Energy Use'!$C8</f>
        <v>30274.554284693113</v>
      </c>
      <c r="G58" s="33">
        <f>'Water Heater Stock'!G9*'Device Energy Use'!$C8</f>
        <v>36620.962794140614</v>
      </c>
      <c r="H58" s="33">
        <f>'Water Heater Stock'!H9*'Device Energy Use'!$C8</f>
        <v>42547.19761016938</v>
      </c>
      <c r="I58" s="33">
        <f>'Water Heater Stock'!I9*'Device Energy Use'!$C8</f>
        <v>48083.365228064795</v>
      </c>
      <c r="J58" s="33">
        <f>'Water Heater Stock'!J9*'Device Energy Use'!$C8</f>
        <v>53257.417503449629</v>
      </c>
      <c r="K58" s="33">
        <f>'Water Heater Stock'!K9*'Device Energy Use'!$C8</f>
        <v>58095.305469762177</v>
      </c>
      <c r="L58" s="33">
        <f>'Water Heater Stock'!L9*'Device Energy Use'!$C8</f>
        <v>62621.122169507478</v>
      </c>
      <c r="M58" s="33">
        <f>'Water Heater Stock'!M9*'Device Energy Use'!$C8</f>
        <v>66857.235284087903</v>
      </c>
      <c r="N58" s="33">
        <f>'Water Heater Stock'!N9*'Device Energy Use'!$C8</f>
        <v>70824.410290962303</v>
      </c>
      <c r="O58" s="33">
        <f>'Water Heater Stock'!O9*'Device Energy Use'!$C8</f>
        <v>74541.924824830159</v>
      </c>
      <c r="P58" s="33">
        <f>'Water Heater Stock'!P9*'Device Energy Use'!$C8</f>
        <v>78027.674871201831</v>
      </c>
      <c r="Q58" s="33">
        <f>'Water Heater Stock'!Q9*'Device Energy Use'!$C8</f>
        <v>81298.273375833713</v>
      </c>
      <c r="R58" s="33">
        <f>'Water Heater Stock'!R9*'Device Energy Use'!$C8</f>
        <v>84369.141811829933</v>
      </c>
      <c r="S58" s="33">
        <f>'Water Heater Stock'!S9*'Device Energy Use'!$C8</f>
        <v>87254.595207512597</v>
      </c>
      <c r="T58" s="33">
        <f>'Water Heater Stock'!T9*'Device Energy Use'!$C8</f>
        <v>89967.921102226523</v>
      </c>
      <c r="U58" s="33">
        <f>'Water Heater Stock'!U9*'Device Energy Use'!$C8</f>
        <v>92521.45286387518</v>
      </c>
      <c r="V58" s="33">
        <f>'Water Heater Stock'!V9*'Device Energy Use'!$C8</f>
        <v>94926.637770999208</v>
      </c>
      <c r="W58" s="33">
        <f>'Water Heater Stock'!W9*'Device Energy Use'!$C8</f>
        <v>97194.100233436096</v>
      </c>
    </row>
    <row r="59" spans="1:23">
      <c r="A59" s="37" t="str">
        <f>'Device Energy Use'!A9</f>
        <v>Condensing Gas</v>
      </c>
      <c r="B59" s="33">
        <f>'Water Heater Stock'!B10*'Device Energy Use'!$C9</f>
        <v>0</v>
      </c>
      <c r="C59" s="33">
        <f>'Water Heater Stock'!C10*'Device Energy Use'!$C9</f>
        <v>19728.294782679888</v>
      </c>
      <c r="D59" s="33">
        <f>'Water Heater Stock'!D10*'Device Energy Use'!$C9</f>
        <v>38028.699547170421</v>
      </c>
      <c r="E59" s="33">
        <f>'Water Heater Stock'!E10*'Device Energy Use'!$C9</f>
        <v>55002.798179227255</v>
      </c>
      <c r="F59" s="33">
        <f>'Water Heater Stock'!F10*'Device Energy Use'!$C9</f>
        <v>70744.918377833557</v>
      </c>
      <c r="G59" s="33">
        <f>'Water Heater Stock'!G10*'Device Energy Use'!$C9</f>
        <v>85342.650074417761</v>
      </c>
      <c r="H59" s="33">
        <f>'Water Heater Stock'!H10*'Device Energy Use'!$C9</f>
        <v>98877.326822719333</v>
      </c>
      <c r="I59" s="33">
        <f>'Water Heater Stock'!I10*'Device Energy Use'!$C9</f>
        <v>111424.47280416729</v>
      </c>
      <c r="J59" s="33">
        <f>'Water Heater Stock'!J10*'Device Energy Use'!$C9</f>
        <v>123054.21790471509</v>
      </c>
      <c r="K59" s="33">
        <f>'Water Heater Stock'!K10*'Device Energy Use'!$C9</f>
        <v>133831.68314365079</v>
      </c>
      <c r="L59" s="33">
        <f>'Water Heater Stock'!L10*'Device Energy Use'!$C9</f>
        <v>143817.33857200565</v>
      </c>
      <c r="M59" s="33">
        <f>'Water Heater Stock'!M10*'Device Energy Use'!$C9</f>
        <v>153067.33560692464</v>
      </c>
      <c r="N59" s="33">
        <f>'Water Heater Stock'!N10*'Device Energy Use'!$C9</f>
        <v>161633.81562790732</v>
      </c>
      <c r="O59" s="33">
        <f>'Water Heater Stock'!O10*'Device Energy Use'!$C9</f>
        <v>169565.19653040491</v>
      </c>
      <c r="P59" s="33">
        <f>'Water Heater Stock'!P10*'Device Energy Use'!$C9</f>
        <v>176906.43881115215</v>
      </c>
      <c r="Q59" s="33">
        <f>'Water Heater Stock'!Q10*'Device Energy Use'!$C9</f>
        <v>183699.29264715771</v>
      </c>
      <c r="R59" s="33">
        <f>'Water Heater Stock'!R10*'Device Energy Use'!$C9</f>
        <v>189982.52732585181</v>
      </c>
      <c r="S59" s="33">
        <f>'Water Heater Stock'!S10*'Device Energy Use'!$C9</f>
        <v>195792.14428692815</v>
      </c>
      <c r="T59" s="33">
        <f>'Water Heater Stock'!T10*'Device Energy Use'!$C9</f>
        <v>201161.57494637527</v>
      </c>
      <c r="U59" s="33">
        <f>'Water Heater Stock'!U10*'Device Energy Use'!$C9</f>
        <v>206121.86438958929</v>
      </c>
      <c r="V59" s="33">
        <f>'Water Heater Stock'!V10*'Device Energy Use'!$C9</f>
        <v>210701.84194282326</v>
      </c>
      <c r="W59" s="33">
        <f>'Water Heater Stock'!W10*'Device Energy Use'!$C9</f>
        <v>214928.27956013926</v>
      </c>
    </row>
    <row r="61" spans="1:23">
      <c r="A61" s="12" t="s">
        <v>99</v>
      </c>
    </row>
    <row r="62" spans="1:23">
      <c r="A62" s="38" t="str">
        <f>'Device Energy Use'!A4</f>
        <v>Water Heat Ending</v>
      </c>
      <c r="B62" s="41">
        <f>'Water Heater Stock'!B13</f>
        <v>2014</v>
      </c>
      <c r="C62" s="41">
        <f>'Water Heater Stock'!C13</f>
        <v>2015</v>
      </c>
      <c r="D62" s="41">
        <f>'Water Heater Stock'!D13</f>
        <v>2016</v>
      </c>
      <c r="E62" s="41">
        <f>'Water Heater Stock'!E13</f>
        <v>2017</v>
      </c>
      <c r="F62" s="41">
        <f>'Water Heater Stock'!F13</f>
        <v>2018</v>
      </c>
      <c r="G62" s="41">
        <f>'Water Heater Stock'!G13</f>
        <v>2019</v>
      </c>
      <c r="H62" s="41">
        <f>'Water Heater Stock'!H13</f>
        <v>2020</v>
      </c>
      <c r="I62" s="41">
        <f>'Water Heater Stock'!I13</f>
        <v>2021</v>
      </c>
      <c r="J62" s="41">
        <f>'Water Heater Stock'!J13</f>
        <v>2022</v>
      </c>
      <c r="K62" s="41">
        <f>'Water Heater Stock'!K13</f>
        <v>2023</v>
      </c>
      <c r="L62" s="41">
        <f>'Water Heater Stock'!L13</f>
        <v>2024</v>
      </c>
      <c r="M62" s="41">
        <f>'Water Heater Stock'!M13</f>
        <v>2025</v>
      </c>
      <c r="N62" s="41">
        <f>'Water Heater Stock'!N13</f>
        <v>2026</v>
      </c>
      <c r="O62" s="41">
        <f>'Water Heater Stock'!O13</f>
        <v>2027</v>
      </c>
      <c r="P62" s="41">
        <f>'Water Heater Stock'!P13</f>
        <v>2028</v>
      </c>
      <c r="Q62" s="41">
        <f>'Water Heater Stock'!Q13</f>
        <v>2029</v>
      </c>
      <c r="R62" s="41">
        <f>'Water Heater Stock'!R13</f>
        <v>2030</v>
      </c>
      <c r="S62" s="41">
        <f>'Water Heater Stock'!S13</f>
        <v>2031</v>
      </c>
      <c r="T62" s="41">
        <f>'Water Heater Stock'!T13</f>
        <v>2032</v>
      </c>
      <c r="U62" s="41">
        <f>'Water Heater Stock'!U13</f>
        <v>2033</v>
      </c>
      <c r="V62" s="41">
        <f>'Water Heater Stock'!V13</f>
        <v>2034</v>
      </c>
      <c r="W62" s="41">
        <f>'Water Heater Stock'!W13</f>
        <v>2035</v>
      </c>
    </row>
    <row r="63" spans="1:23" ht="16.5" thickBot="1">
      <c r="A63" s="48" t="s">
        <v>44</v>
      </c>
      <c r="B63" s="49">
        <f t="shared" ref="B63:W63" si="12">SUM(B64:B68)</f>
        <v>0</v>
      </c>
      <c r="C63" s="49">
        <f t="shared" si="12"/>
        <v>0</v>
      </c>
      <c r="D63" s="49">
        <f t="shared" si="12"/>
        <v>0</v>
      </c>
      <c r="E63" s="49">
        <f t="shared" si="12"/>
        <v>0</v>
      </c>
      <c r="F63" s="49">
        <f t="shared" si="12"/>
        <v>0</v>
      </c>
      <c r="G63" s="49">
        <f t="shared" si="12"/>
        <v>0</v>
      </c>
      <c r="H63" s="49">
        <f t="shared" si="12"/>
        <v>0</v>
      </c>
      <c r="I63" s="49">
        <f t="shared" si="12"/>
        <v>0</v>
      </c>
      <c r="J63" s="49">
        <f t="shared" si="12"/>
        <v>0</v>
      </c>
      <c r="K63" s="49">
        <f t="shared" si="12"/>
        <v>0</v>
      </c>
      <c r="L63" s="49">
        <f t="shared" si="12"/>
        <v>0</v>
      </c>
      <c r="M63" s="49">
        <f t="shared" si="12"/>
        <v>0</v>
      </c>
      <c r="N63" s="49">
        <f t="shared" si="12"/>
        <v>0</v>
      </c>
      <c r="O63" s="49">
        <f t="shared" si="12"/>
        <v>0</v>
      </c>
      <c r="P63" s="49">
        <f t="shared" si="12"/>
        <v>0</v>
      </c>
      <c r="Q63" s="49">
        <f t="shared" si="12"/>
        <v>0</v>
      </c>
      <c r="R63" s="49">
        <f t="shared" si="12"/>
        <v>0</v>
      </c>
      <c r="S63" s="49">
        <f t="shared" si="12"/>
        <v>0</v>
      </c>
      <c r="T63" s="49">
        <f t="shared" si="12"/>
        <v>0</v>
      </c>
      <c r="U63" s="49">
        <f t="shared" si="12"/>
        <v>0</v>
      </c>
      <c r="V63" s="49">
        <f t="shared" si="12"/>
        <v>0</v>
      </c>
      <c r="W63" s="49">
        <f t="shared" si="12"/>
        <v>0</v>
      </c>
    </row>
    <row r="64" spans="1:23" ht="16.5" thickTop="1">
      <c r="A64" s="37" t="str">
        <f>'Device Energy Use'!A5</f>
        <v>Electric Resistance</v>
      </c>
      <c r="B64" s="33">
        <f>'Water Heater Stock'!B15*'Device Energy Use'!$C5</f>
        <v>0</v>
      </c>
      <c r="C64" s="33">
        <f>'Water Heater Stock'!C15*'Device Energy Use'!$C5</f>
        <v>0</v>
      </c>
      <c r="D64" s="33">
        <f>'Water Heater Stock'!D15*'Device Energy Use'!$C5</f>
        <v>0</v>
      </c>
      <c r="E64" s="33">
        <f>'Water Heater Stock'!E15*'Device Energy Use'!$C5</f>
        <v>0</v>
      </c>
      <c r="F64" s="33">
        <f>'Water Heater Stock'!F15*'Device Energy Use'!$C5</f>
        <v>0</v>
      </c>
      <c r="G64" s="33">
        <f>'Water Heater Stock'!G15*'Device Energy Use'!$C5</f>
        <v>0</v>
      </c>
      <c r="H64" s="33">
        <f>'Water Heater Stock'!H15*'Device Energy Use'!$C5</f>
        <v>0</v>
      </c>
      <c r="I64" s="33">
        <f>'Water Heater Stock'!I15*'Device Energy Use'!$C5</f>
        <v>0</v>
      </c>
      <c r="J64" s="33">
        <f>'Water Heater Stock'!J15*'Device Energy Use'!$C5</f>
        <v>0</v>
      </c>
      <c r="K64" s="33">
        <f>'Water Heater Stock'!K15*'Device Energy Use'!$C5</f>
        <v>0</v>
      </c>
      <c r="L64" s="33">
        <f>'Water Heater Stock'!L15*'Device Energy Use'!$C5</f>
        <v>0</v>
      </c>
      <c r="M64" s="33">
        <f>'Water Heater Stock'!M15*'Device Energy Use'!$C5</f>
        <v>0</v>
      </c>
      <c r="N64" s="33">
        <f>'Water Heater Stock'!N15*'Device Energy Use'!$C5</f>
        <v>0</v>
      </c>
      <c r="O64" s="33">
        <f>'Water Heater Stock'!O15*'Device Energy Use'!$C5</f>
        <v>0</v>
      </c>
      <c r="P64" s="33">
        <f>'Water Heater Stock'!P15*'Device Energy Use'!$C5</f>
        <v>0</v>
      </c>
      <c r="Q64" s="33">
        <f>'Water Heater Stock'!Q15*'Device Energy Use'!$C5</f>
        <v>0</v>
      </c>
      <c r="R64" s="33">
        <f>'Water Heater Stock'!R15*'Device Energy Use'!$C5</f>
        <v>0</v>
      </c>
      <c r="S64" s="33">
        <f>'Water Heater Stock'!S15*'Device Energy Use'!$C5</f>
        <v>0</v>
      </c>
      <c r="T64" s="33">
        <f>'Water Heater Stock'!T15*'Device Energy Use'!$C5</f>
        <v>0</v>
      </c>
      <c r="U64" s="33">
        <f>'Water Heater Stock'!U15*'Device Energy Use'!$C5</f>
        <v>0</v>
      </c>
      <c r="V64" s="33">
        <f>'Water Heater Stock'!V15*'Device Energy Use'!$C5</f>
        <v>0</v>
      </c>
      <c r="W64" s="33">
        <f>'Water Heater Stock'!W15*'Device Energy Use'!$C5</f>
        <v>0</v>
      </c>
    </row>
    <row r="65" spans="1:23">
      <c r="A65" s="37" t="str">
        <f>'Device Energy Use'!A6</f>
        <v>HPWH</v>
      </c>
      <c r="B65" s="33">
        <f>'Water Heater Stock'!B16*'Device Energy Use'!$C6</f>
        <v>0</v>
      </c>
      <c r="C65" s="33">
        <f>'Water Heater Stock'!C16*'Device Energy Use'!$C6</f>
        <v>0</v>
      </c>
      <c r="D65" s="33">
        <f>'Water Heater Stock'!D16*'Device Energy Use'!$C6</f>
        <v>0</v>
      </c>
      <c r="E65" s="33">
        <f>'Water Heater Stock'!E16*'Device Energy Use'!$C6</f>
        <v>0</v>
      </c>
      <c r="F65" s="33">
        <f>'Water Heater Stock'!F16*'Device Energy Use'!$C6</f>
        <v>0</v>
      </c>
      <c r="G65" s="33">
        <f>'Water Heater Stock'!G16*'Device Energy Use'!$C6</f>
        <v>0</v>
      </c>
      <c r="H65" s="33">
        <f>'Water Heater Stock'!H16*'Device Energy Use'!$C6</f>
        <v>0</v>
      </c>
      <c r="I65" s="33">
        <f>'Water Heater Stock'!I16*'Device Energy Use'!$C6</f>
        <v>0</v>
      </c>
      <c r="J65" s="33">
        <f>'Water Heater Stock'!J16*'Device Energy Use'!$C6</f>
        <v>0</v>
      </c>
      <c r="K65" s="33">
        <f>'Water Heater Stock'!K16*'Device Energy Use'!$C6</f>
        <v>0</v>
      </c>
      <c r="L65" s="33">
        <f>'Water Heater Stock'!L16*'Device Energy Use'!$C6</f>
        <v>0</v>
      </c>
      <c r="M65" s="33">
        <f>'Water Heater Stock'!M16*'Device Energy Use'!$C6</f>
        <v>0</v>
      </c>
      <c r="N65" s="33">
        <f>'Water Heater Stock'!N16*'Device Energy Use'!$C6</f>
        <v>0</v>
      </c>
      <c r="O65" s="33">
        <f>'Water Heater Stock'!O16*'Device Energy Use'!$C6</f>
        <v>0</v>
      </c>
      <c r="P65" s="33">
        <f>'Water Heater Stock'!P16*'Device Energy Use'!$C6</f>
        <v>0</v>
      </c>
      <c r="Q65" s="33">
        <f>'Water Heater Stock'!Q16*'Device Energy Use'!$C6</f>
        <v>0</v>
      </c>
      <c r="R65" s="33">
        <f>'Water Heater Stock'!R16*'Device Energy Use'!$C6</f>
        <v>0</v>
      </c>
      <c r="S65" s="33">
        <f>'Water Heater Stock'!S16*'Device Energy Use'!$C6</f>
        <v>0</v>
      </c>
      <c r="T65" s="33">
        <f>'Water Heater Stock'!T16*'Device Energy Use'!$C6</f>
        <v>0</v>
      </c>
      <c r="U65" s="33">
        <f>'Water Heater Stock'!U16*'Device Energy Use'!$C6</f>
        <v>0</v>
      </c>
      <c r="V65" s="33">
        <f>'Water Heater Stock'!V16*'Device Energy Use'!$C6</f>
        <v>0</v>
      </c>
      <c r="W65" s="33">
        <f>'Water Heater Stock'!W16*'Device Energy Use'!$C6</f>
        <v>0</v>
      </c>
    </row>
    <row r="66" spans="1:23">
      <c r="A66" s="37" t="str">
        <f>'Device Energy Use'!A7</f>
        <v>Gas Tank</v>
      </c>
      <c r="B66" s="33">
        <f>'Water Heater Stock'!B17*'Device Energy Use'!$C7</f>
        <v>0</v>
      </c>
      <c r="C66" s="33">
        <f>'Water Heater Stock'!C17*'Device Energy Use'!$C7</f>
        <v>0</v>
      </c>
      <c r="D66" s="33">
        <f>'Water Heater Stock'!D17*'Device Energy Use'!$C7</f>
        <v>0</v>
      </c>
      <c r="E66" s="33">
        <f>'Water Heater Stock'!E17*'Device Energy Use'!$C7</f>
        <v>0</v>
      </c>
      <c r="F66" s="33">
        <f>'Water Heater Stock'!F17*'Device Energy Use'!$C7</f>
        <v>0</v>
      </c>
      <c r="G66" s="33">
        <f>'Water Heater Stock'!G17*'Device Energy Use'!$C7</f>
        <v>0</v>
      </c>
      <c r="H66" s="33">
        <f>'Water Heater Stock'!H17*'Device Energy Use'!$C7</f>
        <v>0</v>
      </c>
      <c r="I66" s="33">
        <f>'Water Heater Stock'!I17*'Device Energy Use'!$C7</f>
        <v>0</v>
      </c>
      <c r="J66" s="33">
        <f>'Water Heater Stock'!J17*'Device Energy Use'!$C7</f>
        <v>0</v>
      </c>
      <c r="K66" s="33">
        <f>'Water Heater Stock'!K17*'Device Energy Use'!$C7</f>
        <v>0</v>
      </c>
      <c r="L66" s="33">
        <f>'Water Heater Stock'!L17*'Device Energy Use'!$C7</f>
        <v>0</v>
      </c>
      <c r="M66" s="33">
        <f>'Water Heater Stock'!M17*'Device Energy Use'!$C7</f>
        <v>0</v>
      </c>
      <c r="N66" s="33">
        <f>'Water Heater Stock'!N17*'Device Energy Use'!$C7</f>
        <v>0</v>
      </c>
      <c r="O66" s="33">
        <f>'Water Heater Stock'!O17*'Device Energy Use'!$C7</f>
        <v>0</v>
      </c>
      <c r="P66" s="33">
        <f>'Water Heater Stock'!P17*'Device Energy Use'!$C7</f>
        <v>0</v>
      </c>
      <c r="Q66" s="33">
        <f>'Water Heater Stock'!Q17*'Device Energy Use'!$C7</f>
        <v>0</v>
      </c>
      <c r="R66" s="33">
        <f>'Water Heater Stock'!R17*'Device Energy Use'!$C7</f>
        <v>0</v>
      </c>
      <c r="S66" s="33">
        <f>'Water Heater Stock'!S17*'Device Energy Use'!$C7</f>
        <v>0</v>
      </c>
      <c r="T66" s="33">
        <f>'Water Heater Stock'!T17*'Device Energy Use'!$C7</f>
        <v>0</v>
      </c>
      <c r="U66" s="33">
        <f>'Water Heater Stock'!U17*'Device Energy Use'!$C7</f>
        <v>0</v>
      </c>
      <c r="V66" s="33">
        <f>'Water Heater Stock'!V17*'Device Energy Use'!$C7</f>
        <v>0</v>
      </c>
      <c r="W66" s="33">
        <f>'Water Heater Stock'!W17*'Device Energy Use'!$C7</f>
        <v>0</v>
      </c>
    </row>
    <row r="67" spans="1:23">
      <c r="A67" s="37" t="str">
        <f>'Device Energy Use'!A8</f>
        <v>Instant Gas</v>
      </c>
      <c r="B67" s="33">
        <f>'Water Heater Stock'!B18*'Device Energy Use'!$C8</f>
        <v>0</v>
      </c>
      <c r="C67" s="33">
        <f>'Water Heater Stock'!C18*'Device Energy Use'!$C8</f>
        <v>0</v>
      </c>
      <c r="D67" s="33">
        <f>'Water Heater Stock'!D18*'Device Energy Use'!$C8</f>
        <v>0</v>
      </c>
      <c r="E67" s="33">
        <f>'Water Heater Stock'!E18*'Device Energy Use'!$C8</f>
        <v>0</v>
      </c>
      <c r="F67" s="33">
        <f>'Water Heater Stock'!F18*'Device Energy Use'!$C8</f>
        <v>0</v>
      </c>
      <c r="G67" s="33">
        <f>'Water Heater Stock'!G18*'Device Energy Use'!$C8</f>
        <v>0</v>
      </c>
      <c r="H67" s="33">
        <f>'Water Heater Stock'!H18*'Device Energy Use'!$C8</f>
        <v>0</v>
      </c>
      <c r="I67" s="33">
        <f>'Water Heater Stock'!I18*'Device Energy Use'!$C8</f>
        <v>0</v>
      </c>
      <c r="J67" s="33">
        <f>'Water Heater Stock'!J18*'Device Energy Use'!$C8</f>
        <v>0</v>
      </c>
      <c r="K67" s="33">
        <f>'Water Heater Stock'!K18*'Device Energy Use'!$C8</f>
        <v>0</v>
      </c>
      <c r="L67" s="33">
        <f>'Water Heater Stock'!L18*'Device Energy Use'!$C8</f>
        <v>0</v>
      </c>
      <c r="M67" s="33">
        <f>'Water Heater Stock'!M18*'Device Energy Use'!$C8</f>
        <v>0</v>
      </c>
      <c r="N67" s="33">
        <f>'Water Heater Stock'!N18*'Device Energy Use'!$C8</f>
        <v>0</v>
      </c>
      <c r="O67" s="33">
        <f>'Water Heater Stock'!O18*'Device Energy Use'!$C8</f>
        <v>0</v>
      </c>
      <c r="P67" s="33">
        <f>'Water Heater Stock'!P18*'Device Energy Use'!$C8</f>
        <v>0</v>
      </c>
      <c r="Q67" s="33">
        <f>'Water Heater Stock'!Q18*'Device Energy Use'!$C8</f>
        <v>0</v>
      </c>
      <c r="R67" s="33">
        <f>'Water Heater Stock'!R18*'Device Energy Use'!$C8</f>
        <v>0</v>
      </c>
      <c r="S67" s="33">
        <f>'Water Heater Stock'!S18*'Device Energy Use'!$C8</f>
        <v>0</v>
      </c>
      <c r="T67" s="33">
        <f>'Water Heater Stock'!T18*'Device Energy Use'!$C8</f>
        <v>0</v>
      </c>
      <c r="U67" s="33">
        <f>'Water Heater Stock'!U18*'Device Energy Use'!$C8</f>
        <v>0</v>
      </c>
      <c r="V67" s="33">
        <f>'Water Heater Stock'!V18*'Device Energy Use'!$C8</f>
        <v>0</v>
      </c>
      <c r="W67" s="33">
        <f>'Water Heater Stock'!W18*'Device Energy Use'!$C8</f>
        <v>0</v>
      </c>
    </row>
    <row r="68" spans="1:23">
      <c r="A68" s="37" t="str">
        <f>'Device Energy Use'!A9</f>
        <v>Condensing Gas</v>
      </c>
      <c r="B68" s="33">
        <f>'Water Heater Stock'!B19*'Device Energy Use'!$C9</f>
        <v>0</v>
      </c>
      <c r="C68" s="33">
        <f>'Water Heater Stock'!C19*'Device Energy Use'!$C9</f>
        <v>0</v>
      </c>
      <c r="D68" s="33">
        <f>'Water Heater Stock'!D19*'Device Energy Use'!$C9</f>
        <v>0</v>
      </c>
      <c r="E68" s="33">
        <f>'Water Heater Stock'!E19*'Device Energy Use'!$C9</f>
        <v>0</v>
      </c>
      <c r="F68" s="33">
        <f>'Water Heater Stock'!F19*'Device Energy Use'!$C9</f>
        <v>0</v>
      </c>
      <c r="G68" s="33">
        <f>'Water Heater Stock'!G19*'Device Energy Use'!$C9</f>
        <v>0</v>
      </c>
      <c r="H68" s="33">
        <f>'Water Heater Stock'!H19*'Device Energy Use'!$C9</f>
        <v>0</v>
      </c>
      <c r="I68" s="33">
        <f>'Water Heater Stock'!I19*'Device Energy Use'!$C9</f>
        <v>0</v>
      </c>
      <c r="J68" s="33">
        <f>'Water Heater Stock'!J19*'Device Energy Use'!$C9</f>
        <v>0</v>
      </c>
      <c r="K68" s="33">
        <f>'Water Heater Stock'!K19*'Device Energy Use'!$C9</f>
        <v>0</v>
      </c>
      <c r="L68" s="33">
        <f>'Water Heater Stock'!L19*'Device Energy Use'!$C9</f>
        <v>0</v>
      </c>
      <c r="M68" s="33">
        <f>'Water Heater Stock'!M19*'Device Energy Use'!$C9</f>
        <v>0</v>
      </c>
      <c r="N68" s="33">
        <f>'Water Heater Stock'!N19*'Device Energy Use'!$C9</f>
        <v>0</v>
      </c>
      <c r="O68" s="33">
        <f>'Water Heater Stock'!O19*'Device Energy Use'!$C9</f>
        <v>0</v>
      </c>
      <c r="P68" s="33">
        <f>'Water Heater Stock'!P19*'Device Energy Use'!$C9</f>
        <v>0</v>
      </c>
      <c r="Q68" s="33">
        <f>'Water Heater Stock'!Q19*'Device Energy Use'!$C9</f>
        <v>0</v>
      </c>
      <c r="R68" s="33">
        <f>'Water Heater Stock'!R19*'Device Energy Use'!$C9</f>
        <v>0</v>
      </c>
      <c r="S68" s="33">
        <f>'Water Heater Stock'!S19*'Device Energy Use'!$C9</f>
        <v>0</v>
      </c>
      <c r="T68" s="33">
        <f>'Water Heater Stock'!T19*'Device Energy Use'!$C9</f>
        <v>0</v>
      </c>
      <c r="U68" s="33">
        <f>'Water Heater Stock'!U19*'Device Energy Use'!$C9</f>
        <v>0</v>
      </c>
      <c r="V68" s="33">
        <f>'Water Heater Stock'!V19*'Device Energy Use'!$C9</f>
        <v>0</v>
      </c>
      <c r="W68" s="33">
        <f>'Water Heater Stock'!W19*'Device Energy Use'!$C9</f>
        <v>0</v>
      </c>
    </row>
    <row r="69" spans="1:23">
      <c r="A69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>
      <selection activeCell="A2" sqref="A2"/>
    </sheetView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>
      <c r="A3" s="12" t="s">
        <v>105</v>
      </c>
    </row>
    <row r="4" spans="1:23" s="23" customFormat="1">
      <c r="A4" s="40" t="str">
        <f>+'Device Energy Use'!A4</f>
        <v>Water Heat Ending</v>
      </c>
      <c r="B4" s="39">
        <v>2014</v>
      </c>
      <c r="C4" s="39">
        <v>2015</v>
      </c>
      <c r="D4" s="39">
        <v>2016</v>
      </c>
      <c r="E4" s="39">
        <v>2017</v>
      </c>
      <c r="F4" s="39">
        <v>2018</v>
      </c>
      <c r="G4" s="39">
        <v>2019</v>
      </c>
      <c r="H4" s="39">
        <v>2020</v>
      </c>
      <c r="I4" s="39">
        <v>2021</v>
      </c>
      <c r="J4" s="39">
        <v>2022</v>
      </c>
      <c r="K4" s="39">
        <v>2023</v>
      </c>
      <c r="L4" s="39">
        <v>2024</v>
      </c>
      <c r="M4" s="39">
        <v>2025</v>
      </c>
      <c r="N4" s="39">
        <v>2026</v>
      </c>
      <c r="O4" s="39">
        <v>2027</v>
      </c>
      <c r="P4" s="39">
        <v>2028</v>
      </c>
      <c r="Q4" s="39">
        <v>2029</v>
      </c>
      <c r="R4" s="39">
        <v>2030</v>
      </c>
      <c r="S4" s="39">
        <v>2031</v>
      </c>
      <c r="T4" s="39">
        <v>2032</v>
      </c>
      <c r="U4" s="39">
        <v>2033</v>
      </c>
      <c r="V4" s="39">
        <v>2034</v>
      </c>
      <c r="W4" s="39">
        <v>2035</v>
      </c>
    </row>
    <row r="5" spans="1:23" s="23" customFormat="1" ht="16.5" thickBot="1">
      <c r="A5" s="48" t="s">
        <v>44</v>
      </c>
      <c r="B5" s="49">
        <f t="shared" ref="B5:W5" si="0">SUM(B6:B10)</f>
        <v>57532</v>
      </c>
      <c r="C5" s="49">
        <f t="shared" si="0"/>
        <v>57532.000000000007</v>
      </c>
      <c r="D5" s="49">
        <f t="shared" si="0"/>
        <v>57532</v>
      </c>
      <c r="E5" s="49">
        <f t="shared" si="0"/>
        <v>57532.000000000007</v>
      </c>
      <c r="F5" s="49">
        <f t="shared" si="0"/>
        <v>57532.000000000015</v>
      </c>
      <c r="G5" s="49">
        <f t="shared" si="0"/>
        <v>57532.000000000007</v>
      </c>
      <c r="H5" s="49">
        <f t="shared" si="0"/>
        <v>57532.000000000007</v>
      </c>
      <c r="I5" s="49">
        <f t="shared" si="0"/>
        <v>57532.000000000015</v>
      </c>
      <c r="J5" s="49">
        <f t="shared" si="0"/>
        <v>57532.000000000007</v>
      </c>
      <c r="K5" s="49">
        <f t="shared" si="0"/>
        <v>57532.000000000015</v>
      </c>
      <c r="L5" s="49">
        <f t="shared" si="0"/>
        <v>57532</v>
      </c>
      <c r="M5" s="49">
        <f t="shared" si="0"/>
        <v>57532.000000000015</v>
      </c>
      <c r="N5" s="49">
        <f t="shared" si="0"/>
        <v>57532.000000000015</v>
      </c>
      <c r="O5" s="49">
        <f t="shared" si="0"/>
        <v>57532.000000000015</v>
      </c>
      <c r="P5" s="49">
        <f t="shared" si="0"/>
        <v>57532.000000000007</v>
      </c>
      <c r="Q5" s="49">
        <f t="shared" si="0"/>
        <v>57532.000000000015</v>
      </c>
      <c r="R5" s="49">
        <f t="shared" si="0"/>
        <v>57532.000000000015</v>
      </c>
      <c r="S5" s="49">
        <f t="shared" si="0"/>
        <v>57532.000000000007</v>
      </c>
      <c r="T5" s="49">
        <f t="shared" si="0"/>
        <v>57532.000000000007</v>
      </c>
      <c r="U5" s="49">
        <f t="shared" si="0"/>
        <v>57532.000000000007</v>
      </c>
      <c r="V5" s="49">
        <f t="shared" si="0"/>
        <v>57532</v>
      </c>
      <c r="W5" s="49">
        <f t="shared" si="0"/>
        <v>57532.000000000007</v>
      </c>
    </row>
    <row r="6" spans="1:23" ht="16.5" thickTop="1">
      <c r="A6" s="9" t="str">
        <f>+'Device Energy Use'!A5</f>
        <v>Electric Resistance</v>
      </c>
      <c r="B6" s="33">
        <f>Households</f>
        <v>57532</v>
      </c>
      <c r="C6" s="33">
        <f>+B6-'Water Heaters Retired'!C6+'Water Heaters Purchased'!C6</f>
        <v>53422.658773568655</v>
      </c>
      <c r="D6" s="33">
        <f>+C6-'Water Heaters Retired'!D6+'Water Heaters Purchased'!D6</f>
        <v>49606.841021754401</v>
      </c>
      <c r="E6" s="33">
        <f>+D6-'Water Heaters Retired'!E6+'Water Heaters Purchased'!E6</f>
        <v>46063.580795312148</v>
      </c>
      <c r="F6" s="33">
        <f>+E6-'Water Heaters Retired'!F6+'Water Heaters Purchased'!F6</f>
        <v>42773.40971263581</v>
      </c>
      <c r="G6" s="33">
        <f>+F6-'Water Heaters Retired'!G6+'Water Heaters Purchased'!G6</f>
        <v>39718.249990642304</v>
      </c>
      <c r="H6" s="33">
        <f>+G6-'Water Heaters Retired'!H6+'Water Heaters Purchased'!H6</f>
        <v>36881.315116306694</v>
      </c>
      <c r="I6" s="33">
        <f>+H6-'Water Heaters Retired'!I6+'Water Heaters Purchased'!I6</f>
        <v>34247.017613087679</v>
      </c>
      <c r="J6" s="33">
        <f>+I6-'Water Heaters Retired'!J6+'Water Heaters Purchased'!J6</f>
        <v>31800.883395465647</v>
      </c>
      <c r="K6" s="33">
        <f>+J6-'Water Heaters Retired'!K6+'Water Heaters Purchased'!K6</f>
        <v>29529.472241013689</v>
      </c>
      <c r="L6" s="33">
        <f>+K6-'Water Heaters Retired'!L6+'Water Heaters Purchased'!L6</f>
        <v>27420.303943035036</v>
      </c>
      <c r="M6" s="33">
        <f>+L6-'Water Heaters Retired'!M6+'Water Heaters Purchased'!M6</f>
        <v>25461.789738012103</v>
      </c>
      <c r="N6" s="33">
        <f>+M6-'Water Heaters Retired'!N6+'Water Heaters Purchased'!N6</f>
        <v>23643.168631094919</v>
      </c>
      <c r="O6" s="33">
        <f>+N6-'Water Heaters Retired'!O6+'Water Heaters Purchased'!O6</f>
        <v>21954.448269768996</v>
      </c>
      <c r="P6" s="33">
        <f>+O6-'Water Heaters Retired'!P6+'Water Heaters Purchased'!P6</f>
        <v>20386.350040832633</v>
      </c>
      <c r="Q6" s="33">
        <f>+P6-'Water Heaters Retired'!Q6+'Water Heaters Purchased'!Q6</f>
        <v>18930.258089018709</v>
      </c>
      <c r="R6" s="33">
        <f>+Q6-'Water Heaters Retired'!R6+'Water Heaters Purchased'!R6</f>
        <v>17578.171977143553</v>
      </c>
      <c r="S6" s="33">
        <f>+R6-'Water Heaters Retired'!S6+'Water Heaters Purchased'!S6</f>
        <v>16322.662727673704</v>
      </c>
      <c r="T6" s="33">
        <f>+S6-'Water Heaters Retired'!T6+'Water Heaters Purchased'!T6</f>
        <v>15156.832004180838</v>
      </c>
      <c r="U6" s="33">
        <f>+T6-'Water Heaters Retired'!U6+'Water Heaters Purchased'!U6</f>
        <v>14074.274208407032</v>
      </c>
      <c r="V6" s="33">
        <f>+U6-'Water Heaters Retired'!V6+'Water Heaters Purchased'!V6</f>
        <v>13069.041284682531</v>
      </c>
      <c r="W6" s="33">
        <f>+V6-'Water Heaters Retired'!W6+'Water Heaters Purchased'!W6</f>
        <v>12135.610038313689</v>
      </c>
    </row>
    <row r="7" spans="1:23">
      <c r="A7" s="9" t="str">
        <f>+'Device Energy Use'!A6</f>
        <v>HPWH</v>
      </c>
      <c r="B7" s="33">
        <v>0</v>
      </c>
      <c r="C7" s="33">
        <f>+B7-'Water Heaters Retired'!C7+'Water Heaters Purchased'!C7</f>
        <v>2303.7943778209346</v>
      </c>
      <c r="D7" s="33">
        <f>+C7-'Water Heaters Retired'!D7+'Water Heaters Purchased'!D7</f>
        <v>4442.0588246452171</v>
      </c>
      <c r="E7" s="33">
        <f>+D7-'Water Heaters Retired'!E7+'Water Heaters Purchased'!E7</f>
        <v>6426.6355137119326</v>
      </c>
      <c r="F7" s="33">
        <f>+E7-'Water Heaters Retired'!F7+'Water Heaters Purchased'!F7</f>
        <v>8268.5210143877448</v>
      </c>
      <c r="G7" s="33">
        <f>+F7-'Water Heaters Retired'!G7+'Water Heaters Purchased'!G7</f>
        <v>9977.926690611137</v>
      </c>
      <c r="H7" s="33">
        <f>+G7-'Water Heaters Retired'!H7+'Water Heaters Purchased'!H7</f>
        <v>11564.334785095243</v>
      </c>
      <c r="I7" s="33">
        <f>+H7-'Water Heaters Retired'!I7+'Water Heaters Purchased'!I7</f>
        <v>13036.550497450238</v>
      </c>
      <c r="J7" s="33">
        <f>+I7-'Water Heaters Retired'!J7+'Water Heaters Purchased'!J7</f>
        <v>14402.750342374804</v>
      </c>
      <c r="K7" s="33">
        <f>+J7-'Water Heaters Retired'!K7+'Water Heaters Purchased'!K7</f>
        <v>15670.527053626944</v>
      </c>
      <c r="L7" s="33">
        <f>+K7-'Water Heaters Retired'!L7+'Water Heaters Purchased'!L7</f>
        <v>16846.931280505101</v>
      </c>
      <c r="M7" s="33">
        <f>+L7-'Water Heaters Retired'!M7+'Water Heaters Purchased'!M7</f>
        <v>17938.510305946947</v>
      </c>
      <c r="N7" s="33">
        <f>+M7-'Water Heaters Retired'!N7+'Water Heaters Purchased'!N7</f>
        <v>18951.343998988359</v>
      </c>
      <c r="O7" s="33">
        <f>+N7-'Water Heaters Retired'!O7+'Water Heaters Purchased'!O7</f>
        <v>19891.078199129213</v>
      </c>
      <c r="P7" s="33">
        <f>+O7-'Water Heaters Retired'!P7+'Water Heaters Purchased'!P7</f>
        <v>20762.955716042219</v>
      </c>
      <c r="Q7" s="33">
        <f>+P7-'Water Heaters Retired'!Q7+'Water Heaters Purchased'!Q7</f>
        <v>21571.845114958342</v>
      </c>
      <c r="R7" s="33">
        <f>+Q7-'Water Heaters Retired'!R7+'Water Heaters Purchased'!R7</f>
        <v>22322.267445895712</v>
      </c>
      <c r="S7" s="33">
        <f>+R7-'Water Heaters Retired'!S7+'Water Heaters Purchased'!S7</f>
        <v>23018.421063601356</v>
      </c>
      <c r="T7" s="33">
        <f>+S7-'Water Heaters Retired'!T7+'Water Heaters Purchased'!T7</f>
        <v>23664.204674584256</v>
      </c>
      <c r="U7" s="33">
        <f>+T7-'Water Heaters Retired'!U7+'Water Heaters Purchased'!U7</f>
        <v>24263.238737877095</v>
      </c>
      <c r="V7" s="33">
        <f>+U7-'Water Heaters Retired'!V7+'Water Heaters Purchased'!V7</f>
        <v>24818.885337118365</v>
      </c>
      <c r="W7" s="33">
        <f>+V7-'Water Heaters Retired'!W7+'Water Heaters Purchased'!W7</f>
        <v>25334.266633147243</v>
      </c>
    </row>
    <row r="8" spans="1:23">
      <c r="A8" s="9" t="str">
        <f>+'Device Energy Use'!A7</f>
        <v>Gas Tank</v>
      </c>
      <c r="B8" s="33">
        <v>0</v>
      </c>
      <c r="C8" s="33">
        <f>+B8-'Water Heaters Retired'!C8+'Water Heaters Purchased'!C8</f>
        <v>0.13669082411214159</v>
      </c>
      <c r="D8" s="33">
        <f>+C8-'Water Heaters Retired'!D8+'Water Heaters Purchased'!D8</f>
        <v>0.26225786685786368</v>
      </c>
      <c r="E8" s="33">
        <f>+D8-'Water Heaters Retired'!E8+'Water Heaters Purchased'!E8</f>
        <v>0.37750877419852208</v>
      </c>
      <c r="F8" s="33">
        <f>+E8-'Water Heaters Retired'!F8+'Water Heaters Purchased'!F8</f>
        <v>0.48319348791958278</v>
      </c>
      <c r="G8" s="33">
        <f>+F8-'Water Heaters Retired'!G8+'Water Heaters Purchased'!G8</f>
        <v>0.5800083638351442</v>
      </c>
      <c r="H8" s="33">
        <f>+G8-'Water Heaters Retired'!H8+'Water Heaters Purchased'!H8</f>
        <v>0.66859999591311725</v>
      </c>
      <c r="I8" s="33">
        <f>+H8-'Water Heaters Retired'!I8+'Water Heaters Purchased'!I8</f>
        <v>0.74956876732757682</v>
      </c>
      <c r="J8" s="33">
        <f>+I8-'Water Heaters Retired'!J8+'Water Heaters Purchased'!J8</f>
        <v>0.82347214794423007</v>
      </c>
      <c r="K8" s="33">
        <f>+J8-'Water Heaters Retired'!K8+'Water Heaters Purchased'!K8</f>
        <v>0.89082775635156053</v>
      </c>
      <c r="L8" s="33">
        <f>+K8-'Water Heaters Retired'!L8+'Water Heaters Purchased'!L8</f>
        <v>0.95211620325635216</v>
      </c>
      <c r="M8" s="33">
        <f>+L8-'Water Heaters Retired'!M8+'Water Heaters Purchased'!M8</f>
        <v>1.007783731860862</v>
      </c>
      <c r="N8" s="33">
        <f>+M8-'Water Heaters Retired'!N8+'Water Heaters Purchased'!N8</f>
        <v>1.0582446697232939</v>
      </c>
      <c r="O8" s="33">
        <f>+N8-'Water Heaters Retired'!O8+'Water Heaters Purchased'!O8</f>
        <v>1.1038837055672983</v>
      </c>
      <c r="P8" s="33">
        <f>+O8-'Water Heaters Retired'!P8+'Water Heaters Purchased'!P8</f>
        <v>1.1450580035442945</v>
      </c>
      <c r="Q8" s="33">
        <f>+P8-'Water Heaters Retired'!Q8+'Water Heaters Purchased'!Q8</f>
        <v>1.1820991665591922</v>
      </c>
      <c r="R8" s="33">
        <f>+Q8-'Water Heaters Retired'!R8+'Water Heaters Purchased'!R8</f>
        <v>1.2153150594406759</v>
      </c>
      <c r="S8" s="33">
        <f>+R8-'Water Heaters Retired'!S8+'Water Heaters Purchased'!S8</f>
        <v>1.2449915019670497</v>
      </c>
      <c r="T8" s="33">
        <f>+S8-'Water Heaters Retired'!T8+'Water Heaters Purchased'!T8</f>
        <v>1.2713938410434844</v>
      </c>
      <c r="U8" s="33">
        <f>+T8-'Water Heaters Retired'!U8+'Water Heaters Purchased'!U8</f>
        <v>1.2947684106624413</v>
      </c>
      <c r="V8" s="33">
        <f>+U8-'Water Heaters Retired'!V8+'Water Heaters Purchased'!V8</f>
        <v>1.3153438876624199</v>
      </c>
      <c r="W8" s="33">
        <f>+V8-'Water Heaters Retired'!W8+'Water Heaters Purchased'!W8</f>
        <v>1.3333325507275857</v>
      </c>
    </row>
    <row r="9" spans="1:23">
      <c r="A9" s="9" t="str">
        <f>+'Device Energy Use'!A8</f>
        <v>Instant Gas</v>
      </c>
      <c r="B9" s="33">
        <v>0</v>
      </c>
      <c r="C9" s="33">
        <f>+B9-'Water Heaters Retired'!C9+'Water Heaters Purchased'!C9</f>
        <v>553.82870488544529</v>
      </c>
      <c r="D9" s="33">
        <f>+C9-'Water Heaters Retired'!D9+'Water Heaters Purchased'!D9</f>
        <v>1070.2616667447064</v>
      </c>
      <c r="E9" s="33">
        <f>+D9-'Water Heaters Retired'!E9+'Water Heaters Purchased'!E9</f>
        <v>1551.9772773170021</v>
      </c>
      <c r="F9" s="33">
        <f>+E9-'Water Heaters Retired'!F9+'Water Heaters Purchased'!F9</f>
        <v>2001.4623615473315</v>
      </c>
      <c r="G9" s="33">
        <f>+F9-'Water Heaters Retired'!G9+'Water Heaters Purchased'!G9</f>
        <v>2421.0258551405332</v>
      </c>
      <c r="H9" s="33">
        <f>+G9-'Water Heaters Retired'!H9+'Water Heaters Purchased'!H9</f>
        <v>2812.8115051763443</v>
      </c>
      <c r="I9" s="33">
        <f>+H9-'Water Heaters Retired'!I9+'Water Heaters Purchased'!I9</f>
        <v>3178.8096635715983</v>
      </c>
      <c r="J9" s="33">
        <f>+I9-'Water Heaters Retired'!J9+'Water Heaters Purchased'!J9</f>
        <v>3520.8682381910412</v>
      </c>
      <c r="K9" s="33">
        <f>+J9-'Water Heaters Retired'!K9+'Water Heaters Purchased'!K9</f>
        <v>3840.7028617796368</v>
      </c>
      <c r="L9" s="33">
        <f>+K9-'Water Heaters Retired'!L9+'Water Heaters Purchased'!L9</f>
        <v>4139.9063345912073</v>
      </c>
      <c r="M9" s="33">
        <f>+L9-'Water Heaters Retired'!M9+'Water Heaters Purchased'!M9</f>
        <v>4419.9573925972527</v>
      </c>
      <c r="N9" s="33">
        <f>+M9-'Water Heaters Retired'!N9+'Water Heaters Purchased'!N9</f>
        <v>4682.2288494538425</v>
      </c>
      <c r="O9" s="33">
        <f>+N9-'Water Heaters Retired'!O9+'Water Heaters Purchased'!O9</f>
        <v>4927.9951569632349</v>
      </c>
      <c r="P9" s="33">
        <f>+O9-'Water Heaters Retired'!P9+'Water Heaters Purchased'!P9</f>
        <v>5158.439425571416</v>
      </c>
      <c r="Q9" s="33">
        <f>+P9-'Water Heaters Retired'!Q9+'Water Heaters Purchased'!Q9</f>
        <v>5374.6599434755672</v>
      </c>
      <c r="R9" s="33">
        <f>+Q9-'Water Heaters Retired'!R9+'Water Heaters Purchased'!R9</f>
        <v>5577.6762301601811</v>
      </c>
      <c r="S9" s="33">
        <f>+R9-'Water Heaters Retired'!S9+'Water Heaters Purchased'!S9</f>
        <v>5768.4346576220751</v>
      </c>
      <c r="T9" s="33">
        <f>+S9-'Water Heaters Retired'!T9+'Water Heaters Purchased'!T9</f>
        <v>5947.8136701688391</v>
      </c>
      <c r="U9" s="33">
        <f>+T9-'Water Heaters Retired'!U9+'Water Heaters Purchased'!U9</f>
        <v>6116.6286314691761</v>
      </c>
      <c r="V9" s="33">
        <f>+U9-'Water Heaters Retired'!V9+'Water Heaters Purchased'!V9</f>
        <v>6275.6363254851494</v>
      </c>
      <c r="W9" s="33">
        <f>+V9-'Water Heaters Retired'!W9+'Water Heaters Purchased'!W9</f>
        <v>6425.5391360141693</v>
      </c>
    </row>
    <row r="10" spans="1:23">
      <c r="A10" s="9" t="str">
        <f>+'Device Energy Use'!A9</f>
        <v>Condensing Gas</v>
      </c>
      <c r="B10" s="33">
        <v>0</v>
      </c>
      <c r="C10" s="33">
        <f>+B10-'Water Heaters Retired'!C10+'Water Heaters Purchased'!C10</f>
        <v>1251.5814529008542</v>
      </c>
      <c r="D10" s="33">
        <f>+C10-'Water Heaters Retired'!D10+'Water Heaters Purchased'!D10</f>
        <v>2412.576228988818</v>
      </c>
      <c r="E10" s="33">
        <f>+D10-'Water Heaters Retired'!E10+'Water Heaters Purchased'!E10</f>
        <v>3489.4289048847245</v>
      </c>
      <c r="F10" s="33">
        <f>+E10-'Water Heaters Retired'!F10+'Water Heaters Purchased'!F10</f>
        <v>4488.1237179412019</v>
      </c>
      <c r="G10" s="33">
        <f>+F10-'Water Heaters Retired'!G10+'Water Heaters Purchased'!G10</f>
        <v>5414.2174552421948</v>
      </c>
      <c r="H10" s="33">
        <f>+G10-'Water Heaters Retired'!H10+'Water Heaters Purchased'!H10</f>
        <v>6272.869993425812</v>
      </c>
      <c r="I10" s="33">
        <f>+H10-'Water Heaters Retired'!I10+'Water Heaters Purchased'!I10</f>
        <v>7068.8726571231637</v>
      </c>
      <c r="J10" s="33">
        <f>+I10-'Water Heaters Retired'!J10+'Water Heaters Purchased'!J10</f>
        <v>7806.6745518205707</v>
      </c>
      <c r="K10" s="33">
        <f>+J10-'Water Heaters Retired'!K10+'Water Heaters Purchased'!K10</f>
        <v>8490.4070158233862</v>
      </c>
      <c r="L10" s="33">
        <f>+K10-'Water Heaters Retired'!L10+'Water Heaters Purchased'!L10</f>
        <v>9123.9063256654081</v>
      </c>
      <c r="M10" s="33">
        <f>+L10-'Water Heaters Retired'!M10+'Water Heaters Purchased'!M10</f>
        <v>9710.7347797118491</v>
      </c>
      <c r="N10" s="33">
        <f>+M10-'Water Heaters Retired'!N10+'Water Heaters Purchased'!N10</f>
        <v>10254.20027579317</v>
      </c>
      <c r="O10" s="33">
        <f>+N10-'Water Heaters Retired'!O10+'Water Heaters Purchased'!O10</f>
        <v>10757.374490433</v>
      </c>
      <c r="P10" s="33">
        <f>+O10-'Water Heaters Retired'!P10+'Water Heaters Purchased'!P10</f>
        <v>11223.109759550198</v>
      </c>
      <c r="Q10" s="33">
        <f>+P10-'Water Heaters Retired'!Q10+'Water Heaters Purchased'!Q10</f>
        <v>11654.054753380833</v>
      </c>
      <c r="R10" s="33">
        <f>+Q10-'Water Heaters Retired'!R10+'Water Heaters Purchased'!R10</f>
        <v>12052.669031741123</v>
      </c>
      <c r="S10" s="33">
        <f>+R10-'Water Heaters Retired'!S10+'Water Heaters Purchased'!S10</f>
        <v>12421.236559600906</v>
      </c>
      <c r="T10" s="33">
        <f>+S10-'Water Heaters Retired'!T10+'Water Heaters Purchased'!T10</f>
        <v>12761.878257225029</v>
      </c>
      <c r="U10" s="33">
        <f>+T10-'Water Heaters Retired'!U10+'Water Heaters Purchased'!U10</f>
        <v>13076.563653836041</v>
      </c>
      <c r="V10" s="33">
        <f>+U10-'Water Heaters Retired'!V10+'Water Heaters Purchased'!V10</f>
        <v>13367.121708826297</v>
      </c>
      <c r="W10" s="33">
        <f>+V10-'Water Heaters Retired'!W10+'Water Heaters Purchased'!W10</f>
        <v>13635.25085997418</v>
      </c>
    </row>
    <row r="11" spans="1:23">
      <c r="A11" s="37"/>
    </row>
    <row r="12" spans="1:23">
      <c r="A12" s="101" t="s">
        <v>106</v>
      </c>
    </row>
    <row r="13" spans="1:23" s="23" customFormat="1">
      <c r="A13" s="40" t="str">
        <f>+'Device Energy Use'!A4</f>
        <v>Water Heat Ending</v>
      </c>
      <c r="B13" s="39">
        <v>2014</v>
      </c>
      <c r="C13" s="39">
        <v>2015</v>
      </c>
      <c r="D13" s="39">
        <v>2016</v>
      </c>
      <c r="E13" s="39">
        <v>2017</v>
      </c>
      <c r="F13" s="39">
        <v>2018</v>
      </c>
      <c r="G13" s="39">
        <v>2019</v>
      </c>
      <c r="H13" s="39">
        <v>2020</v>
      </c>
      <c r="I13" s="39">
        <v>2021</v>
      </c>
      <c r="J13" s="39">
        <v>2022</v>
      </c>
      <c r="K13" s="39">
        <v>2023</v>
      </c>
      <c r="L13" s="39">
        <v>2024</v>
      </c>
      <c r="M13" s="39">
        <v>2025</v>
      </c>
      <c r="N13" s="39">
        <v>2026</v>
      </c>
      <c r="O13" s="39">
        <v>2027</v>
      </c>
      <c r="P13" s="39">
        <v>2028</v>
      </c>
      <c r="Q13" s="39">
        <v>2029</v>
      </c>
      <c r="R13" s="39">
        <v>2030</v>
      </c>
      <c r="S13" s="39">
        <v>2031</v>
      </c>
      <c r="T13" s="39">
        <v>2032</v>
      </c>
      <c r="U13" s="39">
        <v>2033</v>
      </c>
      <c r="V13" s="39">
        <v>2034</v>
      </c>
      <c r="W13" s="39">
        <v>2035</v>
      </c>
    </row>
    <row r="14" spans="1:23" s="23" customFormat="1" ht="16.5" thickBot="1">
      <c r="A14" s="48" t="s">
        <v>44</v>
      </c>
      <c r="B14" s="49">
        <f t="shared" ref="B14:W14" si="1">SUM(B15:B19)</f>
        <v>57532</v>
      </c>
      <c r="C14" s="49">
        <f t="shared" si="1"/>
        <v>57532</v>
      </c>
      <c r="D14" s="49">
        <f t="shared" si="1"/>
        <v>57532</v>
      </c>
      <c r="E14" s="49">
        <f t="shared" si="1"/>
        <v>57532</v>
      </c>
      <c r="F14" s="49">
        <f t="shared" si="1"/>
        <v>57532</v>
      </c>
      <c r="G14" s="49">
        <f t="shared" si="1"/>
        <v>57532</v>
      </c>
      <c r="H14" s="49">
        <f t="shared" si="1"/>
        <v>57531.999999999993</v>
      </c>
      <c r="I14" s="49">
        <f t="shared" si="1"/>
        <v>57531.999999999993</v>
      </c>
      <c r="J14" s="49">
        <f t="shared" si="1"/>
        <v>57531.999999999993</v>
      </c>
      <c r="K14" s="49">
        <f t="shared" si="1"/>
        <v>57531.999999999993</v>
      </c>
      <c r="L14" s="49">
        <f t="shared" si="1"/>
        <v>57531.999999999993</v>
      </c>
      <c r="M14" s="49">
        <f t="shared" si="1"/>
        <v>57531.999999999985</v>
      </c>
      <c r="N14" s="49">
        <f t="shared" si="1"/>
        <v>57531.999999999985</v>
      </c>
      <c r="O14" s="49">
        <f t="shared" si="1"/>
        <v>57531.999999999985</v>
      </c>
      <c r="P14" s="49">
        <f t="shared" si="1"/>
        <v>57531.999999999985</v>
      </c>
      <c r="Q14" s="49">
        <f t="shared" si="1"/>
        <v>57531.999999999985</v>
      </c>
      <c r="R14" s="49">
        <f t="shared" si="1"/>
        <v>57531.999999999985</v>
      </c>
      <c r="S14" s="49">
        <f t="shared" si="1"/>
        <v>57531.999999999985</v>
      </c>
      <c r="T14" s="49">
        <f t="shared" si="1"/>
        <v>57531.999999999985</v>
      </c>
      <c r="U14" s="49">
        <f t="shared" si="1"/>
        <v>57531.999999999993</v>
      </c>
      <c r="V14" s="49">
        <f t="shared" si="1"/>
        <v>57532</v>
      </c>
      <c r="W14" s="49">
        <f t="shared" si="1"/>
        <v>57532</v>
      </c>
    </row>
    <row r="15" spans="1:23" ht="16.5" thickTop="1">
      <c r="A15" s="9" t="str">
        <f>+'Device Energy Use'!A5</f>
        <v>Electric Resistance</v>
      </c>
      <c r="B15" s="33">
        <f>Households</f>
        <v>57532</v>
      </c>
      <c r="C15" s="33">
        <f>+B15-'Water Heaters Retired'!C15+'Water Heaters Purchased'!C15</f>
        <v>53422.571428571428</v>
      </c>
      <c r="D15" s="33">
        <f>+C15-'Water Heaters Retired'!D15+'Water Heaters Purchased'!D15</f>
        <v>49606.673469387752</v>
      </c>
      <c r="E15" s="33">
        <f>+D15-'Water Heaters Retired'!E15+'Water Heaters Purchased'!E15</f>
        <v>46063.339650145768</v>
      </c>
      <c r="F15" s="33">
        <f>+E15-'Water Heaters Retired'!F15+'Water Heaters Purchased'!F15</f>
        <v>42773.101103706787</v>
      </c>
      <c r="G15" s="33">
        <f>+F15-'Water Heaters Retired'!G15+'Water Heaters Purchased'!G15</f>
        <v>39717.879596299157</v>
      </c>
      <c r="H15" s="33">
        <f>+G15-'Water Heaters Retired'!H15+'Water Heaters Purchased'!H15</f>
        <v>36880.888196563501</v>
      </c>
      <c r="I15" s="33">
        <f>+H15-'Water Heaters Retired'!I15+'Water Heaters Purchased'!I15</f>
        <v>34246.53903966611</v>
      </c>
      <c r="J15" s="33">
        <f>+I15-'Water Heaters Retired'!J15+'Water Heaters Purchased'!J15</f>
        <v>31800.357679689958</v>
      </c>
      <c r="K15" s="33">
        <f>+J15-'Water Heaters Retired'!K15+'Water Heaters Purchased'!K15</f>
        <v>29528.903559712104</v>
      </c>
      <c r="L15" s="33">
        <f>+K15-'Water Heaters Retired'!L15+'Water Heaters Purchased'!L15</f>
        <v>27419.696162589811</v>
      </c>
      <c r="M15" s="33">
        <f>+L15-'Water Heaters Retired'!M15+'Water Heaters Purchased'!M15</f>
        <v>25461.146436690538</v>
      </c>
      <c r="N15" s="33">
        <f>+M15-'Water Heaters Retired'!N15+'Water Heaters Purchased'!N15</f>
        <v>23642.493119784071</v>
      </c>
      <c r="O15" s="33">
        <f>+N15-'Water Heaters Retired'!O15+'Water Heaters Purchased'!O15</f>
        <v>21953.743611228067</v>
      </c>
      <c r="P15" s="33">
        <f>+O15-'Water Heaters Retired'!P15+'Water Heaters Purchased'!P15</f>
        <v>20385.619067568918</v>
      </c>
      <c r="Q15" s="33">
        <f>+P15-'Water Heaters Retired'!Q15+'Water Heaters Purchased'!Q15</f>
        <v>18929.503419885423</v>
      </c>
      <c r="R15" s="33">
        <f>+Q15-'Water Heaters Retired'!R15+'Water Heaters Purchased'!R15</f>
        <v>17577.396032750748</v>
      </c>
      <c r="S15" s="33">
        <f>+R15-'Water Heaters Retired'!S15+'Water Heaters Purchased'!S15</f>
        <v>16321.867744697123</v>
      </c>
      <c r="T15" s="33">
        <f>+S15-'Water Heaters Retired'!T15+'Water Heaters Purchased'!T15</f>
        <v>15156.02004864733</v>
      </c>
      <c r="U15" s="33">
        <f>+T15-'Water Heaters Retired'!U15+'Water Heaters Purchased'!U15</f>
        <v>14073.447188029662</v>
      </c>
      <c r="V15" s="33">
        <f>+U15-'Water Heaters Retired'!V15+'Water Heaters Purchased'!V15</f>
        <v>13068.200960313257</v>
      </c>
      <c r="W15" s="33">
        <f>+V15-'Water Heaters Retired'!W15+'Water Heaters Purchased'!W15</f>
        <v>12134.758034576596</v>
      </c>
    </row>
    <row r="16" spans="1:23">
      <c r="A16" s="9" t="str">
        <f>+'Device Energy Use'!A6</f>
        <v>HPWH</v>
      </c>
      <c r="B16" s="33">
        <v>0</v>
      </c>
      <c r="C16" s="33">
        <f>+B16-'Water Heaters Retired'!C16+'Water Heaters Purchased'!C16</f>
        <v>4109.4285714285716</v>
      </c>
      <c r="D16" s="33">
        <f>+C16-'Water Heaters Retired'!D16+'Water Heaters Purchased'!D16</f>
        <v>7925.3265306122448</v>
      </c>
      <c r="E16" s="33">
        <f>+D16-'Water Heaters Retired'!E16+'Water Heaters Purchased'!E16</f>
        <v>11468.660349854228</v>
      </c>
      <c r="F16" s="33">
        <f>+E16-'Water Heaters Retired'!F16+'Water Heaters Purchased'!F16</f>
        <v>14758.898896293213</v>
      </c>
      <c r="G16" s="33">
        <f>+F16-'Water Heaters Retired'!G16+'Water Heaters Purchased'!G16</f>
        <v>17814.120403700839</v>
      </c>
      <c r="H16" s="33">
        <f>+G16-'Water Heaters Retired'!H16+'Water Heaters Purchased'!H16</f>
        <v>20651.111803436492</v>
      </c>
      <c r="I16" s="33">
        <f>+H16-'Water Heaters Retired'!I16+'Water Heaters Purchased'!I16</f>
        <v>23285.460960333883</v>
      </c>
      <c r="J16" s="33">
        <f>+I16-'Water Heaters Retired'!J16+'Water Heaters Purchased'!J16</f>
        <v>25731.642320310035</v>
      </c>
      <c r="K16" s="33">
        <f>+J16-'Water Heaters Retired'!K16+'Water Heaters Purchased'!K16</f>
        <v>28003.096440287889</v>
      </c>
      <c r="L16" s="33">
        <f>+K16-'Water Heaters Retired'!L16+'Water Heaters Purchased'!L16</f>
        <v>30112.303837410182</v>
      </c>
      <c r="M16" s="33">
        <f>+L16-'Water Heaters Retired'!M16+'Water Heaters Purchased'!M16</f>
        <v>32070.853563309451</v>
      </c>
      <c r="N16" s="33">
        <f>+M16-'Water Heaters Retired'!N16+'Water Heaters Purchased'!N16</f>
        <v>33889.506880215915</v>
      </c>
      <c r="O16" s="33">
        <f>+N16-'Water Heaters Retired'!O16+'Water Heaters Purchased'!O16</f>
        <v>35578.256388771923</v>
      </c>
      <c r="P16" s="33">
        <f>+O16-'Water Heaters Retired'!P16+'Water Heaters Purchased'!P16</f>
        <v>37146.380932431071</v>
      </c>
      <c r="Q16" s="33">
        <f>+P16-'Water Heaters Retired'!Q16+'Water Heaters Purchased'!Q16</f>
        <v>38602.496580114566</v>
      </c>
      <c r="R16" s="33">
        <f>+Q16-'Water Heaters Retired'!R16+'Water Heaters Purchased'!R16</f>
        <v>39954.603967249241</v>
      </c>
      <c r="S16" s="33">
        <f>+R16-'Water Heaters Retired'!S16+'Water Heaters Purchased'!S16</f>
        <v>41210.132255302866</v>
      </c>
      <c r="T16" s="33">
        <f>+S16-'Water Heaters Retired'!T16+'Water Heaters Purchased'!T16</f>
        <v>42375.97995135266</v>
      </c>
      <c r="U16" s="33">
        <f>+T16-'Water Heaters Retired'!U16+'Water Heaters Purchased'!U16</f>
        <v>43458.55281197033</v>
      </c>
      <c r="V16" s="33">
        <f>+U16-'Water Heaters Retired'!V16+'Water Heaters Purchased'!V16</f>
        <v>44463.799039686739</v>
      </c>
      <c r="W16" s="33">
        <f>+V16-'Water Heaters Retired'!W16+'Water Heaters Purchased'!W16</f>
        <v>45397.241965423404</v>
      </c>
    </row>
    <row r="17" spans="1:23">
      <c r="A17" s="9" t="str">
        <f>+'Device Energy Use'!A7</f>
        <v>Gas Tank</v>
      </c>
      <c r="B17" s="33">
        <v>0</v>
      </c>
      <c r="C17" s="33">
        <f>+B17-'Water Heaters Retired'!C17+'Water Heaters Purchased'!C17</f>
        <v>0</v>
      </c>
      <c r="D17" s="33">
        <f>+C17-'Water Heaters Retired'!D17+'Water Heaters Purchased'!D17</f>
        <v>0</v>
      </c>
      <c r="E17" s="33">
        <f>+D17-'Water Heaters Retired'!E17+'Water Heaters Purchased'!E17</f>
        <v>0</v>
      </c>
      <c r="F17" s="33">
        <f>+E17-'Water Heaters Retired'!F17+'Water Heaters Purchased'!F17</f>
        <v>0</v>
      </c>
      <c r="G17" s="33">
        <f>+F17-'Water Heaters Retired'!G17+'Water Heaters Purchased'!G17</f>
        <v>0</v>
      </c>
      <c r="H17" s="33">
        <f>+G17-'Water Heaters Retired'!H17+'Water Heaters Purchased'!H17</f>
        <v>0</v>
      </c>
      <c r="I17" s="33">
        <f>+H17-'Water Heaters Retired'!I17+'Water Heaters Purchased'!I17</f>
        <v>0</v>
      </c>
      <c r="J17" s="33">
        <f>+I17-'Water Heaters Retired'!J17+'Water Heaters Purchased'!J17</f>
        <v>0</v>
      </c>
      <c r="K17" s="33">
        <f>+J17-'Water Heaters Retired'!K17+'Water Heaters Purchased'!K17</f>
        <v>0</v>
      </c>
      <c r="L17" s="33">
        <f>+K17-'Water Heaters Retired'!L17+'Water Heaters Purchased'!L17</f>
        <v>0</v>
      </c>
      <c r="M17" s="33">
        <f>+L17-'Water Heaters Retired'!M17+'Water Heaters Purchased'!M17</f>
        <v>0</v>
      </c>
      <c r="N17" s="33">
        <f>+M17-'Water Heaters Retired'!N17+'Water Heaters Purchased'!N17</f>
        <v>0</v>
      </c>
      <c r="O17" s="33">
        <f>+N17-'Water Heaters Retired'!O17+'Water Heaters Purchased'!O17</f>
        <v>0</v>
      </c>
      <c r="P17" s="33">
        <f>+O17-'Water Heaters Retired'!P17+'Water Heaters Purchased'!P17</f>
        <v>0</v>
      </c>
      <c r="Q17" s="33">
        <f>+P17-'Water Heaters Retired'!Q17+'Water Heaters Purchased'!Q17</f>
        <v>0</v>
      </c>
      <c r="R17" s="33">
        <f>+Q17-'Water Heaters Retired'!R17+'Water Heaters Purchased'!R17</f>
        <v>0</v>
      </c>
      <c r="S17" s="33">
        <f>+R17-'Water Heaters Retired'!S17+'Water Heaters Purchased'!S17</f>
        <v>0</v>
      </c>
      <c r="T17" s="33">
        <f>+S17-'Water Heaters Retired'!T17+'Water Heaters Purchased'!T17</f>
        <v>0</v>
      </c>
      <c r="U17" s="33">
        <f>+T17-'Water Heaters Retired'!U17+'Water Heaters Purchased'!U17</f>
        <v>0</v>
      </c>
      <c r="V17" s="33">
        <f>+U17-'Water Heaters Retired'!V17+'Water Heaters Purchased'!V17</f>
        <v>0</v>
      </c>
      <c r="W17" s="33">
        <f>+V17-'Water Heaters Retired'!W17+'Water Heaters Purchased'!W17</f>
        <v>0</v>
      </c>
    </row>
    <row r="18" spans="1:23">
      <c r="A18" s="9" t="str">
        <f>+'Device Energy Use'!A8</f>
        <v>Instant Gas</v>
      </c>
      <c r="B18" s="33">
        <v>0</v>
      </c>
      <c r="C18" s="33">
        <f>+B18-'Water Heaters Retired'!C18+'Water Heaters Purchased'!C18</f>
        <v>0</v>
      </c>
      <c r="D18" s="33">
        <f>+C18-'Water Heaters Retired'!D18+'Water Heaters Purchased'!D18</f>
        <v>0</v>
      </c>
      <c r="E18" s="33">
        <f>+D18-'Water Heaters Retired'!E18+'Water Heaters Purchased'!E18</f>
        <v>0</v>
      </c>
      <c r="F18" s="33">
        <f>+E18-'Water Heaters Retired'!F18+'Water Heaters Purchased'!F18</f>
        <v>0</v>
      </c>
      <c r="G18" s="33">
        <f>+F18-'Water Heaters Retired'!G18+'Water Heaters Purchased'!G18</f>
        <v>0</v>
      </c>
      <c r="H18" s="33">
        <f>+G18-'Water Heaters Retired'!H18+'Water Heaters Purchased'!H18</f>
        <v>0</v>
      </c>
      <c r="I18" s="33">
        <f>+H18-'Water Heaters Retired'!I18+'Water Heaters Purchased'!I18</f>
        <v>0</v>
      </c>
      <c r="J18" s="33">
        <f>+I18-'Water Heaters Retired'!J18+'Water Heaters Purchased'!J18</f>
        <v>0</v>
      </c>
      <c r="K18" s="33">
        <f>+J18-'Water Heaters Retired'!K18+'Water Heaters Purchased'!K18</f>
        <v>0</v>
      </c>
      <c r="L18" s="33">
        <f>+K18-'Water Heaters Retired'!L18+'Water Heaters Purchased'!L18</f>
        <v>0</v>
      </c>
      <c r="M18" s="33">
        <f>+L18-'Water Heaters Retired'!M18+'Water Heaters Purchased'!M18</f>
        <v>0</v>
      </c>
      <c r="N18" s="33">
        <f>+M18-'Water Heaters Retired'!N18+'Water Heaters Purchased'!N18</f>
        <v>0</v>
      </c>
      <c r="O18" s="33">
        <f>+N18-'Water Heaters Retired'!O18+'Water Heaters Purchased'!O18</f>
        <v>0</v>
      </c>
      <c r="P18" s="33">
        <f>+O18-'Water Heaters Retired'!P18+'Water Heaters Purchased'!P18</f>
        <v>0</v>
      </c>
      <c r="Q18" s="33">
        <f>+P18-'Water Heaters Retired'!Q18+'Water Heaters Purchased'!Q18</f>
        <v>0</v>
      </c>
      <c r="R18" s="33">
        <f>+Q18-'Water Heaters Retired'!R18+'Water Heaters Purchased'!R18</f>
        <v>0</v>
      </c>
      <c r="S18" s="33">
        <f>+R18-'Water Heaters Retired'!S18+'Water Heaters Purchased'!S18</f>
        <v>0</v>
      </c>
      <c r="T18" s="33">
        <f>+S18-'Water Heaters Retired'!T18+'Water Heaters Purchased'!T18</f>
        <v>0</v>
      </c>
      <c r="U18" s="33">
        <f>+T18-'Water Heaters Retired'!U18+'Water Heaters Purchased'!U18</f>
        <v>0</v>
      </c>
      <c r="V18" s="33">
        <f>+U18-'Water Heaters Retired'!V18+'Water Heaters Purchased'!V18</f>
        <v>0</v>
      </c>
      <c r="W18" s="33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3">
        <v>0</v>
      </c>
      <c r="C19" s="33">
        <f>+B19-'Water Heaters Retired'!C19+'Water Heaters Purchased'!C19</f>
        <v>0</v>
      </c>
      <c r="D19" s="33">
        <f>+C19-'Water Heaters Retired'!D19+'Water Heaters Purchased'!D19</f>
        <v>0</v>
      </c>
      <c r="E19" s="33">
        <f>+D19-'Water Heaters Retired'!E19+'Water Heaters Purchased'!E19</f>
        <v>0</v>
      </c>
      <c r="F19" s="33">
        <f>+E19-'Water Heaters Retired'!F19+'Water Heaters Purchased'!F19</f>
        <v>0</v>
      </c>
      <c r="G19" s="33">
        <f>+F19-'Water Heaters Retired'!G19+'Water Heaters Purchased'!G19</f>
        <v>0</v>
      </c>
      <c r="H19" s="33">
        <f>+G19-'Water Heaters Retired'!H19+'Water Heaters Purchased'!H19</f>
        <v>0</v>
      </c>
      <c r="I19" s="33">
        <f>+H19-'Water Heaters Retired'!I19+'Water Heaters Purchased'!I19</f>
        <v>0</v>
      </c>
      <c r="J19" s="33">
        <f>+I19-'Water Heaters Retired'!J19+'Water Heaters Purchased'!J19</f>
        <v>0</v>
      </c>
      <c r="K19" s="33">
        <f>+J19-'Water Heaters Retired'!K19+'Water Heaters Purchased'!K19</f>
        <v>0</v>
      </c>
      <c r="L19" s="33">
        <f>+K19-'Water Heaters Retired'!L19+'Water Heaters Purchased'!L19</f>
        <v>0</v>
      </c>
      <c r="M19" s="33">
        <f>+L19-'Water Heaters Retired'!M19+'Water Heaters Purchased'!M19</f>
        <v>0</v>
      </c>
      <c r="N19" s="33">
        <f>+M19-'Water Heaters Retired'!N19+'Water Heaters Purchased'!N19</f>
        <v>0</v>
      </c>
      <c r="O19" s="33">
        <f>+N19-'Water Heaters Retired'!O19+'Water Heaters Purchased'!O19</f>
        <v>0</v>
      </c>
      <c r="P19" s="33">
        <f>+O19-'Water Heaters Retired'!P19+'Water Heaters Purchased'!P19</f>
        <v>0</v>
      </c>
      <c r="Q19" s="33">
        <f>+P19-'Water Heaters Retired'!Q19+'Water Heaters Purchased'!Q19</f>
        <v>0</v>
      </c>
      <c r="R19" s="33">
        <f>+Q19-'Water Heaters Retired'!R19+'Water Heaters Purchased'!R19</f>
        <v>0</v>
      </c>
      <c r="S19" s="33">
        <f>+R19-'Water Heaters Retired'!S19+'Water Heaters Purchased'!S19</f>
        <v>0</v>
      </c>
      <c r="T19" s="33">
        <f>+S19-'Water Heaters Retired'!T19+'Water Heaters Purchased'!T19</f>
        <v>0</v>
      </c>
      <c r="U19" s="33">
        <f>+T19-'Water Heaters Retired'!U19+'Water Heaters Purchased'!U19</f>
        <v>0</v>
      </c>
      <c r="V19" s="33">
        <f>+U19-'Water Heaters Retired'!V19+'Water Heaters Purchased'!V19</f>
        <v>0</v>
      </c>
      <c r="W19" s="33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>
      <c r="A3" s="12" t="s">
        <v>103</v>
      </c>
      <c r="D3" s="12"/>
    </row>
    <row r="4" spans="1:23">
      <c r="A4" s="38" t="str">
        <f>'Device Energy Use'!A4</f>
        <v>Water Heat Ending</v>
      </c>
      <c r="B4" s="39">
        <f>'Water Heater Stock'!B4</f>
        <v>2014</v>
      </c>
      <c r="C4" s="39">
        <f>'Water Heater Stock'!C4</f>
        <v>2015</v>
      </c>
      <c r="D4" s="39">
        <f>'Water Heater Stock'!D4</f>
        <v>2016</v>
      </c>
      <c r="E4" s="39">
        <f>'Water Heater Stock'!E4</f>
        <v>2017</v>
      </c>
      <c r="F4" s="39">
        <f>'Water Heater Stock'!F4</f>
        <v>2018</v>
      </c>
      <c r="G4" s="39">
        <f>'Water Heater Stock'!G4</f>
        <v>2019</v>
      </c>
      <c r="H4" s="39">
        <f>'Water Heater Stock'!H4</f>
        <v>2020</v>
      </c>
      <c r="I4" s="39">
        <f>'Water Heater Stock'!I4</f>
        <v>2021</v>
      </c>
      <c r="J4" s="39">
        <f>'Water Heater Stock'!J4</f>
        <v>2022</v>
      </c>
      <c r="K4" s="39">
        <f>'Water Heater Stock'!K4</f>
        <v>2023</v>
      </c>
      <c r="L4" s="39">
        <f>'Water Heater Stock'!L4</f>
        <v>2024</v>
      </c>
      <c r="M4" s="39">
        <f>'Water Heater Stock'!M4</f>
        <v>2025</v>
      </c>
      <c r="N4" s="39">
        <f>'Water Heater Stock'!N4</f>
        <v>2026</v>
      </c>
      <c r="O4" s="39">
        <f>'Water Heater Stock'!O4</f>
        <v>2027</v>
      </c>
      <c r="P4" s="39">
        <f>'Water Heater Stock'!P4</f>
        <v>2028</v>
      </c>
      <c r="Q4" s="39">
        <f>'Water Heater Stock'!Q4</f>
        <v>2029</v>
      </c>
      <c r="R4" s="39">
        <f>'Water Heater Stock'!R4</f>
        <v>2030</v>
      </c>
      <c r="S4" s="39">
        <f>'Water Heater Stock'!S4</f>
        <v>2031</v>
      </c>
      <c r="T4" s="39">
        <f>'Water Heater Stock'!T4</f>
        <v>2032</v>
      </c>
      <c r="U4" s="39">
        <f>'Water Heater Stock'!U4</f>
        <v>2033</v>
      </c>
      <c r="V4" s="39">
        <f>'Water Heater Stock'!V4</f>
        <v>2034</v>
      </c>
      <c r="W4" s="39">
        <f>'Water Heater Stock'!W4</f>
        <v>2035</v>
      </c>
    </row>
    <row r="5" spans="1:23" ht="16.5" thickBot="1">
      <c r="A5" s="48" t="s">
        <v>44</v>
      </c>
      <c r="B5" s="49">
        <f t="shared" ref="B5:W5" si="0">SUM(B6:B10)</f>
        <v>0</v>
      </c>
      <c r="C5" s="49">
        <f t="shared" si="0"/>
        <v>4109.4285714285716</v>
      </c>
      <c r="D5" s="49">
        <f t="shared" si="0"/>
        <v>4109.4285714285716</v>
      </c>
      <c r="E5" s="49">
        <f t="shared" si="0"/>
        <v>4109.4285714285716</v>
      </c>
      <c r="F5" s="49">
        <f t="shared" si="0"/>
        <v>4109.4285714285725</v>
      </c>
      <c r="G5" s="49">
        <f t="shared" si="0"/>
        <v>4109.4285714285716</v>
      </c>
      <c r="H5" s="49">
        <f t="shared" si="0"/>
        <v>4109.4285714285716</v>
      </c>
      <c r="I5" s="49">
        <f t="shared" si="0"/>
        <v>4109.4285714285716</v>
      </c>
      <c r="J5" s="49">
        <f t="shared" si="0"/>
        <v>4109.4285714285716</v>
      </c>
      <c r="K5" s="49">
        <f t="shared" si="0"/>
        <v>4109.4285714285725</v>
      </c>
      <c r="L5" s="49">
        <f t="shared" si="0"/>
        <v>4109.4285714285725</v>
      </c>
      <c r="M5" s="49">
        <f t="shared" si="0"/>
        <v>4109.4285714285725</v>
      </c>
      <c r="N5" s="49">
        <f t="shared" si="0"/>
        <v>4109.4285714285725</v>
      </c>
      <c r="O5" s="49">
        <f t="shared" si="0"/>
        <v>4109.4285714285725</v>
      </c>
      <c r="P5" s="49">
        <f t="shared" si="0"/>
        <v>4109.4285714285725</v>
      </c>
      <c r="Q5" s="49">
        <f t="shared" si="0"/>
        <v>4109.4285714285725</v>
      </c>
      <c r="R5" s="49">
        <f t="shared" si="0"/>
        <v>4109.4285714285716</v>
      </c>
      <c r="S5" s="49">
        <f t="shared" si="0"/>
        <v>4109.4285714285725</v>
      </c>
      <c r="T5" s="49">
        <f t="shared" si="0"/>
        <v>4109.4285714285716</v>
      </c>
      <c r="U5" s="49">
        <f t="shared" si="0"/>
        <v>4109.4285714285716</v>
      </c>
      <c r="V5" s="49">
        <f t="shared" si="0"/>
        <v>4109.4285714285716</v>
      </c>
      <c r="W5" s="49">
        <f t="shared" si="0"/>
        <v>4109.4285714285725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'Water Heater Stock'!B6/Lifetime</f>
        <v>4109.4285714285716</v>
      </c>
      <c r="D6" s="33">
        <f>'Water Heater Stock'!C6/Lifetime</f>
        <v>3815.9041981120467</v>
      </c>
      <c r="E6" s="33">
        <f>'Water Heater Stock'!D6/Lifetime</f>
        <v>3543.3457872681715</v>
      </c>
      <c r="F6" s="33">
        <f>'Water Heater Stock'!E6/Lifetime</f>
        <v>3290.2557710937249</v>
      </c>
      <c r="G6" s="33">
        <f>'Water Heater Stock'!F6/Lifetime</f>
        <v>3055.2435509025577</v>
      </c>
      <c r="H6" s="33">
        <f>'Water Heater Stock'!G6/Lifetime</f>
        <v>2837.0178564744501</v>
      </c>
      <c r="I6" s="33">
        <f>'Water Heater Stock'!H6/Lifetime</f>
        <v>2634.3796511647638</v>
      </c>
      <c r="J6" s="33">
        <f>'Water Heater Stock'!I6/Lifetime</f>
        <v>2446.2155437919769</v>
      </c>
      <c r="K6" s="33">
        <f>'Water Heater Stock'!J6/Lifetime</f>
        <v>2271.491671104689</v>
      </c>
      <c r="L6" s="33">
        <f>'Water Heater Stock'!K6/Lifetime</f>
        <v>2109.2480172152636</v>
      </c>
      <c r="M6" s="33">
        <f>'Water Heater Stock'!L6/Lifetime</f>
        <v>1958.5931387882169</v>
      </c>
      <c r="N6" s="33">
        <f>'Water Heater Stock'!M6/Lifetime</f>
        <v>1818.6992670008644</v>
      </c>
      <c r="O6" s="33">
        <f>'Water Heater Stock'!N6/Lifetime</f>
        <v>1688.7977593639228</v>
      </c>
      <c r="P6" s="33">
        <f>'Water Heater Stock'!O6/Lifetime</f>
        <v>1568.1748764120712</v>
      </c>
      <c r="Q6" s="33">
        <f>'Water Heater Stock'!P6/Lifetime</f>
        <v>1456.1678600594737</v>
      </c>
      <c r="R6" s="33">
        <f>'Water Heater Stock'!Q6/Lifetime</f>
        <v>1352.161292072765</v>
      </c>
      <c r="S6" s="33">
        <f>'Water Heater Stock'!R6/Lifetime</f>
        <v>1255.583712653111</v>
      </c>
      <c r="T6" s="33">
        <f>'Water Heater Stock'!S6/Lifetime</f>
        <v>1165.9044805481217</v>
      </c>
      <c r="U6" s="33">
        <f>'Water Heater Stock'!T6/Lifetime</f>
        <v>1082.6308574414884</v>
      </c>
      <c r="V6" s="33">
        <f>'Water Heater Stock'!U6/Lifetime</f>
        <v>1005.3053006005023</v>
      </c>
      <c r="W6" s="33">
        <f>'Water Heater Stock'!V6/Lifetime</f>
        <v>933.5029489058951</v>
      </c>
    </row>
    <row r="7" spans="1:23">
      <c r="A7" s="9" t="str">
        <f>+'Water Heater Stock'!A7</f>
        <v>HPWH</v>
      </c>
      <c r="B7" s="33">
        <v>0</v>
      </c>
      <c r="C7" s="33">
        <f>'Water Heater Stock'!B7/Lifetime</f>
        <v>0</v>
      </c>
      <c r="D7" s="33">
        <f>'Water Heater Stock'!C7/Lifetime</f>
        <v>164.55674127292392</v>
      </c>
      <c r="E7" s="33">
        <f>'Water Heater Stock'!D7/Lifetime</f>
        <v>317.28991604608694</v>
      </c>
      <c r="F7" s="33">
        <f>'Water Heater Stock'!E7/Lifetime</f>
        <v>459.04539383656663</v>
      </c>
      <c r="G7" s="33">
        <f>'Water Heater Stock'!F7/Lifetime</f>
        <v>590.6086438848389</v>
      </c>
      <c r="H7" s="33">
        <f>'Water Heater Stock'!G7/Lifetime</f>
        <v>712.70904932936696</v>
      </c>
      <c r="I7" s="33">
        <f>'Water Heater Stock'!H7/Lifetime</f>
        <v>826.02391322108883</v>
      </c>
      <c r="J7" s="33">
        <f>'Water Heater Stock'!I7/Lifetime</f>
        <v>931.18217838930275</v>
      </c>
      <c r="K7" s="33">
        <f>'Water Heater Stock'!J7/Lifetime</f>
        <v>1028.7678815982003</v>
      </c>
      <c r="L7" s="33">
        <f>'Water Heater Stock'!K7/Lifetime</f>
        <v>1119.3233609733531</v>
      </c>
      <c r="M7" s="33">
        <f>'Water Heater Stock'!L7/Lifetime</f>
        <v>1203.352234321793</v>
      </c>
      <c r="N7" s="33">
        <f>'Water Heater Stock'!M7/Lifetime</f>
        <v>1281.3221647104963</v>
      </c>
      <c r="O7" s="33">
        <f>'Water Heater Stock'!N7/Lifetime</f>
        <v>1353.6674284991684</v>
      </c>
      <c r="P7" s="33">
        <f>'Water Heater Stock'!O7/Lifetime</f>
        <v>1420.7912999378009</v>
      </c>
      <c r="Q7" s="33">
        <f>'Water Heater Stock'!P7/Lifetime</f>
        <v>1483.0682654315872</v>
      </c>
      <c r="R7" s="33">
        <f>'Water Heater Stock'!Q7/Lifetime</f>
        <v>1540.8460796398815</v>
      </c>
      <c r="S7" s="33">
        <f>'Water Heater Stock'!R7/Lifetime</f>
        <v>1594.4476747068366</v>
      </c>
      <c r="T7" s="33">
        <f>'Water Heater Stock'!S7/Lifetime</f>
        <v>1644.1729331143827</v>
      </c>
      <c r="U7" s="33">
        <f>'Water Heater Stock'!T7/Lifetime</f>
        <v>1690.3003338988754</v>
      </c>
      <c r="V7" s="33">
        <f>'Water Heater Stock'!U7/Lifetime</f>
        <v>1733.0884812769352</v>
      </c>
      <c r="W7" s="33">
        <f>'Water Heater Stock'!V7/Lifetime</f>
        <v>1772.7775240798833</v>
      </c>
    </row>
    <row r="8" spans="1:23">
      <c r="A8" s="9" t="str">
        <f>+'Water Heater Stock'!A8</f>
        <v>Gas Tank</v>
      </c>
      <c r="B8" s="33">
        <v>0</v>
      </c>
      <c r="C8" s="33">
        <f>'Water Heater Stock'!B8/Lifetime</f>
        <v>0</v>
      </c>
      <c r="D8" s="33">
        <f>'Water Heater Stock'!C8/Lifetime</f>
        <v>9.7636302937243995E-3</v>
      </c>
      <c r="E8" s="33">
        <f>'Water Heater Stock'!D8/Lifetime</f>
        <v>1.8732704775561691E-2</v>
      </c>
      <c r="F8" s="33">
        <f>'Water Heater Stock'!E8/Lifetime</f>
        <v>2.6964912442751576E-2</v>
      </c>
      <c r="G8" s="33">
        <f>'Water Heater Stock'!F8/Lifetime</f>
        <v>3.4513820565684486E-2</v>
      </c>
      <c r="H8" s="33">
        <f>'Water Heater Stock'!G8/Lifetime</f>
        <v>4.1429168845367445E-2</v>
      </c>
      <c r="I8" s="33">
        <f>'Water Heater Stock'!H8/Lifetime</f>
        <v>4.7757142565222663E-2</v>
      </c>
      <c r="J8" s="33">
        <f>'Water Heater Stock'!I8/Lifetime</f>
        <v>5.3540626237684061E-2</v>
      </c>
      <c r="K8" s="33">
        <f>'Water Heater Stock'!J8/Lifetime</f>
        <v>5.8819439138873574E-2</v>
      </c>
      <c r="L8" s="33">
        <f>'Water Heater Stock'!K8/Lifetime</f>
        <v>6.363055402511146E-2</v>
      </c>
      <c r="M8" s="33">
        <f>'Water Heater Stock'!L8/Lifetime</f>
        <v>6.8008300232596589E-2</v>
      </c>
      <c r="N8" s="33">
        <f>'Water Heater Stock'!M8/Lifetime</f>
        <v>7.1984552275775854E-2</v>
      </c>
      <c r="O8" s="33">
        <f>'Water Heater Stock'!N8/Lifetime</f>
        <v>7.558890498023528E-2</v>
      </c>
      <c r="P8" s="33">
        <f>'Water Heater Stock'!O8/Lifetime</f>
        <v>7.8848836111949885E-2</v>
      </c>
      <c r="Q8" s="33">
        <f>'Water Heater Stock'!P8/Lifetime</f>
        <v>8.1789857396021043E-2</v>
      </c>
      <c r="R8" s="33">
        <f>'Water Heater Stock'!Q8/Lifetime</f>
        <v>8.4435654754228012E-2</v>
      </c>
      <c r="S8" s="33">
        <f>'Water Heater Stock'!R8/Lifetime</f>
        <v>8.6808218531476841E-2</v>
      </c>
      <c r="T8" s="33">
        <f>'Water Heater Stock'!S8/Lifetime</f>
        <v>8.8927964426217837E-2</v>
      </c>
      <c r="U8" s="33">
        <f>'Water Heater Stock'!T8/Lifetime</f>
        <v>9.0813845788820319E-2</v>
      </c>
      <c r="V8" s="33">
        <f>'Water Heater Stock'!U8/Lifetime</f>
        <v>9.2483457904460095E-2</v>
      </c>
      <c r="W8" s="33">
        <f>'Water Heater Stock'!V8/Lifetime</f>
        <v>9.395313483303E-2</v>
      </c>
    </row>
    <row r="9" spans="1:23">
      <c r="A9" s="9" t="str">
        <f>+'Water Heater Stock'!A9</f>
        <v>Instant Gas</v>
      </c>
      <c r="B9" s="33">
        <v>0</v>
      </c>
      <c r="C9" s="33">
        <f>'Water Heater Stock'!B9/Lifetime</f>
        <v>0</v>
      </c>
      <c r="D9" s="33">
        <f>'Water Heater Stock'!C9/Lifetime</f>
        <v>39.559193206103238</v>
      </c>
      <c r="E9" s="33">
        <f>'Water Heater Stock'!D9/Lifetime</f>
        <v>76.447261910336167</v>
      </c>
      <c r="F9" s="33">
        <f>'Water Heater Stock'!E9/Lifetime</f>
        <v>110.85551980835729</v>
      </c>
      <c r="G9" s="33">
        <f>'Water Heater Stock'!F9/Lifetime</f>
        <v>142.96159725338083</v>
      </c>
      <c r="H9" s="33">
        <f>'Water Heater Stock'!G9/Lifetime</f>
        <v>172.9304182243238</v>
      </c>
      <c r="I9" s="33">
        <f>'Water Heater Stock'!H9/Lifetime</f>
        <v>200.91510751259602</v>
      </c>
      <c r="J9" s="33">
        <f>'Water Heater Stock'!I9/Lifetime</f>
        <v>227.05783311225701</v>
      </c>
      <c r="K9" s="33">
        <f>'Water Heater Stock'!J9/Lifetime</f>
        <v>251.49058844221722</v>
      </c>
      <c r="L9" s="33">
        <f>'Water Heater Stock'!K9/Lifetime</f>
        <v>274.33591869854547</v>
      </c>
      <c r="M9" s="33">
        <f>'Water Heater Stock'!L9/Lifetime</f>
        <v>295.70759532794335</v>
      </c>
      <c r="N9" s="33">
        <f>'Water Heater Stock'!M9/Lifetime</f>
        <v>315.71124232837519</v>
      </c>
      <c r="O9" s="33">
        <f>'Water Heater Stock'!N9/Lifetime</f>
        <v>334.44491781813161</v>
      </c>
      <c r="P9" s="33">
        <f>'Water Heater Stock'!O9/Lifetime</f>
        <v>351.9996540688025</v>
      </c>
      <c r="Q9" s="33">
        <f>'Water Heater Stock'!P9/Lifetime</f>
        <v>368.45995896938683</v>
      </c>
      <c r="R9" s="33">
        <f>'Water Heater Stock'!Q9/Lifetime</f>
        <v>383.9042816768262</v>
      </c>
      <c r="S9" s="33">
        <f>'Water Heater Stock'!R9/Lifetime</f>
        <v>398.40544501144149</v>
      </c>
      <c r="T9" s="33">
        <f>'Water Heater Stock'!S9/Lifetime</f>
        <v>412.03104697300535</v>
      </c>
      <c r="U9" s="33">
        <f>'Water Heater Stock'!T9/Lifetime</f>
        <v>424.8438335834885</v>
      </c>
      <c r="V9" s="33">
        <f>'Water Heater Stock'!U9/Lifetime</f>
        <v>436.90204510494112</v>
      </c>
      <c r="W9" s="33">
        <f>'Water Heater Stock'!V9/Lifetime</f>
        <v>448.25973753465354</v>
      </c>
    </row>
    <row r="10" spans="1:23">
      <c r="A10" s="9" t="str">
        <f>+'Water Heater Stock'!A10</f>
        <v>Condensing Gas</v>
      </c>
      <c r="B10" s="33">
        <v>0</v>
      </c>
      <c r="C10" s="33">
        <f>'Water Heater Stock'!B10/Lifetime</f>
        <v>0</v>
      </c>
      <c r="D10" s="33">
        <f>'Water Heater Stock'!C10/Lifetime</f>
        <v>89.398675207203866</v>
      </c>
      <c r="E10" s="33">
        <f>'Water Heater Stock'!D10/Lifetime</f>
        <v>172.3268734992013</v>
      </c>
      <c r="F10" s="33">
        <f>'Water Heater Stock'!E10/Lifetime</f>
        <v>249.24492177748033</v>
      </c>
      <c r="G10" s="33">
        <f>'Water Heater Stock'!F10/Lifetime</f>
        <v>320.58026556722871</v>
      </c>
      <c r="H10" s="33">
        <f>'Water Heater Stock'!G10/Lifetime</f>
        <v>386.72981823158534</v>
      </c>
      <c r="I10" s="33">
        <f>'Water Heater Stock'!H10/Lifetime</f>
        <v>448.06214238755803</v>
      </c>
      <c r="J10" s="33">
        <f>'Water Heater Stock'!I10/Lifetime</f>
        <v>504.9194755087974</v>
      </c>
      <c r="K10" s="33">
        <f>'Water Heater Stock'!J10/Lifetime</f>
        <v>557.61961084432653</v>
      </c>
      <c r="L10" s="33">
        <f>'Water Heater Stock'!K10/Lifetime</f>
        <v>606.4576439873847</v>
      </c>
      <c r="M10" s="33">
        <f>'Water Heater Stock'!L10/Lifetime</f>
        <v>651.70759469038626</v>
      </c>
      <c r="N10" s="33">
        <f>'Water Heater Stock'!M10/Lifetime</f>
        <v>693.62391283656063</v>
      </c>
      <c r="O10" s="33">
        <f>'Water Heater Stock'!N10/Lifetime</f>
        <v>732.44287684236929</v>
      </c>
      <c r="P10" s="33">
        <f>'Water Heater Stock'!O10/Lifetime</f>
        <v>768.38389217378574</v>
      </c>
      <c r="Q10" s="33">
        <f>'Water Heater Stock'!P10/Lifetime</f>
        <v>801.6506971107284</v>
      </c>
      <c r="R10" s="33">
        <f>'Water Heater Stock'!Q10/Lifetime</f>
        <v>832.43248238434524</v>
      </c>
      <c r="S10" s="33">
        <f>'Water Heater Stock'!R10/Lifetime</f>
        <v>860.90493083865169</v>
      </c>
      <c r="T10" s="33">
        <f>'Water Heater Stock'!S10/Lifetime</f>
        <v>887.23118282863618</v>
      </c>
      <c r="U10" s="33">
        <f>'Water Heater Stock'!T10/Lifetime</f>
        <v>911.56273265893071</v>
      </c>
      <c r="V10" s="33">
        <f>'Water Heater Stock'!U10/Lifetime</f>
        <v>934.04026098828865</v>
      </c>
      <c r="W10" s="33">
        <f>'Water Heater Stock'!V10/Lifetime</f>
        <v>954.79440777330694</v>
      </c>
    </row>
    <row r="12" spans="1:23">
      <c r="A12" s="12" t="s">
        <v>104</v>
      </c>
      <c r="D12" s="12"/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1">SUM(B15:B19)</f>
        <v>0</v>
      </c>
      <c r="C14" s="49">
        <f t="shared" si="1"/>
        <v>4109.4285714285716</v>
      </c>
      <c r="D14" s="49">
        <f t="shared" si="1"/>
        <v>4109.4285714285716</v>
      </c>
      <c r="E14" s="49">
        <f t="shared" si="1"/>
        <v>4109.4285714285716</v>
      </c>
      <c r="F14" s="49">
        <f t="shared" si="1"/>
        <v>4109.4285714285716</v>
      </c>
      <c r="G14" s="49">
        <f t="shared" si="1"/>
        <v>4109.4285714285716</v>
      </c>
      <c r="H14" s="49">
        <f t="shared" si="1"/>
        <v>4109.4285714285706</v>
      </c>
      <c r="I14" s="49">
        <f t="shared" si="1"/>
        <v>4109.4285714285706</v>
      </c>
      <c r="J14" s="49">
        <f t="shared" si="1"/>
        <v>4109.4285714285706</v>
      </c>
      <c r="K14" s="49">
        <f t="shared" si="1"/>
        <v>4109.4285714285706</v>
      </c>
      <c r="L14" s="49">
        <f t="shared" si="1"/>
        <v>4109.4285714285706</v>
      </c>
      <c r="M14" s="49">
        <f t="shared" si="1"/>
        <v>4109.4285714285706</v>
      </c>
      <c r="N14" s="49">
        <f t="shared" si="1"/>
        <v>4109.4285714285706</v>
      </c>
      <c r="O14" s="49">
        <f t="shared" si="1"/>
        <v>4109.4285714285706</v>
      </c>
      <c r="P14" s="49">
        <f t="shared" si="1"/>
        <v>4109.4285714285706</v>
      </c>
      <c r="Q14" s="49">
        <f t="shared" si="1"/>
        <v>4109.4285714285706</v>
      </c>
      <c r="R14" s="49">
        <f t="shared" si="1"/>
        <v>4109.4285714285706</v>
      </c>
      <c r="S14" s="49">
        <f t="shared" si="1"/>
        <v>4109.4285714285706</v>
      </c>
      <c r="T14" s="49">
        <f t="shared" si="1"/>
        <v>4109.4285714285706</v>
      </c>
      <c r="U14" s="49">
        <f t="shared" si="1"/>
        <v>4109.4285714285706</v>
      </c>
      <c r="V14" s="49">
        <f t="shared" si="1"/>
        <v>4109.4285714285706</v>
      </c>
      <c r="W14" s="49">
        <f t="shared" si="1"/>
        <v>4109.4285714285716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'Water Heater Stock'!B15/Lifetime</f>
        <v>4109.4285714285716</v>
      </c>
      <c r="D15" s="33">
        <f>'Water Heater Stock'!C15/Lifetime</f>
        <v>3815.8979591836733</v>
      </c>
      <c r="E15" s="33">
        <f>'Water Heater Stock'!D15/Lifetime</f>
        <v>3543.3338192419824</v>
      </c>
      <c r="F15" s="33">
        <f>'Water Heater Stock'!E15/Lifetime</f>
        <v>3290.2385464389836</v>
      </c>
      <c r="G15" s="33">
        <f>'Water Heater Stock'!F15/Lifetime</f>
        <v>3055.2215074076275</v>
      </c>
      <c r="H15" s="33">
        <f>'Water Heater Stock'!G15/Lifetime</f>
        <v>2836.9913997356539</v>
      </c>
      <c r="I15" s="33">
        <f>'Water Heater Stock'!H15/Lifetime</f>
        <v>2634.3491568973927</v>
      </c>
      <c r="J15" s="33">
        <f>'Water Heater Stock'!I15/Lifetime</f>
        <v>2446.1813599761508</v>
      </c>
      <c r="K15" s="33">
        <f>'Water Heater Stock'!J15/Lifetime</f>
        <v>2271.4541199778541</v>
      </c>
      <c r="L15" s="33">
        <f>'Water Heater Stock'!K15/Lifetime</f>
        <v>2109.2073971222931</v>
      </c>
      <c r="M15" s="33">
        <f>'Water Heater Stock'!L15/Lifetime</f>
        <v>1958.5497258992723</v>
      </c>
      <c r="N15" s="33">
        <f>'Water Heater Stock'!M15/Lifetime</f>
        <v>1818.6533169064671</v>
      </c>
      <c r="O15" s="33">
        <f>'Water Heater Stock'!N15/Lifetime</f>
        <v>1688.7495085560051</v>
      </c>
      <c r="P15" s="33">
        <f>'Water Heater Stock'!O15/Lifetime</f>
        <v>1568.1245436591475</v>
      </c>
      <c r="Q15" s="33">
        <f>'Water Heater Stock'!P15/Lifetime</f>
        <v>1456.1156476834942</v>
      </c>
      <c r="R15" s="33">
        <f>'Water Heater Stock'!Q15/Lifetime</f>
        <v>1352.107387134673</v>
      </c>
      <c r="S15" s="33">
        <f>'Water Heater Stock'!R15/Lifetime</f>
        <v>1255.5282880536249</v>
      </c>
      <c r="T15" s="33">
        <f>'Water Heater Stock'!S15/Lifetime</f>
        <v>1165.8476960497944</v>
      </c>
      <c r="U15" s="33">
        <f>'Water Heater Stock'!T15/Lifetime</f>
        <v>1082.5728606176665</v>
      </c>
      <c r="V15" s="33">
        <f>'Water Heater Stock'!U15/Lifetime</f>
        <v>1005.2462277164044</v>
      </c>
      <c r="W15" s="33">
        <f>'Water Heater Stock'!V15/Lifetime</f>
        <v>933.44292573666121</v>
      </c>
    </row>
    <row r="16" spans="1:23">
      <c r="A16" s="9" t="str">
        <f>+'Water Heater Stock'!A16</f>
        <v>HPWH</v>
      </c>
      <c r="B16" s="33">
        <v>0</v>
      </c>
      <c r="C16" s="33">
        <f>'Water Heater Stock'!B16/Lifetime</f>
        <v>0</v>
      </c>
      <c r="D16" s="33">
        <f>'Water Heater Stock'!C16/Lifetime</f>
        <v>293.53061224489795</v>
      </c>
      <c r="E16" s="33">
        <f>'Water Heater Stock'!D16/Lifetime</f>
        <v>566.09475218658895</v>
      </c>
      <c r="F16" s="33">
        <f>'Water Heater Stock'!E16/Lifetime</f>
        <v>819.19002498958776</v>
      </c>
      <c r="G16" s="33">
        <f>'Water Heater Stock'!F16/Lifetime</f>
        <v>1054.2070640209438</v>
      </c>
      <c r="H16" s="33">
        <f>'Water Heater Stock'!G16/Lifetime</f>
        <v>1272.437171692917</v>
      </c>
      <c r="I16" s="33">
        <f>'Water Heater Stock'!H16/Lifetime</f>
        <v>1475.0794145311779</v>
      </c>
      <c r="J16" s="33">
        <f>'Water Heater Stock'!I16/Lifetime</f>
        <v>1663.2472114524203</v>
      </c>
      <c r="K16" s="33">
        <f>'Water Heater Stock'!J16/Lifetime</f>
        <v>1837.9744514507167</v>
      </c>
      <c r="L16" s="33">
        <f>'Water Heater Stock'!K16/Lifetime</f>
        <v>2000.2211743062778</v>
      </c>
      <c r="M16" s="33">
        <f>'Water Heater Stock'!L16/Lifetime</f>
        <v>2150.8788455292988</v>
      </c>
      <c r="N16" s="33">
        <f>'Water Heater Stock'!M16/Lifetime</f>
        <v>2290.7752545221038</v>
      </c>
      <c r="O16" s="33">
        <f>'Water Heater Stock'!N16/Lifetime</f>
        <v>2420.6790628725653</v>
      </c>
      <c r="P16" s="33">
        <f>'Water Heater Stock'!O16/Lifetime</f>
        <v>2541.3040277694231</v>
      </c>
      <c r="Q16" s="33">
        <f>'Water Heater Stock'!P16/Lifetime</f>
        <v>2653.3129237450767</v>
      </c>
      <c r="R16" s="33">
        <f>'Water Heater Stock'!Q16/Lifetime</f>
        <v>2757.3211842938977</v>
      </c>
      <c r="S16" s="33">
        <f>'Water Heater Stock'!R16/Lifetime</f>
        <v>2853.900283374946</v>
      </c>
      <c r="T16" s="33">
        <f>'Water Heater Stock'!S16/Lifetime</f>
        <v>2943.580875378776</v>
      </c>
      <c r="U16" s="33">
        <f>'Water Heater Stock'!T16/Lifetime</f>
        <v>3026.8557108109044</v>
      </c>
      <c r="V16" s="33">
        <f>'Water Heater Stock'!U16/Lifetime</f>
        <v>3104.1823437121666</v>
      </c>
      <c r="W16" s="33">
        <f>'Water Heater Stock'!V16/Lifetime</f>
        <v>3175.9856456919101</v>
      </c>
    </row>
    <row r="17" spans="1:23">
      <c r="A17" s="9" t="str">
        <f>+'Water Heater Stock'!A17</f>
        <v>Gas Tank</v>
      </c>
      <c r="B17" s="33">
        <v>0</v>
      </c>
      <c r="C17" s="33">
        <f>'Water Heater Stock'!B17/Lifetime</f>
        <v>0</v>
      </c>
      <c r="D17" s="33">
        <f>'Water Heater Stock'!C17/Lifetime</f>
        <v>0</v>
      </c>
      <c r="E17" s="33">
        <f>'Water Heater Stock'!D17/Lifetime</f>
        <v>0</v>
      </c>
      <c r="F17" s="33">
        <f>'Water Heater Stock'!E17/Lifetime</f>
        <v>0</v>
      </c>
      <c r="G17" s="33">
        <f>'Water Heater Stock'!F17/Lifetime</f>
        <v>0</v>
      </c>
      <c r="H17" s="33">
        <f>'Water Heater Stock'!G17/Lifetime</f>
        <v>0</v>
      </c>
      <c r="I17" s="33">
        <f>'Water Heater Stock'!H17/Lifetime</f>
        <v>0</v>
      </c>
      <c r="J17" s="33">
        <f>'Water Heater Stock'!I17/Lifetime</f>
        <v>0</v>
      </c>
      <c r="K17" s="33">
        <f>'Water Heater Stock'!J17/Lifetime</f>
        <v>0</v>
      </c>
      <c r="L17" s="33">
        <f>'Water Heater Stock'!K17/Lifetime</f>
        <v>0</v>
      </c>
      <c r="M17" s="33">
        <f>'Water Heater Stock'!L17/Lifetime</f>
        <v>0</v>
      </c>
      <c r="N17" s="33">
        <f>'Water Heater Stock'!M17/Lifetime</f>
        <v>0</v>
      </c>
      <c r="O17" s="33">
        <f>'Water Heater Stock'!N17/Lifetime</f>
        <v>0</v>
      </c>
      <c r="P17" s="33">
        <f>'Water Heater Stock'!O17/Lifetime</f>
        <v>0</v>
      </c>
      <c r="Q17" s="33">
        <f>'Water Heater Stock'!P17/Lifetime</f>
        <v>0</v>
      </c>
      <c r="R17" s="33">
        <f>'Water Heater Stock'!Q17/Lifetime</f>
        <v>0</v>
      </c>
      <c r="S17" s="33">
        <f>'Water Heater Stock'!R17/Lifetime</f>
        <v>0</v>
      </c>
      <c r="T17" s="33">
        <f>'Water Heater Stock'!S17/Lifetime</f>
        <v>0</v>
      </c>
      <c r="U17" s="33">
        <f>'Water Heater Stock'!T17/Lifetime</f>
        <v>0</v>
      </c>
      <c r="V17" s="33">
        <f>'Water Heater Stock'!U17/Lifetime</f>
        <v>0</v>
      </c>
      <c r="W17" s="33">
        <f>'Water Heater Stock'!V17/Lifetime</f>
        <v>0</v>
      </c>
    </row>
    <row r="18" spans="1:23">
      <c r="A18" s="9" t="str">
        <f>+'Water Heater Stock'!A18</f>
        <v>Instant Gas</v>
      </c>
      <c r="B18" s="33">
        <v>0</v>
      </c>
      <c r="C18" s="33">
        <f>'Water Heater Stock'!B18/Lifetime</f>
        <v>0</v>
      </c>
      <c r="D18" s="33">
        <f>'Water Heater Stock'!C18/Lifetime</f>
        <v>0</v>
      </c>
      <c r="E18" s="33">
        <f>'Water Heater Stock'!D18/Lifetime</f>
        <v>0</v>
      </c>
      <c r="F18" s="33">
        <f>'Water Heater Stock'!E18/Lifetime</f>
        <v>0</v>
      </c>
      <c r="G18" s="33">
        <f>'Water Heater Stock'!F18/Lifetime</f>
        <v>0</v>
      </c>
      <c r="H18" s="33">
        <f>'Water Heater Stock'!G18/Lifetime</f>
        <v>0</v>
      </c>
      <c r="I18" s="33">
        <f>'Water Heater Stock'!H18/Lifetime</f>
        <v>0</v>
      </c>
      <c r="J18" s="33">
        <f>'Water Heater Stock'!I18/Lifetime</f>
        <v>0</v>
      </c>
      <c r="K18" s="33">
        <f>'Water Heater Stock'!J18/Lifetime</f>
        <v>0</v>
      </c>
      <c r="L18" s="33">
        <f>'Water Heater Stock'!K18/Lifetime</f>
        <v>0</v>
      </c>
      <c r="M18" s="33">
        <f>'Water Heater Stock'!L18/Lifetime</f>
        <v>0</v>
      </c>
      <c r="N18" s="33">
        <f>'Water Heater Stock'!M18/Lifetime</f>
        <v>0</v>
      </c>
      <c r="O18" s="33">
        <f>'Water Heater Stock'!N18/Lifetime</f>
        <v>0</v>
      </c>
      <c r="P18" s="33">
        <f>'Water Heater Stock'!O18/Lifetime</f>
        <v>0</v>
      </c>
      <c r="Q18" s="33">
        <f>'Water Heater Stock'!P18/Lifetime</f>
        <v>0</v>
      </c>
      <c r="R18" s="33">
        <f>'Water Heater Stock'!Q18/Lifetime</f>
        <v>0</v>
      </c>
      <c r="S18" s="33">
        <f>'Water Heater Stock'!R18/Lifetime</f>
        <v>0</v>
      </c>
      <c r="T18" s="33">
        <f>'Water Heater Stock'!S18/Lifetime</f>
        <v>0</v>
      </c>
      <c r="U18" s="33">
        <f>'Water Heater Stock'!T18/Lifetime</f>
        <v>0</v>
      </c>
      <c r="V18" s="33">
        <f>'Water Heater Stock'!U18/Lifetime</f>
        <v>0</v>
      </c>
      <c r="W18" s="33">
        <f>'Water Heater Stock'!V18/Lifetime</f>
        <v>0</v>
      </c>
    </row>
    <row r="19" spans="1:23">
      <c r="A19" s="9" t="str">
        <f>+'Water Heater Stock'!A19</f>
        <v>Condensing Gas</v>
      </c>
      <c r="B19" s="33">
        <v>0</v>
      </c>
      <c r="C19" s="33">
        <f>'Water Heater Stock'!B19/Lifetime</f>
        <v>0</v>
      </c>
      <c r="D19" s="33">
        <f>'Water Heater Stock'!C19/Lifetime</f>
        <v>0</v>
      </c>
      <c r="E19" s="33">
        <f>'Water Heater Stock'!D19/Lifetime</f>
        <v>0</v>
      </c>
      <c r="F19" s="33">
        <f>'Water Heater Stock'!E19/Lifetime</f>
        <v>0</v>
      </c>
      <c r="G19" s="33">
        <f>'Water Heater Stock'!F19/Lifetime</f>
        <v>0</v>
      </c>
      <c r="H19" s="33">
        <f>'Water Heater Stock'!G19/Lifetime</f>
        <v>0</v>
      </c>
      <c r="I19" s="33">
        <f>'Water Heater Stock'!H19/Lifetime</f>
        <v>0</v>
      </c>
      <c r="J19" s="33">
        <f>'Water Heater Stock'!I19/Lifetime</f>
        <v>0</v>
      </c>
      <c r="K19" s="33">
        <f>'Water Heater Stock'!J19/Lifetime</f>
        <v>0</v>
      </c>
      <c r="L19" s="33">
        <f>'Water Heater Stock'!K19/Lifetime</f>
        <v>0</v>
      </c>
      <c r="M19" s="33">
        <f>'Water Heater Stock'!L19/Lifetime</f>
        <v>0</v>
      </c>
      <c r="N19" s="33">
        <f>'Water Heater Stock'!M19/Lifetime</f>
        <v>0</v>
      </c>
      <c r="O19" s="33">
        <f>'Water Heater Stock'!N19/Lifetime</f>
        <v>0</v>
      </c>
      <c r="P19" s="33">
        <f>'Water Heater Stock'!O19/Lifetime</f>
        <v>0</v>
      </c>
      <c r="Q19" s="33">
        <f>'Water Heater Stock'!P19/Lifetime</f>
        <v>0</v>
      </c>
      <c r="R19" s="33">
        <f>'Water Heater Stock'!Q19/Lifetime</f>
        <v>0</v>
      </c>
      <c r="S19" s="33">
        <f>'Water Heater Stock'!R19/Lifetime</f>
        <v>0</v>
      </c>
      <c r="T19" s="33">
        <f>'Water Heater Stock'!S19/Lifetime</f>
        <v>0</v>
      </c>
      <c r="U19" s="33">
        <f>'Water Heater Stock'!T19/Lifetime</f>
        <v>0</v>
      </c>
      <c r="V19" s="33">
        <f>'Water Heater Stock'!U19/Lifetime</f>
        <v>0</v>
      </c>
      <c r="W19" s="33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>
      <c r="A3" s="12" t="s">
        <v>101</v>
      </c>
    </row>
    <row r="4" spans="1:23">
      <c r="A4" s="38" t="str">
        <f>'Device Energy Use'!A4</f>
        <v>Water Heat Ending</v>
      </c>
      <c r="B4" s="39">
        <f>+'Water Heater Stock'!B4</f>
        <v>2014</v>
      </c>
      <c r="C4" s="39">
        <f>+'Water Heater Stock'!C4</f>
        <v>2015</v>
      </c>
      <c r="D4" s="39">
        <f>+'Water Heater Stock'!D4</f>
        <v>2016</v>
      </c>
      <c r="E4" s="39">
        <f>+'Water Heater Stock'!E4</f>
        <v>2017</v>
      </c>
      <c r="F4" s="39">
        <f>+'Water Heater Stock'!F4</f>
        <v>2018</v>
      </c>
      <c r="G4" s="39">
        <f>+'Water Heater Stock'!G4</f>
        <v>2019</v>
      </c>
      <c r="H4" s="39">
        <f>+'Water Heater Stock'!H4</f>
        <v>2020</v>
      </c>
      <c r="I4" s="39">
        <f>+'Water Heater Stock'!I4</f>
        <v>2021</v>
      </c>
      <c r="J4" s="39">
        <f>+'Water Heater Stock'!J4</f>
        <v>2022</v>
      </c>
      <c r="K4" s="39">
        <f>+'Water Heater Stock'!K4</f>
        <v>2023</v>
      </c>
      <c r="L4" s="39">
        <f>+'Water Heater Stock'!L4</f>
        <v>2024</v>
      </c>
      <c r="M4" s="39">
        <f>+'Water Heater Stock'!M4</f>
        <v>2025</v>
      </c>
      <c r="N4" s="39">
        <f>+'Water Heater Stock'!N4</f>
        <v>2026</v>
      </c>
      <c r="O4" s="39">
        <f>+'Water Heater Stock'!O4</f>
        <v>2027</v>
      </c>
      <c r="P4" s="39">
        <f>+'Water Heater Stock'!P4</f>
        <v>2028</v>
      </c>
      <c r="Q4" s="39">
        <f>+'Water Heater Stock'!Q4</f>
        <v>2029</v>
      </c>
      <c r="R4" s="39">
        <f>+'Water Heater Stock'!R4</f>
        <v>2030</v>
      </c>
      <c r="S4" s="39">
        <f>+'Water Heater Stock'!S4</f>
        <v>2031</v>
      </c>
      <c r="T4" s="39">
        <f>+'Water Heater Stock'!T4</f>
        <v>2032</v>
      </c>
      <c r="U4" s="39">
        <f>+'Water Heater Stock'!U4</f>
        <v>2033</v>
      </c>
      <c r="V4" s="39">
        <f>+'Water Heater Stock'!V4</f>
        <v>2034</v>
      </c>
      <c r="W4" s="39">
        <f>+'Water Heater Stock'!W4</f>
        <v>2035</v>
      </c>
    </row>
    <row r="5" spans="1:23" s="28" customFormat="1" ht="16.5" thickBot="1">
      <c r="A5" s="48" t="s">
        <v>44</v>
      </c>
      <c r="B5" s="49">
        <f t="shared" ref="B5:W5" si="0">SUM(B6:B10)</f>
        <v>0</v>
      </c>
      <c r="C5" s="49">
        <f t="shared" ref="C5" si="1">SUM(C6:C10)</f>
        <v>4109.4285714285716</v>
      </c>
      <c r="D5" s="49">
        <f t="shared" si="0"/>
        <v>4109.4285714285716</v>
      </c>
      <c r="E5" s="49">
        <f t="shared" si="0"/>
        <v>4109.4285714285706</v>
      </c>
      <c r="F5" s="49">
        <f t="shared" si="0"/>
        <v>4109.4285714285725</v>
      </c>
      <c r="G5" s="49">
        <f t="shared" si="0"/>
        <v>4109.4285714285716</v>
      </c>
      <c r="H5" s="49">
        <f t="shared" si="0"/>
        <v>4109.4285714285716</v>
      </c>
      <c r="I5" s="49">
        <f t="shared" si="0"/>
        <v>4109.4285714285725</v>
      </c>
      <c r="J5" s="49">
        <f t="shared" si="0"/>
        <v>4109.4285714285706</v>
      </c>
      <c r="K5" s="49">
        <f t="shared" si="0"/>
        <v>4109.4285714285725</v>
      </c>
      <c r="L5" s="49">
        <f t="shared" si="0"/>
        <v>4109.4285714285716</v>
      </c>
      <c r="M5" s="49">
        <f t="shared" si="0"/>
        <v>4109.4285714285725</v>
      </c>
      <c r="N5" s="49">
        <f t="shared" si="0"/>
        <v>4109.4285714285716</v>
      </c>
      <c r="O5" s="49">
        <f t="shared" si="0"/>
        <v>4109.4285714285725</v>
      </c>
      <c r="P5" s="49">
        <f t="shared" si="0"/>
        <v>4109.4285714285716</v>
      </c>
      <c r="Q5" s="49">
        <f t="shared" si="0"/>
        <v>4109.4285714285725</v>
      </c>
      <c r="R5" s="49">
        <f t="shared" si="0"/>
        <v>4109.4285714285716</v>
      </c>
      <c r="S5" s="49">
        <f t="shared" si="0"/>
        <v>4109.4285714285725</v>
      </c>
      <c r="T5" s="49">
        <f t="shared" si="0"/>
        <v>4109.4285714285716</v>
      </c>
      <c r="U5" s="49">
        <f t="shared" si="0"/>
        <v>4109.4285714285716</v>
      </c>
      <c r="V5" s="49">
        <f t="shared" si="0"/>
        <v>4109.4285714285716</v>
      </c>
      <c r="W5" s="49">
        <f t="shared" si="0"/>
        <v>4109.4285714285725</v>
      </c>
    </row>
    <row r="6" spans="1:23" ht="16.5" thickTop="1">
      <c r="A6" s="9" t="str">
        <f>+'Water Heater Stock'!A6</f>
        <v>Electric Resistance</v>
      </c>
      <c r="B6" s="33">
        <v>0</v>
      </c>
      <c r="C6" s="33">
        <f>SUM('Water Heaters Retired'!C$6:C$10)*'Marginal Market Share'!C5</f>
        <v>8.734499722538866E-2</v>
      </c>
      <c r="D6" s="33">
        <f>SUM('Water Heaters Retired'!D$6:D$10)*'Marginal Market Share'!D5</f>
        <v>8.6446297793317431E-2</v>
      </c>
      <c r="E6" s="33">
        <f>SUM('Water Heaters Retired'!E$6:E$10)*'Marginal Market Share'!E5</f>
        <v>8.556082591329256E-2</v>
      </c>
      <c r="F6" s="33">
        <f>SUM('Water Heaters Retired'!F$6:F$10)*'Marginal Market Share'!F5</f>
        <v>8.4688417386447487E-2</v>
      </c>
      <c r="G6" s="33">
        <f>SUM('Water Heaters Retired'!G$6:G$10)*'Marginal Market Share'!G5</f>
        <v>8.3828909055543369E-2</v>
      </c>
      <c r="H6" s="33">
        <f>SUM('Water Heaters Retired'!H$6:H$10)*'Marginal Market Share'!H5</f>
        <v>8.2982138836604921E-2</v>
      </c>
      <c r="I6" s="33">
        <f>SUM('Water Heaters Retired'!I$6:I$10)*'Marginal Market Share'!I5</f>
        <v>8.2147945749035278E-2</v>
      </c>
      <c r="J6" s="33">
        <f>SUM('Water Heaters Retired'!J$6:J$10)*'Marginal Market Share'!J5</f>
        <v>8.1326169944234222E-2</v>
      </c>
      <c r="K6" s="33">
        <f>SUM('Water Heaters Retired'!K$6:K$10)*'Marginal Market Share'!K5</f>
        <v>8.0516652732749647E-2</v>
      </c>
      <c r="L6" s="33">
        <f>SUM('Water Heaters Retired'!L$6:L$10)*'Marginal Market Share'!L5</f>
        <v>7.9719236609986505E-2</v>
      </c>
      <c r="M6" s="33">
        <f>SUM('Water Heaters Retired'!M$6:M$10)*'Marginal Market Share'!M5</f>
        <v>7.8933765280502499E-2</v>
      </c>
      <c r="N6" s="33">
        <f>SUM('Water Heaters Retired'!N$6:N$10)*'Marginal Market Share'!N5</f>
        <v>7.816008368091841E-2</v>
      </c>
      <c r="O6" s="33">
        <f>SUM('Water Heaters Retired'!O$6:O$10)*'Marginal Market Share'!O5</f>
        <v>7.7398038001470507E-2</v>
      </c>
      <c r="P6" s="33">
        <f>SUM('Water Heaters Retired'!P$6:P$10)*'Marginal Market Share'!P5</f>
        <v>7.6647475706235119E-2</v>
      </c>
      <c r="Q6" s="33">
        <f>SUM('Water Heaters Retired'!Q$6:Q$10)*'Marginal Market Share'!Q5</f>
        <v>7.5908245552053152E-2</v>
      </c>
      <c r="R6" s="33">
        <f>SUM('Water Heaters Retired'!R$6:R$10)*'Marginal Market Share'!R5</f>
        <v>7.5180197606184052E-2</v>
      </c>
      <c r="S6" s="33">
        <f>SUM('Water Heaters Retired'!S$6:S$10)*'Marginal Market Share'!S5</f>
        <v>7.4463183262718974E-2</v>
      </c>
      <c r="T6" s="33">
        <f>SUM('Water Heaters Retired'!T$6:T$10)*'Marginal Market Share'!T5</f>
        <v>7.3757055257781312E-2</v>
      </c>
      <c r="U6" s="33">
        <f>SUM('Water Heaters Retired'!U$6:U$10)*'Marginal Market Share'!U5</f>
        <v>7.306166768354562E-2</v>
      </c>
      <c r="V6" s="33">
        <f>SUM('Water Heaters Retired'!V$6:V$10)*'Marginal Market Share'!V5</f>
        <v>7.2376876001103291E-2</v>
      </c>
      <c r="W6" s="33">
        <f>SUM('Water Heaters Retired'!W$6:W$10)*'Marginal Market Share'!W5</f>
        <v>7.1702537052204945E-2</v>
      </c>
    </row>
    <row r="7" spans="1:23">
      <c r="A7" s="9" t="str">
        <f>+'Water Heater Stock'!A7</f>
        <v>HPWH</v>
      </c>
      <c r="B7" s="33">
        <v>0</v>
      </c>
      <c r="C7" s="33">
        <f>SUM('Water Heaters Retired'!C$6:C$10)*'Marginal Market Share'!C6</f>
        <v>2303.7943778209346</v>
      </c>
      <c r="D7" s="33">
        <f>SUM('Water Heaters Retired'!D$6:D$10)*'Marginal Market Share'!D6</f>
        <v>2302.8211880972067</v>
      </c>
      <c r="E7" s="33">
        <f>SUM('Water Heaters Retired'!E$6:E$10)*'Marginal Market Share'!E6</f>
        <v>2301.8666051128021</v>
      </c>
      <c r="F7" s="33">
        <f>SUM('Water Heaters Retired'!F$6:F$10)*'Marginal Market Share'!F6</f>
        <v>2300.930894512378</v>
      </c>
      <c r="G7" s="33">
        <f>SUM('Water Heaters Retired'!G$6:G$10)*'Marginal Market Share'!G6</f>
        <v>2300.0143201082305</v>
      </c>
      <c r="H7" s="33">
        <f>SUM('Water Heaters Retired'!H$6:H$10)*'Marginal Market Share'!H6</f>
        <v>2299.1171438134738</v>
      </c>
      <c r="I7" s="33">
        <f>SUM('Water Heaters Retired'!I$6:I$10)*'Marginal Market Share'!I6</f>
        <v>2298.2396255760837</v>
      </c>
      <c r="J7" s="33">
        <f>SUM('Water Heaters Retired'!J$6:J$10)*'Marginal Market Share'!J6</f>
        <v>2297.3820233138686</v>
      </c>
      <c r="K7" s="33">
        <f>SUM('Water Heaters Retired'!K$6:K$10)*'Marginal Market Share'!K6</f>
        <v>2296.5445928503391</v>
      </c>
      <c r="L7" s="33">
        <f>SUM('Water Heaters Retired'!L$6:L$10)*'Marginal Market Share'!L6</f>
        <v>2295.7275878515102</v>
      </c>
      <c r="M7" s="33">
        <f>SUM('Water Heaters Retired'!M$6:M$10)*'Marginal Market Share'!M6</f>
        <v>2294.9312597636404</v>
      </c>
      <c r="N7" s="33">
        <f>SUM('Water Heaters Retired'!N$6:N$10)*'Marginal Market Share'!N6</f>
        <v>2294.1558577519068</v>
      </c>
      <c r="O7" s="33">
        <f>SUM('Water Heaters Retired'!O$6:O$10)*'Marginal Market Share'!O6</f>
        <v>2293.4016286400233</v>
      </c>
      <c r="P7" s="33">
        <f>SUM('Water Heaters Retired'!P$6:P$10)*'Marginal Market Share'!P6</f>
        <v>2292.6688168508085</v>
      </c>
      <c r="Q7" s="33">
        <f>SUM('Water Heaters Retired'!Q$6:Q$10)*'Marginal Market Share'!Q6</f>
        <v>2291.9576643477085</v>
      </c>
      <c r="R7" s="33">
        <f>SUM('Water Heaters Retired'!R$6:R$10)*'Marginal Market Share'!R6</f>
        <v>2291.2684105772537</v>
      </c>
      <c r="S7" s="33">
        <f>SUM('Water Heaters Retired'!S$6:S$10)*'Marginal Market Share'!S6</f>
        <v>2290.6012924124811</v>
      </c>
      <c r="T7" s="33">
        <f>SUM('Water Heaters Retired'!T$6:T$10)*'Marginal Market Share'!T6</f>
        <v>2289.9565440972824</v>
      </c>
      <c r="U7" s="33">
        <f>SUM('Water Heaters Retired'!U$6:U$10)*'Marginal Market Share'!U6</f>
        <v>2289.3343971917111</v>
      </c>
      <c r="V7" s="33">
        <f>SUM('Water Heaters Retired'!V$6:V$10)*'Marginal Market Share'!V6</f>
        <v>2288.7350805182059</v>
      </c>
      <c r="W7" s="33">
        <f>SUM('Water Heaters Retired'!W$6:W$10)*'Marginal Market Share'!W6</f>
        <v>2288.1588201087602</v>
      </c>
    </row>
    <row r="8" spans="1:23">
      <c r="A8" s="9" t="str">
        <f>+'Water Heater Stock'!A8</f>
        <v>Gas Tank</v>
      </c>
      <c r="B8" s="33">
        <v>0</v>
      </c>
      <c r="C8" s="33">
        <f>SUM('Water Heaters Retired'!C$6:C$10)*'Marginal Market Share'!C7</f>
        <v>0.13669082411214159</v>
      </c>
      <c r="D8" s="33">
        <f>SUM('Water Heaters Retired'!D$6:D$10)*'Marginal Market Share'!D7</f>
        <v>0.13533067303944649</v>
      </c>
      <c r="E8" s="33">
        <f>SUM('Water Heaters Retired'!E$6:E$10)*'Marginal Market Share'!E7</f>
        <v>0.13398361211622009</v>
      </c>
      <c r="F8" s="33">
        <f>SUM('Water Heaters Retired'!F$6:F$10)*'Marginal Market Share'!F7</f>
        <v>0.13264962616381226</v>
      </c>
      <c r="G8" s="33">
        <f>SUM('Water Heaters Retired'!G$6:G$10)*'Marginal Market Share'!G7</f>
        <v>0.13132869648124593</v>
      </c>
      <c r="H8" s="33">
        <f>SUM('Water Heaters Retired'!H$6:H$10)*'Marginal Market Share'!H7</f>
        <v>0.13002080092334045</v>
      </c>
      <c r="I8" s="33">
        <f>SUM('Water Heaters Retired'!I$6:I$10)*'Marginal Market Share'!I7</f>
        <v>0.12872591397968222</v>
      </c>
      <c r="J8" s="33">
        <f>SUM('Water Heaters Retired'!J$6:J$10)*'Marginal Market Share'!J7</f>
        <v>0.12744400685433729</v>
      </c>
      <c r="K8" s="33">
        <f>SUM('Water Heaters Retired'!K$6:K$10)*'Marginal Market Share'!K7</f>
        <v>0.12617504754620398</v>
      </c>
      <c r="L8" s="33">
        <f>SUM('Water Heaters Retired'!L$6:L$10)*'Marginal Market Share'!L7</f>
        <v>0.12491900092990303</v>
      </c>
      <c r="M8" s="33">
        <f>SUM('Water Heaters Retired'!M$6:M$10)*'Marginal Market Share'!M7</f>
        <v>0.12367582883710641</v>
      </c>
      <c r="N8" s="33">
        <f>SUM('Water Heaters Retired'!N$6:N$10)*'Marginal Market Share'!N7</f>
        <v>0.12244549013820767</v>
      </c>
      <c r="O8" s="33">
        <f>SUM('Water Heaters Retired'!O$6:O$10)*'Marginal Market Share'!O7</f>
        <v>0.12122794082423974</v>
      </c>
      <c r="P8" s="33">
        <f>SUM('Water Heaters Retired'!P$6:P$10)*'Marginal Market Share'!P7</f>
        <v>0.12002313408894617</v>
      </c>
      <c r="Q8" s="33">
        <f>SUM('Water Heaters Retired'!Q$6:Q$10)*'Marginal Market Share'!Q7</f>
        <v>0.11883102041091853</v>
      </c>
      <c r="R8" s="33">
        <f>SUM('Water Heaters Retired'!R$6:R$10)*'Marginal Market Share'!R7</f>
        <v>0.11765154763571156</v>
      </c>
      <c r="S8" s="33">
        <f>SUM('Water Heaters Retired'!S$6:S$10)*'Marginal Market Share'!S7</f>
        <v>0.11648466105785066</v>
      </c>
      <c r="T8" s="33">
        <f>SUM('Water Heaters Retired'!T$6:T$10)*'Marginal Market Share'!T7</f>
        <v>0.11533030350265255</v>
      </c>
      <c r="U8" s="33">
        <f>SUM('Water Heaters Retired'!U$6:U$10)*'Marginal Market Share'!U7</f>
        <v>0.11418841540777724</v>
      </c>
      <c r="V8" s="33">
        <f>SUM('Water Heaters Retired'!V$6:V$10)*'Marginal Market Share'!V7</f>
        <v>0.11305893490443862</v>
      </c>
      <c r="W8" s="33">
        <f>SUM('Water Heaters Retired'!W$6:W$10)*'Marginal Market Share'!W7</f>
        <v>0.11194179789819571</v>
      </c>
    </row>
    <row r="9" spans="1:23">
      <c r="A9" s="9" t="str">
        <f>+'Water Heater Stock'!A9</f>
        <v>Instant Gas</v>
      </c>
      <c r="B9" s="33">
        <v>0</v>
      </c>
      <c r="C9" s="33">
        <f>SUM('Water Heaters Retired'!C$6:C$10)*'Marginal Market Share'!C8</f>
        <v>553.82870488544529</v>
      </c>
      <c r="D9" s="33">
        <f>SUM('Water Heaters Retired'!D$6:D$10)*'Marginal Market Share'!D8</f>
        <v>555.99215506536427</v>
      </c>
      <c r="E9" s="33">
        <f>SUM('Water Heaters Retired'!E$6:E$10)*'Marginal Market Share'!E8</f>
        <v>558.16287248263188</v>
      </c>
      <c r="F9" s="33">
        <f>SUM('Water Heaters Retired'!F$6:F$10)*'Marginal Market Share'!F8</f>
        <v>560.34060403868671</v>
      </c>
      <c r="G9" s="33">
        <f>SUM('Water Heaters Retired'!G$6:G$10)*'Marginal Market Share'!G8</f>
        <v>562.52509084658254</v>
      </c>
      <c r="H9" s="33">
        <f>SUM('Water Heaters Retired'!H$6:H$10)*'Marginal Market Share'!H8</f>
        <v>564.71606826013499</v>
      </c>
      <c r="I9" s="33">
        <f>SUM('Water Heaters Retired'!I$6:I$10)*'Marginal Market Share'!I8</f>
        <v>566.91326590784979</v>
      </c>
      <c r="J9" s="33">
        <f>SUM('Water Heaters Retired'!J$6:J$10)*'Marginal Market Share'!J8</f>
        <v>569.11640773169984</v>
      </c>
      <c r="K9" s="33">
        <f>SUM('Water Heaters Retired'!K$6:K$10)*'Marginal Market Share'!K8</f>
        <v>571.32521203081308</v>
      </c>
      <c r="L9" s="33">
        <f>SUM('Water Heaters Retired'!L$6:L$10)*'Marginal Market Share'!L8</f>
        <v>573.53939151011582</v>
      </c>
      <c r="M9" s="33">
        <f>SUM('Water Heaters Retired'!M$6:M$10)*'Marginal Market Share'!M8</f>
        <v>575.75865333398826</v>
      </c>
      <c r="N9" s="33">
        <f>SUM('Water Heaters Retired'!N$6:N$10)*'Marginal Market Share'!N8</f>
        <v>577.98269918496453</v>
      </c>
      <c r="O9" s="33">
        <f>SUM('Water Heaters Retired'!O$6:O$10)*'Marginal Market Share'!O8</f>
        <v>580.21122532752349</v>
      </c>
      <c r="P9" s="33">
        <f>SUM('Water Heaters Retired'!P$6:P$10)*'Marginal Market Share'!P8</f>
        <v>582.44392267698322</v>
      </c>
      <c r="Q9" s="33">
        <f>SUM('Water Heaters Retired'!Q$6:Q$10)*'Marginal Market Share'!Q8</f>
        <v>584.68047687353828</v>
      </c>
      <c r="R9" s="33">
        <f>SUM('Water Heaters Retired'!R$6:R$10)*'Marginal Market Share'!R8</f>
        <v>586.92056836143956</v>
      </c>
      <c r="S9" s="33">
        <f>SUM('Water Heaters Retired'!S$6:S$10)*'Marginal Market Share'!S8</f>
        <v>589.16387247333603</v>
      </c>
      <c r="T9" s="33">
        <f>SUM('Water Heaters Retired'!T$6:T$10)*'Marginal Market Share'!T8</f>
        <v>591.41005951976956</v>
      </c>
      <c r="U9" s="33">
        <f>SUM('Water Heaters Retired'!U$6:U$10)*'Marginal Market Share'!U8</f>
        <v>593.65879488382518</v>
      </c>
      <c r="V9" s="33">
        <f>SUM('Water Heaters Retired'!V$6:V$10)*'Marginal Market Share'!V8</f>
        <v>595.9097391209142</v>
      </c>
      <c r="W9" s="33">
        <f>SUM('Water Heaters Retired'!W$6:W$10)*'Marginal Market Share'!W8</f>
        <v>598.16254806367272</v>
      </c>
    </row>
    <row r="10" spans="1:23">
      <c r="A10" s="9" t="str">
        <f>+'Water Heater Stock'!A10</f>
        <v>Condensing Gas</v>
      </c>
      <c r="B10" s="33">
        <v>0</v>
      </c>
      <c r="C10" s="33">
        <f>SUM('Water Heaters Retired'!C$6:C$10)*'Marginal Market Share'!C9</f>
        <v>1251.5814529008542</v>
      </c>
      <c r="D10" s="33">
        <f>SUM('Water Heaters Retired'!D$6:D$10)*'Marginal Market Share'!D9</f>
        <v>1250.3934512951676</v>
      </c>
      <c r="E10" s="33">
        <f>SUM('Water Heaters Retired'!E$6:E$10)*'Marginal Market Share'!E9</f>
        <v>1249.1795493951076</v>
      </c>
      <c r="F10" s="33">
        <f>SUM('Water Heaters Retired'!F$6:F$10)*'Marginal Market Share'!F9</f>
        <v>1247.9397348339573</v>
      </c>
      <c r="G10" s="33">
        <f>SUM('Water Heaters Retired'!G$6:G$10)*'Marginal Market Share'!G9</f>
        <v>1246.6740028682218</v>
      </c>
      <c r="H10" s="33">
        <f>SUM('Water Heaters Retired'!H$6:H$10)*'Marginal Market Share'!H9</f>
        <v>1245.3823564152026</v>
      </c>
      <c r="I10" s="33">
        <f>SUM('Water Heaters Retired'!I$6:I$10)*'Marginal Market Share'!I9</f>
        <v>1244.0648060849094</v>
      </c>
      <c r="J10" s="33">
        <f>SUM('Water Heaters Retired'!J$6:J$10)*'Marginal Market Share'!J9</f>
        <v>1242.7213702062043</v>
      </c>
      <c r="K10" s="33">
        <f>SUM('Water Heaters Retired'!K$6:K$10)*'Marginal Market Share'!K9</f>
        <v>1241.3520748471412</v>
      </c>
      <c r="L10" s="33">
        <f>SUM('Water Heaters Retired'!L$6:L$10)*'Marginal Market Share'!L9</f>
        <v>1239.9569538294061</v>
      </c>
      <c r="M10" s="33">
        <f>SUM('Water Heaters Retired'!M$6:M$10)*'Marginal Market Share'!M9</f>
        <v>1238.5360487368264</v>
      </c>
      <c r="N10" s="33">
        <f>SUM('Water Heaters Retired'!N$6:N$10)*'Marginal Market Share'!N9</f>
        <v>1237.0894089178817</v>
      </c>
      <c r="O10" s="33">
        <f>SUM('Water Heaters Retired'!O$6:O$10)*'Marginal Market Share'!O9</f>
        <v>1235.6170914822003</v>
      </c>
      <c r="P10" s="33">
        <f>SUM('Water Heaters Retired'!P$6:P$10)*'Marginal Market Share'!P9</f>
        <v>1234.1191612909849</v>
      </c>
      <c r="Q10" s="33">
        <f>SUM('Water Heaters Retired'!Q$6:Q$10)*'Marginal Market Share'!Q9</f>
        <v>1232.595690941363</v>
      </c>
      <c r="R10" s="33">
        <f>SUM('Water Heaters Retired'!R$6:R$10)*'Marginal Market Share'!R9</f>
        <v>1231.046760744636</v>
      </c>
      <c r="S10" s="33">
        <f>SUM('Water Heaters Retired'!S$6:S$10)*'Marginal Market Share'!S9</f>
        <v>1229.4724586984344</v>
      </c>
      <c r="T10" s="33">
        <f>SUM('Water Heaters Retired'!T$6:T$10)*'Marginal Market Share'!T9</f>
        <v>1227.8728804527593</v>
      </c>
      <c r="U10" s="33">
        <f>SUM('Water Heaters Retired'!U$6:U$10)*'Marginal Market Share'!U9</f>
        <v>1226.2481292699438</v>
      </c>
      <c r="V10" s="33">
        <f>SUM('Water Heaters Retired'!V$6:V$10)*'Marginal Market Share'!V9</f>
        <v>1224.5983159785455</v>
      </c>
      <c r="W10" s="33">
        <f>SUM('Water Heaters Retired'!W$6:W$10)*'Marginal Market Share'!W9</f>
        <v>1222.9235589211894</v>
      </c>
    </row>
    <row r="11" spans="1:23">
      <c r="D11" s="12"/>
    </row>
    <row r="12" spans="1:23">
      <c r="A12" s="12" t="s">
        <v>102</v>
      </c>
    </row>
    <row r="13" spans="1:23">
      <c r="A13" s="38" t="str">
        <f>'Device Energy Use'!A4</f>
        <v>Water Heat Ending</v>
      </c>
      <c r="B13" s="39">
        <f>+'Water Heater Stock'!B13</f>
        <v>2014</v>
      </c>
      <c r="C13" s="39">
        <f>+'Water Heater Stock'!C13</f>
        <v>2015</v>
      </c>
      <c r="D13" s="39">
        <f>+'Water Heater Stock'!D13</f>
        <v>2016</v>
      </c>
      <c r="E13" s="39">
        <f>+'Water Heater Stock'!E13</f>
        <v>2017</v>
      </c>
      <c r="F13" s="39">
        <f>+'Water Heater Stock'!F13</f>
        <v>2018</v>
      </c>
      <c r="G13" s="39">
        <f>+'Water Heater Stock'!G13</f>
        <v>2019</v>
      </c>
      <c r="H13" s="39">
        <f>+'Water Heater Stock'!H13</f>
        <v>2020</v>
      </c>
      <c r="I13" s="39">
        <f>+'Water Heater Stock'!I13</f>
        <v>2021</v>
      </c>
      <c r="J13" s="39">
        <f>+'Water Heater Stock'!J13</f>
        <v>2022</v>
      </c>
      <c r="K13" s="39">
        <f>+'Water Heater Stock'!K13</f>
        <v>2023</v>
      </c>
      <c r="L13" s="39">
        <f>+'Water Heater Stock'!L13</f>
        <v>2024</v>
      </c>
      <c r="M13" s="39">
        <f>+'Water Heater Stock'!M13</f>
        <v>2025</v>
      </c>
      <c r="N13" s="39">
        <f>+'Water Heater Stock'!N13</f>
        <v>2026</v>
      </c>
      <c r="O13" s="39">
        <f>+'Water Heater Stock'!O13</f>
        <v>2027</v>
      </c>
      <c r="P13" s="39">
        <f>+'Water Heater Stock'!P13</f>
        <v>2028</v>
      </c>
      <c r="Q13" s="39">
        <f>+'Water Heater Stock'!Q13</f>
        <v>2029</v>
      </c>
      <c r="R13" s="39">
        <f>+'Water Heater Stock'!R13</f>
        <v>2030</v>
      </c>
      <c r="S13" s="39">
        <f>+'Water Heater Stock'!S13</f>
        <v>2031</v>
      </c>
      <c r="T13" s="39">
        <f>+'Water Heater Stock'!T13</f>
        <v>2032</v>
      </c>
      <c r="U13" s="39">
        <f>+'Water Heater Stock'!U13</f>
        <v>2033</v>
      </c>
      <c r="V13" s="39">
        <f>+'Water Heater Stock'!V13</f>
        <v>2034</v>
      </c>
      <c r="W13" s="39">
        <f>+'Water Heater Stock'!W13</f>
        <v>2035</v>
      </c>
    </row>
    <row r="14" spans="1:23" ht="16.5" thickBot="1">
      <c r="A14" s="48" t="s">
        <v>44</v>
      </c>
      <c r="B14" s="49">
        <f t="shared" ref="B14:W14" si="2">SUM(B15:B19)</f>
        <v>0</v>
      </c>
      <c r="C14" s="49">
        <f t="shared" ref="C14" si="3">SUM(C15:C19)</f>
        <v>4109.4285714285716</v>
      </c>
      <c r="D14" s="49">
        <f t="shared" si="2"/>
        <v>4109.4285714285716</v>
      </c>
      <c r="E14" s="49">
        <f t="shared" si="2"/>
        <v>4109.4285714285716</v>
      </c>
      <c r="F14" s="49">
        <f t="shared" si="2"/>
        <v>4109.4285714285716</v>
      </c>
      <c r="G14" s="49">
        <f t="shared" si="2"/>
        <v>4109.4285714285716</v>
      </c>
      <c r="H14" s="49">
        <f t="shared" si="2"/>
        <v>4109.4285714285706</v>
      </c>
      <c r="I14" s="49">
        <f t="shared" si="2"/>
        <v>4109.4285714285706</v>
      </c>
      <c r="J14" s="49">
        <f t="shared" si="2"/>
        <v>4109.4285714285706</v>
      </c>
      <c r="K14" s="49">
        <f t="shared" si="2"/>
        <v>4109.4285714285706</v>
      </c>
      <c r="L14" s="49">
        <f t="shared" si="2"/>
        <v>4109.4285714285706</v>
      </c>
      <c r="M14" s="49">
        <f t="shared" si="2"/>
        <v>4109.4285714285706</v>
      </c>
      <c r="N14" s="49">
        <f t="shared" si="2"/>
        <v>4109.4285714285706</v>
      </c>
      <c r="O14" s="49">
        <f t="shared" si="2"/>
        <v>4109.4285714285706</v>
      </c>
      <c r="P14" s="49">
        <f t="shared" si="2"/>
        <v>4109.4285714285706</v>
      </c>
      <c r="Q14" s="49">
        <f t="shared" si="2"/>
        <v>4109.4285714285706</v>
      </c>
      <c r="R14" s="49">
        <f t="shared" si="2"/>
        <v>4109.4285714285706</v>
      </c>
      <c r="S14" s="49">
        <f t="shared" si="2"/>
        <v>4109.4285714285706</v>
      </c>
      <c r="T14" s="49">
        <f t="shared" si="2"/>
        <v>4109.4285714285706</v>
      </c>
      <c r="U14" s="49">
        <f t="shared" si="2"/>
        <v>4109.4285714285706</v>
      </c>
      <c r="V14" s="49">
        <f t="shared" si="2"/>
        <v>4109.4285714285706</v>
      </c>
      <c r="W14" s="49">
        <f t="shared" si="2"/>
        <v>4109.4285714285716</v>
      </c>
    </row>
    <row r="15" spans="1:23" ht="16.5" thickTop="1">
      <c r="A15" s="9" t="str">
        <f>+'Water Heater Stock'!A15</f>
        <v>Electric Resistance</v>
      </c>
      <c r="B15" s="33">
        <v>0</v>
      </c>
      <c r="C15" s="33">
        <f>SUM('Water Heaters Retired'!C$15:C$19)*'Marginal Market Share'!C13</f>
        <v>0</v>
      </c>
      <c r="D15" s="33">
        <f>SUM('Water Heaters Retired'!D$15:D$19)*'Marginal Market Share'!D13</f>
        <v>0</v>
      </c>
      <c r="E15" s="33">
        <f>SUM('Water Heaters Retired'!E$15:E$19)*'Marginal Market Share'!E13</f>
        <v>0</v>
      </c>
      <c r="F15" s="33">
        <f>SUM('Water Heaters Retired'!F$15:F$19)*'Marginal Market Share'!F13</f>
        <v>0</v>
      </c>
      <c r="G15" s="33">
        <f>SUM('Water Heaters Retired'!G$15:G$19)*'Marginal Market Share'!G13</f>
        <v>0</v>
      </c>
      <c r="H15" s="33">
        <f>SUM('Water Heaters Retired'!H$15:H$19)*'Marginal Market Share'!H13</f>
        <v>0</v>
      </c>
      <c r="I15" s="33">
        <f>SUM('Water Heaters Retired'!I$15:I$19)*'Marginal Market Share'!I13</f>
        <v>0</v>
      </c>
      <c r="J15" s="33">
        <f>SUM('Water Heaters Retired'!J$15:J$19)*'Marginal Market Share'!J13</f>
        <v>0</v>
      </c>
      <c r="K15" s="33">
        <f>SUM('Water Heaters Retired'!K$15:K$19)*'Marginal Market Share'!K13</f>
        <v>0</v>
      </c>
      <c r="L15" s="33">
        <f>SUM('Water Heaters Retired'!L$15:L$19)*'Marginal Market Share'!L13</f>
        <v>0</v>
      </c>
      <c r="M15" s="33">
        <f>SUM('Water Heaters Retired'!M$15:M$19)*'Marginal Market Share'!M13</f>
        <v>0</v>
      </c>
      <c r="N15" s="33">
        <f>SUM('Water Heaters Retired'!N$15:N$19)*'Marginal Market Share'!N13</f>
        <v>0</v>
      </c>
      <c r="O15" s="33">
        <f>SUM('Water Heaters Retired'!O$15:O$19)*'Marginal Market Share'!O13</f>
        <v>0</v>
      </c>
      <c r="P15" s="33">
        <f>SUM('Water Heaters Retired'!P$15:P$19)*'Marginal Market Share'!P13</f>
        <v>0</v>
      </c>
      <c r="Q15" s="33">
        <f>SUM('Water Heaters Retired'!Q$15:Q$19)*'Marginal Market Share'!Q13</f>
        <v>0</v>
      </c>
      <c r="R15" s="33">
        <f>SUM('Water Heaters Retired'!R$15:R$19)*'Marginal Market Share'!R13</f>
        <v>0</v>
      </c>
      <c r="S15" s="33">
        <f>SUM('Water Heaters Retired'!S$15:S$19)*'Marginal Market Share'!S13</f>
        <v>0</v>
      </c>
      <c r="T15" s="33">
        <f>SUM('Water Heaters Retired'!T$15:T$19)*'Marginal Market Share'!T13</f>
        <v>0</v>
      </c>
      <c r="U15" s="33">
        <f>SUM('Water Heaters Retired'!U$15:U$19)*'Marginal Market Share'!U13</f>
        <v>0</v>
      </c>
      <c r="V15" s="33">
        <f>SUM('Water Heaters Retired'!V$15:V$19)*'Marginal Market Share'!V13</f>
        <v>0</v>
      </c>
      <c r="W15" s="33">
        <f>SUM('Water Heaters Retired'!W$15:W$19)*'Marginal Market Share'!W13</f>
        <v>0</v>
      </c>
    </row>
    <row r="16" spans="1:23">
      <c r="A16" s="9" t="str">
        <f>+'Water Heater Stock'!A16</f>
        <v>HPWH</v>
      </c>
      <c r="B16" s="33">
        <v>0</v>
      </c>
      <c r="C16" s="33">
        <f>SUM('Water Heaters Retired'!C$15:C$19)*'Marginal Market Share'!C14</f>
        <v>4109.4285714285716</v>
      </c>
      <c r="D16" s="33">
        <f>SUM('Water Heaters Retired'!D$15:D$19)*'Marginal Market Share'!D14</f>
        <v>4109.4285714285716</v>
      </c>
      <c r="E16" s="33">
        <f>SUM('Water Heaters Retired'!E$15:E$19)*'Marginal Market Share'!E14</f>
        <v>4109.4285714285716</v>
      </c>
      <c r="F16" s="33">
        <f>SUM('Water Heaters Retired'!F$15:F$19)*'Marginal Market Share'!F14</f>
        <v>4109.4285714285716</v>
      </c>
      <c r="G16" s="33">
        <f>SUM('Water Heaters Retired'!G$15:G$19)*'Marginal Market Share'!G14</f>
        <v>4109.4285714285716</v>
      </c>
      <c r="H16" s="33">
        <f>SUM('Water Heaters Retired'!H$15:H$19)*'Marginal Market Share'!H14</f>
        <v>4109.4285714285706</v>
      </c>
      <c r="I16" s="33">
        <f>SUM('Water Heaters Retired'!I$15:I$19)*'Marginal Market Share'!I14</f>
        <v>4109.4285714285706</v>
      </c>
      <c r="J16" s="33">
        <f>SUM('Water Heaters Retired'!J$15:J$19)*'Marginal Market Share'!J14</f>
        <v>4109.4285714285706</v>
      </c>
      <c r="K16" s="33">
        <f>SUM('Water Heaters Retired'!K$15:K$19)*'Marginal Market Share'!K14</f>
        <v>4109.4285714285706</v>
      </c>
      <c r="L16" s="33">
        <f>SUM('Water Heaters Retired'!L$15:L$19)*'Marginal Market Share'!L14</f>
        <v>4109.4285714285706</v>
      </c>
      <c r="M16" s="33">
        <f>SUM('Water Heaters Retired'!M$15:M$19)*'Marginal Market Share'!M14</f>
        <v>4109.4285714285706</v>
      </c>
      <c r="N16" s="33">
        <f>SUM('Water Heaters Retired'!N$15:N$19)*'Marginal Market Share'!N14</f>
        <v>4109.4285714285706</v>
      </c>
      <c r="O16" s="33">
        <f>SUM('Water Heaters Retired'!O$15:O$19)*'Marginal Market Share'!O14</f>
        <v>4109.4285714285706</v>
      </c>
      <c r="P16" s="33">
        <f>SUM('Water Heaters Retired'!P$15:P$19)*'Marginal Market Share'!P14</f>
        <v>4109.4285714285706</v>
      </c>
      <c r="Q16" s="33">
        <f>SUM('Water Heaters Retired'!Q$15:Q$19)*'Marginal Market Share'!Q14</f>
        <v>4109.4285714285706</v>
      </c>
      <c r="R16" s="33">
        <f>SUM('Water Heaters Retired'!R$15:R$19)*'Marginal Market Share'!R14</f>
        <v>4109.4285714285706</v>
      </c>
      <c r="S16" s="33">
        <f>SUM('Water Heaters Retired'!S$15:S$19)*'Marginal Market Share'!S14</f>
        <v>4109.4285714285706</v>
      </c>
      <c r="T16" s="33">
        <f>SUM('Water Heaters Retired'!T$15:T$19)*'Marginal Market Share'!T14</f>
        <v>4109.4285714285706</v>
      </c>
      <c r="U16" s="33">
        <f>SUM('Water Heaters Retired'!U$15:U$19)*'Marginal Market Share'!U14</f>
        <v>4109.4285714285706</v>
      </c>
      <c r="V16" s="33">
        <f>SUM('Water Heaters Retired'!V$15:V$19)*'Marginal Market Share'!V14</f>
        <v>4109.4285714285706</v>
      </c>
      <c r="W16" s="33">
        <f>SUM('Water Heaters Retired'!W$15:W$19)*'Marginal Market Share'!W14</f>
        <v>4109.4285714285716</v>
      </c>
    </row>
    <row r="17" spans="1:23">
      <c r="A17" s="9" t="str">
        <f>+'Water Heater Stock'!A17</f>
        <v>Gas Tank</v>
      </c>
      <c r="B17" s="33">
        <v>0</v>
      </c>
      <c r="C17" s="33">
        <f>SUM('Water Heaters Retired'!C$15:C$19)*'Marginal Market Share'!C15</f>
        <v>0</v>
      </c>
      <c r="D17" s="33">
        <f>SUM('Water Heaters Retired'!D$15:D$19)*'Marginal Market Share'!D15</f>
        <v>0</v>
      </c>
      <c r="E17" s="33">
        <f>SUM('Water Heaters Retired'!E$15:E$19)*'Marginal Market Share'!E15</f>
        <v>0</v>
      </c>
      <c r="F17" s="33">
        <f>SUM('Water Heaters Retired'!F$15:F$19)*'Marginal Market Share'!F15</f>
        <v>0</v>
      </c>
      <c r="G17" s="33">
        <f>SUM('Water Heaters Retired'!G$15:G$19)*'Marginal Market Share'!G15</f>
        <v>0</v>
      </c>
      <c r="H17" s="33">
        <f>SUM('Water Heaters Retired'!H$15:H$19)*'Marginal Market Share'!H15</f>
        <v>0</v>
      </c>
      <c r="I17" s="33">
        <f>SUM('Water Heaters Retired'!I$15:I$19)*'Marginal Market Share'!I15</f>
        <v>0</v>
      </c>
      <c r="J17" s="33">
        <f>SUM('Water Heaters Retired'!J$15:J$19)*'Marginal Market Share'!J15</f>
        <v>0</v>
      </c>
      <c r="K17" s="33">
        <f>SUM('Water Heaters Retired'!K$15:K$19)*'Marginal Market Share'!K15</f>
        <v>0</v>
      </c>
      <c r="L17" s="33">
        <f>SUM('Water Heaters Retired'!L$15:L$19)*'Marginal Market Share'!L15</f>
        <v>0</v>
      </c>
      <c r="M17" s="33">
        <f>SUM('Water Heaters Retired'!M$15:M$19)*'Marginal Market Share'!M15</f>
        <v>0</v>
      </c>
      <c r="N17" s="33">
        <f>SUM('Water Heaters Retired'!N$15:N$19)*'Marginal Market Share'!N15</f>
        <v>0</v>
      </c>
      <c r="O17" s="33">
        <f>SUM('Water Heaters Retired'!O$15:O$19)*'Marginal Market Share'!O15</f>
        <v>0</v>
      </c>
      <c r="P17" s="33">
        <f>SUM('Water Heaters Retired'!P$15:P$19)*'Marginal Market Share'!P15</f>
        <v>0</v>
      </c>
      <c r="Q17" s="33">
        <f>SUM('Water Heaters Retired'!Q$15:Q$19)*'Marginal Market Share'!Q15</f>
        <v>0</v>
      </c>
      <c r="R17" s="33">
        <f>SUM('Water Heaters Retired'!R$15:R$19)*'Marginal Market Share'!R15</f>
        <v>0</v>
      </c>
      <c r="S17" s="33">
        <f>SUM('Water Heaters Retired'!S$15:S$19)*'Marginal Market Share'!S15</f>
        <v>0</v>
      </c>
      <c r="T17" s="33">
        <f>SUM('Water Heaters Retired'!T$15:T$19)*'Marginal Market Share'!T15</f>
        <v>0</v>
      </c>
      <c r="U17" s="33">
        <f>SUM('Water Heaters Retired'!U$15:U$19)*'Marginal Market Share'!U15</f>
        <v>0</v>
      </c>
      <c r="V17" s="33">
        <f>SUM('Water Heaters Retired'!V$15:V$19)*'Marginal Market Share'!V15</f>
        <v>0</v>
      </c>
      <c r="W17" s="33">
        <f>SUM('Water Heaters Retired'!W$15:W$19)*'Marginal Market Share'!W15</f>
        <v>0</v>
      </c>
    </row>
    <row r="18" spans="1:23">
      <c r="A18" s="9" t="str">
        <f>+'Water Heater Stock'!A18</f>
        <v>Instant Gas</v>
      </c>
      <c r="B18" s="33">
        <v>0</v>
      </c>
      <c r="C18" s="33">
        <f>SUM('Water Heaters Retired'!C$15:C$19)*'Marginal Market Share'!C16</f>
        <v>0</v>
      </c>
      <c r="D18" s="33">
        <f>SUM('Water Heaters Retired'!D$15:D$19)*'Marginal Market Share'!D16</f>
        <v>0</v>
      </c>
      <c r="E18" s="33">
        <f>SUM('Water Heaters Retired'!E$15:E$19)*'Marginal Market Share'!E16</f>
        <v>0</v>
      </c>
      <c r="F18" s="33">
        <f>SUM('Water Heaters Retired'!F$15:F$19)*'Marginal Market Share'!F16</f>
        <v>0</v>
      </c>
      <c r="G18" s="33">
        <f>SUM('Water Heaters Retired'!G$15:G$19)*'Marginal Market Share'!G16</f>
        <v>0</v>
      </c>
      <c r="H18" s="33">
        <f>SUM('Water Heaters Retired'!H$15:H$19)*'Marginal Market Share'!H16</f>
        <v>0</v>
      </c>
      <c r="I18" s="33">
        <f>SUM('Water Heaters Retired'!I$15:I$19)*'Marginal Market Share'!I16</f>
        <v>0</v>
      </c>
      <c r="J18" s="33">
        <f>SUM('Water Heaters Retired'!J$15:J$19)*'Marginal Market Share'!J16</f>
        <v>0</v>
      </c>
      <c r="K18" s="33">
        <f>SUM('Water Heaters Retired'!K$15:K$19)*'Marginal Market Share'!K16</f>
        <v>0</v>
      </c>
      <c r="L18" s="33">
        <f>SUM('Water Heaters Retired'!L$15:L$19)*'Marginal Market Share'!L16</f>
        <v>0</v>
      </c>
      <c r="M18" s="33">
        <f>SUM('Water Heaters Retired'!M$15:M$19)*'Marginal Market Share'!M16</f>
        <v>0</v>
      </c>
      <c r="N18" s="33">
        <f>SUM('Water Heaters Retired'!N$15:N$19)*'Marginal Market Share'!N16</f>
        <v>0</v>
      </c>
      <c r="O18" s="33">
        <f>SUM('Water Heaters Retired'!O$15:O$19)*'Marginal Market Share'!O16</f>
        <v>0</v>
      </c>
      <c r="P18" s="33">
        <f>SUM('Water Heaters Retired'!P$15:P$19)*'Marginal Market Share'!P16</f>
        <v>0</v>
      </c>
      <c r="Q18" s="33">
        <f>SUM('Water Heaters Retired'!Q$15:Q$19)*'Marginal Market Share'!Q16</f>
        <v>0</v>
      </c>
      <c r="R18" s="33">
        <f>SUM('Water Heaters Retired'!R$15:R$19)*'Marginal Market Share'!R16</f>
        <v>0</v>
      </c>
      <c r="S18" s="33">
        <f>SUM('Water Heaters Retired'!S$15:S$19)*'Marginal Market Share'!S16</f>
        <v>0</v>
      </c>
      <c r="T18" s="33">
        <f>SUM('Water Heaters Retired'!T$15:T$19)*'Marginal Market Share'!T16</f>
        <v>0</v>
      </c>
      <c r="U18" s="33">
        <f>SUM('Water Heaters Retired'!U$15:U$19)*'Marginal Market Share'!U16</f>
        <v>0</v>
      </c>
      <c r="V18" s="33">
        <f>SUM('Water Heaters Retired'!V$15:V$19)*'Marginal Market Share'!V16</f>
        <v>0</v>
      </c>
      <c r="W18" s="33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3">
        <v>0</v>
      </c>
      <c r="C19" s="33">
        <f>SUM('Water Heaters Retired'!C$15:C$19)*'Marginal Market Share'!C17</f>
        <v>0</v>
      </c>
      <c r="D19" s="33">
        <f>SUM('Water Heaters Retired'!D$15:D$19)*'Marginal Market Share'!D17</f>
        <v>0</v>
      </c>
      <c r="E19" s="33">
        <f>SUM('Water Heaters Retired'!E$15:E$19)*'Marginal Market Share'!E17</f>
        <v>0</v>
      </c>
      <c r="F19" s="33">
        <f>SUM('Water Heaters Retired'!F$15:F$19)*'Marginal Market Share'!F17</f>
        <v>0</v>
      </c>
      <c r="G19" s="33">
        <f>SUM('Water Heaters Retired'!G$15:G$19)*'Marginal Market Share'!G17</f>
        <v>0</v>
      </c>
      <c r="H19" s="33">
        <f>SUM('Water Heaters Retired'!H$15:H$19)*'Marginal Market Share'!H17</f>
        <v>0</v>
      </c>
      <c r="I19" s="33">
        <f>SUM('Water Heaters Retired'!I$15:I$19)*'Marginal Market Share'!I17</f>
        <v>0</v>
      </c>
      <c r="J19" s="33">
        <f>SUM('Water Heaters Retired'!J$15:J$19)*'Marginal Market Share'!J17</f>
        <v>0</v>
      </c>
      <c r="K19" s="33">
        <f>SUM('Water Heaters Retired'!K$15:K$19)*'Marginal Market Share'!K17</f>
        <v>0</v>
      </c>
      <c r="L19" s="33">
        <f>SUM('Water Heaters Retired'!L$15:L$19)*'Marginal Market Share'!L17</f>
        <v>0</v>
      </c>
      <c r="M19" s="33">
        <f>SUM('Water Heaters Retired'!M$15:M$19)*'Marginal Market Share'!M17</f>
        <v>0</v>
      </c>
      <c r="N19" s="33">
        <f>SUM('Water Heaters Retired'!N$15:N$19)*'Marginal Market Share'!N17</f>
        <v>0</v>
      </c>
      <c r="O19" s="33">
        <f>SUM('Water Heaters Retired'!O$15:O$19)*'Marginal Market Share'!O17</f>
        <v>0</v>
      </c>
      <c r="P19" s="33">
        <f>SUM('Water Heaters Retired'!P$15:P$19)*'Marginal Market Share'!P17</f>
        <v>0</v>
      </c>
      <c r="Q19" s="33">
        <f>SUM('Water Heaters Retired'!Q$15:Q$19)*'Marginal Market Share'!Q17</f>
        <v>0</v>
      </c>
      <c r="R19" s="33">
        <f>SUM('Water Heaters Retired'!R$15:R$19)*'Marginal Market Share'!R17</f>
        <v>0</v>
      </c>
      <c r="S19" s="33">
        <f>SUM('Water Heaters Retired'!S$15:S$19)*'Marginal Market Share'!S17</f>
        <v>0</v>
      </c>
      <c r="T19" s="33">
        <f>SUM('Water Heaters Retired'!T$15:T$19)*'Marginal Market Share'!T17</f>
        <v>0</v>
      </c>
      <c r="U19" s="33">
        <f>SUM('Water Heaters Retired'!U$15:U$19)*'Marginal Market Share'!U17</f>
        <v>0</v>
      </c>
      <c r="V19" s="33">
        <f>SUM('Water Heaters Retired'!V$15:V$19)*'Marginal Market Share'!V17</f>
        <v>0</v>
      </c>
      <c r="W19" s="33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ht="18" customHeight="1">
      <c r="A3" s="42" t="s">
        <v>107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'Water Heater Stock'!B6/'Water Heater Stock'!B$5</f>
        <v>1</v>
      </c>
      <c r="C5" s="32">
        <f>'Water Heater Stock'!C6/'Water Heater Stock'!C$5</f>
        <v>0.92857294676994795</v>
      </c>
      <c r="D5" s="32">
        <f>'Water Heater Stock'!D6/'Water Heater Stock'!D$5</f>
        <v>0.86224781029260933</v>
      </c>
      <c r="E5" s="32">
        <f>'Water Heater Stock'!E6/'Water Heater Stock'!E$5</f>
        <v>0.80066016817270635</v>
      </c>
      <c r="F5" s="32">
        <f>'Water Heater Stock'!F6/'Water Heater Stock'!F$5</f>
        <v>0.7434716281831989</v>
      </c>
      <c r="G5" s="32">
        <f>'Water Heater Stock'!G6/'Water Heater Stock'!G$5</f>
        <v>0.69036796896757102</v>
      </c>
      <c r="H5" s="32">
        <f>'Water Heater Stock'!H6/'Water Heater Stock'!H$5</f>
        <v>0.64105741354909773</v>
      </c>
      <c r="I5" s="32">
        <f>'Water Heater Stock'!I6/'Water Heater Stock'!I$5</f>
        <v>0.59526902616087862</v>
      </c>
      <c r="J5" s="32">
        <f>'Water Heater Stock'!J6/'Water Heater Stock'!J$5</f>
        <v>0.55275122358801443</v>
      </c>
      <c r="K5" s="32">
        <f>'Water Heater Stock'!K6/'Water Heater Stock'!K$5</f>
        <v>0.5132703928424821</v>
      </c>
      <c r="L5" s="32">
        <f>'Water Heater Stock'!L6/'Water Heater Stock'!L$5</f>
        <v>0.47660960757552384</v>
      </c>
      <c r="M5" s="32">
        <f>'Water Heater Stock'!M6/'Water Heater Stock'!M$5</f>
        <v>0.44256743617486088</v>
      </c>
      <c r="N5" s="32">
        <f>'Water Heater Stock'!N6/'Water Heater Stock'!N$5</f>
        <v>0.41095683499782576</v>
      </c>
      <c r="O5" s="32">
        <f>'Water Heater Stock'!O6/'Water Heater Stock'!O$5</f>
        <v>0.38160412065926774</v>
      </c>
      <c r="P5" s="32">
        <f>'Water Heater Stock'!P6/'Water Heater Stock'!P$5</f>
        <v>0.35434801572746699</v>
      </c>
      <c r="Q5" s="32">
        <f>'Water Heater Stock'!Q6/'Water Heater Stock'!Q$5</f>
        <v>0.329038762584626</v>
      </c>
      <c r="R5" s="32">
        <f>'Water Heater Stock'!R6/'Water Heater Stock'!R$5</f>
        <v>0.30553730058304157</v>
      </c>
      <c r="S5" s="32">
        <f>'Water Heater Stock'!S6/'Water Heater Stock'!S$5</f>
        <v>0.28371450197583437</v>
      </c>
      <c r="T5" s="32">
        <f>'Water Heater Stock'!T6/'Water Heater Stock'!T$5</f>
        <v>0.26345046242405679</v>
      </c>
      <c r="U5" s="32">
        <f>'Water Heater Stock'!U6/'Water Heater Stock'!U$5</f>
        <v>0.24463384218186454</v>
      </c>
      <c r="V5" s="32">
        <f>'Water Heater Stock'!V6/'Water Heater Stock'!V$5</f>
        <v>0.22716125433988965</v>
      </c>
      <c r="W5" s="32">
        <f>'Water Heater Stock'!W6/'Water Heater Stock'!W$5</f>
        <v>0.21093669676551635</v>
      </c>
    </row>
    <row r="6" spans="1:23">
      <c r="A6" s="9" t="str">
        <f>+'Device Energy Use'!A6</f>
        <v>HPWH</v>
      </c>
      <c r="B6" s="32">
        <f>'Water Heater Stock'!B7/'Water Heater Stock'!B$5</f>
        <v>0</v>
      </c>
      <c r="C6" s="32">
        <f>'Water Heater Stock'!C7/'Water Heater Stock'!C$5</f>
        <v>4.0043703987710046E-2</v>
      </c>
      <c r="D6" s="32">
        <f>'Water Heater Stock'!D7/'Water Heater Stock'!D$5</f>
        <v>7.7210227780108762E-2</v>
      </c>
      <c r="E6" s="32">
        <f>'Water Heater Stock'!E7/'Water Heater Stock'!E$5</f>
        <v>0.11170540766376855</v>
      </c>
      <c r="F6" s="32">
        <f>'Water Heater Stock'!F7/'Water Heater Stock'!F$5</f>
        <v>0.14372038195070122</v>
      </c>
      <c r="G6" s="32">
        <f>'Water Heater Stock'!G7/'Water Heater Stock'!G$5</f>
        <v>0.17343264080183438</v>
      </c>
      <c r="H6" s="32">
        <f>'Water Heater Stock'!H7/'Water Heater Stock'!H$5</f>
        <v>0.20100700106193495</v>
      </c>
      <c r="I6" s="32">
        <f>'Water Heater Stock'!I7/'Water Heater Stock'!I$5</f>
        <v>0.22659651146232071</v>
      </c>
      <c r="J6" s="32">
        <f>'Water Heater Stock'!J7/'Water Heater Stock'!J$5</f>
        <v>0.25034329316510467</v>
      </c>
      <c r="K6" s="32">
        <f>'Water Heater Stock'!K7/'Water Heater Stock'!K$5</f>
        <v>0.2723793202674501</v>
      </c>
      <c r="L6" s="32">
        <f>'Water Heater Stock'!L7/'Water Heater Stock'!L$5</f>
        <v>0.29282714455442366</v>
      </c>
      <c r="M6" s="32">
        <f>'Water Heater Stock'!M7/'Water Heater Stock'!M$5</f>
        <v>0.31180056848270427</v>
      </c>
      <c r="N6" s="32">
        <f>'Water Heater Stock'!N7/'Water Heater Stock'!N$5</f>
        <v>0.32940527009296311</v>
      </c>
      <c r="O6" s="32">
        <f>'Water Heater Stock'!O7/'Water Heater Stock'!O$5</f>
        <v>0.34573938328459308</v>
      </c>
      <c r="P6" s="32">
        <f>'Water Heater Stock'!P7/'Water Heater Stock'!P$5</f>
        <v>0.36089403664121211</v>
      </c>
      <c r="Q6" s="32">
        <f>'Water Heater Stock'!Q7/'Water Heater Stock'!Q$5</f>
        <v>0.37495385376761342</v>
      </c>
      <c r="R6" s="32">
        <f>'Water Heater Stock'!R7/'Water Heater Stock'!R$5</f>
        <v>0.38799741788736192</v>
      </c>
      <c r="S6" s="32">
        <f>'Water Heater Stock'!S7/'Water Heater Stock'!S$5</f>
        <v>0.40009770325386484</v>
      </c>
      <c r="T6" s="32">
        <f>'Water Heater Stock'!T7/'Water Heater Stock'!T$5</f>
        <v>0.41132247574539826</v>
      </c>
      <c r="U6" s="32">
        <f>'Water Heater Stock'!U7/'Water Heater Stock'!U$5</f>
        <v>0.4217346648452529</v>
      </c>
      <c r="V6" s="32">
        <f>'Water Heater Stock'!V7/'Water Heater Stock'!V$5</f>
        <v>0.43139270905093452</v>
      </c>
      <c r="W6" s="32">
        <f>'Water Heater Stock'!W7/'Water Heater Stock'!W$5</f>
        <v>0.44035087661036015</v>
      </c>
    </row>
    <row r="7" spans="1:23">
      <c r="A7" s="9" t="str">
        <f>+'Device Energy Use'!A7</f>
        <v>Gas Tank</v>
      </c>
      <c r="B7" s="32">
        <f>'Water Heater Stock'!B8/'Water Heater Stock'!B$5</f>
        <v>0</v>
      </c>
      <c r="C7" s="32">
        <f>'Water Heater Stock'!C8/'Water Heater Stock'!C$5</f>
        <v>2.3759094784144751E-6</v>
      </c>
      <c r="D7" s="32">
        <f>'Water Heater Stock'!D8/'Water Heater Stock'!D$5</f>
        <v>4.5584694927668718E-6</v>
      </c>
      <c r="E7" s="32">
        <f>'Water Heater Stock'!E8/'Water Heater Stock'!E$5</f>
        <v>6.5617182472106309E-6</v>
      </c>
      <c r="F7" s="32">
        <f>'Water Heater Stock'!F8/'Water Heater Stock'!F$5</f>
        <v>8.3986909532013942E-6</v>
      </c>
      <c r="G7" s="32">
        <f>'Water Heater Stock'!G8/'Water Heater Stock'!G$5</f>
        <v>1.0081491410608776E-5</v>
      </c>
      <c r="H7" s="32">
        <f>'Water Heater Stock'!H8/'Water Heater Stock'!H$5</f>
        <v>1.1621358477249481E-5</v>
      </c>
      <c r="I7" s="32">
        <f>'Water Heater Stock'!I8/'Water Heater Stock'!I$5</f>
        <v>1.302872779196928E-5</v>
      </c>
      <c r="J7" s="32">
        <f>'Water Heater Stock'!J8/'Water Heater Stock'!J$5</f>
        <v>1.4313289090318953E-5</v>
      </c>
      <c r="K7" s="32">
        <f>'Water Heater Stock'!K8/'Water Heater Stock'!K$5</f>
        <v>1.5484039427650007E-5</v>
      </c>
      <c r="L7" s="32">
        <f>'Water Heater Stock'!L8/'Water Heater Stock'!L$5</f>
        <v>1.6549332601966768E-5</v>
      </c>
      <c r="M7" s="32">
        <f>'Water Heater Stock'!M8/'Water Heater Stock'!M$5</f>
        <v>1.7516925047988279E-5</v>
      </c>
      <c r="N7" s="32">
        <f>'Water Heater Stock'!N8/'Water Heater Stock'!N$5</f>
        <v>1.8394018454482612E-5</v>
      </c>
      <c r="O7" s="32">
        <f>'Water Heater Stock'!O8/'Water Heater Stock'!O$5</f>
        <v>1.9187299338929604E-5</v>
      </c>
      <c r="P7" s="32">
        <f>'Water Heater Stock'!P8/'Water Heater Stock'!P$5</f>
        <v>1.9902975796848614E-5</v>
      </c>
      <c r="Q7" s="32">
        <f>'Water Heater Stock'!Q8/'Water Heater Stock'!Q$5</f>
        <v>2.0546811627601891E-5</v>
      </c>
      <c r="R7" s="32">
        <f>'Water Heater Stock'!R8/'Water Heater Stock'!R$5</f>
        <v>2.1124158024067918E-5</v>
      </c>
      <c r="S7" s="32">
        <f>'Water Heater Stock'!S8/'Water Heater Stock'!S$5</f>
        <v>2.1639983000192059E-5</v>
      </c>
      <c r="T7" s="32">
        <f>'Water Heater Stock'!T8/'Water Heater Stock'!T$5</f>
        <v>2.2098898717991453E-5</v>
      </c>
      <c r="U7" s="32">
        <f>'Water Heater Stock'!U8/'Water Heater Stock'!U$5</f>
        <v>2.2505186864048549E-5</v>
      </c>
      <c r="V7" s="32">
        <f>'Water Heater Stock'!V8/'Water Heater Stock'!V$5</f>
        <v>2.2862822214809498E-5</v>
      </c>
      <c r="W7" s="32">
        <f>'Water Heater Stock'!W8/'Water Heater Stock'!W$5</f>
        <v>2.3175494520051198E-5</v>
      </c>
    </row>
    <row r="8" spans="1:23">
      <c r="A8" s="9" t="str">
        <f>+'Device Energy Use'!A8</f>
        <v>Instant Gas</v>
      </c>
      <c r="B8" s="32">
        <f>'Water Heater Stock'!B9/'Water Heater Stock'!B$5</f>
        <v>0</v>
      </c>
      <c r="C8" s="32">
        <f>'Water Heater Stock'!C9/'Water Heater Stock'!C$5</f>
        <v>9.6264462366238823E-3</v>
      </c>
      <c r="D8" s="32">
        <f>'Water Heater Stock'!D9/'Water Heater Stock'!D$5</f>
        <v>1.8602893463545617E-2</v>
      </c>
      <c r="E8" s="32">
        <f>'Water Heater Stock'!E9/'Water Heater Stock'!E$5</f>
        <v>2.6975896497896855E-2</v>
      </c>
      <c r="F8" s="32">
        <f>'Water Heater Stock'!F9/'Water Heater Stock'!F$5</f>
        <v>3.4788680413462614E-2</v>
      </c>
      <c r="G8" s="32">
        <f>'Water Heater Stock'!G9/'Water Heater Stock'!G$5</f>
        <v>4.2081378278880151E-2</v>
      </c>
      <c r="H8" s="32">
        <f>'Water Heater Stock'!H9/'Water Heater Stock'!H$5</f>
        <v>4.8891251915044565E-2</v>
      </c>
      <c r="I8" s="32">
        <f>'Water Heater Stock'!I9/'Water Heater Stock'!I$5</f>
        <v>5.5252896884718024E-2</v>
      </c>
      <c r="J8" s="32">
        <f>'Water Heater Stock'!J9/'Water Heater Stock'!J$5</f>
        <v>6.1198432840698057E-2</v>
      </c>
      <c r="K8" s="32">
        <f>'Water Heater Stock'!K9/'Water Heater Stock'!K$5</f>
        <v>6.6757680278447404E-2</v>
      </c>
      <c r="L8" s="32">
        <f>'Water Heater Stock'!L9/'Water Heater Stock'!L$5</f>
        <v>7.1958324664381693E-2</v>
      </c>
      <c r="M8" s="32">
        <f>'Water Heater Stock'!M9/'Water Heater Stock'!M$5</f>
        <v>7.6826068841640338E-2</v>
      </c>
      <c r="N8" s="32">
        <f>'Water Heater Stock'!N9/'Water Heater Stock'!N$5</f>
        <v>8.1384774550751604E-2</v>
      </c>
      <c r="O8" s="32">
        <f>'Water Heater Stock'!O9/'Water Heater Stock'!O$5</f>
        <v>8.5656593842787204E-2</v>
      </c>
      <c r="P8" s="32">
        <f>'Water Heater Stock'!P9/'Water Heater Stock'!P$5</f>
        <v>8.9662091107060679E-2</v>
      </c>
      <c r="Q8" s="32">
        <f>'Water Heater Stock'!Q9/'Water Heater Stock'!Q$5</f>
        <v>9.3420356383848394E-2</v>
      </c>
      <c r="R8" s="32">
        <f>'Water Heater Stock'!R9/'Water Heater Stock'!R$5</f>
        <v>9.6949110584721193E-2</v>
      </c>
      <c r="S8" s="32">
        <f>'Water Heater Stock'!S9/'Water Heater Stock'!S$5</f>
        <v>0.10026480319860381</v>
      </c>
      <c r="T8" s="32">
        <f>'Water Heater Stock'!T9/'Water Heater Stock'!T$5</f>
        <v>0.10338270302038584</v>
      </c>
      <c r="U8" s="32">
        <f>'Water Heater Stock'!U9/'Water Heater Stock'!U$5</f>
        <v>0.10631698240056274</v>
      </c>
      <c r="V8" s="32">
        <f>'Water Heater Stock'!V9/'Water Heater Stock'!V$5</f>
        <v>0.10908079547877962</v>
      </c>
      <c r="W8" s="32">
        <f>'Water Heater Stock'!W9/'Water Heater Stock'!W$5</f>
        <v>0.11168635083108824</v>
      </c>
    </row>
    <row r="9" spans="1:23">
      <c r="A9" s="9" t="str">
        <f>+'Device Energy Use'!A9</f>
        <v>Condensing Gas</v>
      </c>
      <c r="B9" s="32">
        <f>'Water Heater Stock'!B10/'Water Heater Stock'!B$5</f>
        <v>0</v>
      </c>
      <c r="C9" s="32">
        <f>'Water Heater Stock'!C10/'Water Heater Stock'!C$5</f>
        <v>2.1754527096239554E-2</v>
      </c>
      <c r="D9" s="32">
        <f>'Water Heater Stock'!D10/'Water Heater Stock'!D$5</f>
        <v>4.1934509994243516E-2</v>
      </c>
      <c r="E9" s="32">
        <f>'Water Heater Stock'!E10/'Water Heater Stock'!E$5</f>
        <v>6.0651965947381009E-2</v>
      </c>
      <c r="F9" s="32">
        <f>'Water Heater Stock'!F10/'Water Heater Stock'!F$5</f>
        <v>7.8010910761683941E-2</v>
      </c>
      <c r="G9" s="32">
        <f>'Water Heater Stock'!G10/'Water Heater Stock'!G$5</f>
        <v>9.4107930460303732E-2</v>
      </c>
      <c r="H9" s="32">
        <f>'Water Heater Stock'!H10/'Water Heater Stock'!H$5</f>
        <v>0.10903271211544552</v>
      </c>
      <c r="I9" s="32">
        <f>'Water Heater Stock'!I10/'Water Heater Stock'!I$5</f>
        <v>0.12286853676429052</v>
      </c>
      <c r="J9" s="32">
        <f>'Water Heater Stock'!J10/'Water Heater Stock'!J$5</f>
        <v>0.13569273711709257</v>
      </c>
      <c r="K9" s="32">
        <f>'Water Heater Stock'!K10/'Water Heater Stock'!K$5</f>
        <v>0.1475771225721926</v>
      </c>
      <c r="L9" s="32">
        <f>'Water Heater Stock'!L10/'Water Heater Stock'!L$5</f>
        <v>0.15858837387306904</v>
      </c>
      <c r="M9" s="32">
        <f>'Water Heater Stock'!M10/'Water Heater Stock'!M$5</f>
        <v>0.16878840957574648</v>
      </c>
      <c r="N9" s="32">
        <f>'Water Heater Stock'!N10/'Water Heater Stock'!N$5</f>
        <v>0.17823472634000498</v>
      </c>
      <c r="O9" s="32">
        <f>'Water Heater Stock'!O10/'Water Heater Stock'!O$5</f>
        <v>0.18698071491401302</v>
      </c>
      <c r="P9" s="32">
        <f>'Water Heater Stock'!P10/'Water Heater Stock'!P$5</f>
        <v>0.19507595354846341</v>
      </c>
      <c r="Q9" s="32">
        <f>'Water Heater Stock'!Q10/'Water Heater Stock'!Q$5</f>
        <v>0.20256648045228448</v>
      </c>
      <c r="R9" s="32">
        <f>'Water Heater Stock'!R10/'Water Heater Stock'!R$5</f>
        <v>0.20949504678685113</v>
      </c>
      <c r="S9" s="32">
        <f>'Water Heater Stock'!S10/'Water Heater Stock'!S$5</f>
        <v>0.2159013515886968</v>
      </c>
      <c r="T9" s="32">
        <f>'Water Heater Stock'!T10/'Water Heater Stock'!T$5</f>
        <v>0.22182225991144108</v>
      </c>
      <c r="U9" s="32">
        <f>'Water Heater Stock'!U10/'Water Heater Stock'!U$5</f>
        <v>0.22729200538545574</v>
      </c>
      <c r="V9" s="32">
        <f>'Water Heater Stock'!V10/'Water Heater Stock'!V$5</f>
        <v>0.23234237830818147</v>
      </c>
      <c r="W9" s="32">
        <f>'Water Heater Stock'!W10/'Water Heater Stock'!W$5</f>
        <v>0.23700290029851523</v>
      </c>
    </row>
    <row r="11" spans="1:23">
      <c r="A11" s="42" t="s">
        <v>108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f>'Water Heater Stock'!B15/'Water Heater Stock'!B$14</f>
        <v>1</v>
      </c>
      <c r="C13" s="32">
        <f>'Water Heater Stock'!C15/'Water Heater Stock'!C$14</f>
        <v>0.9285714285714286</v>
      </c>
      <c r="D13" s="32">
        <f>'Water Heater Stock'!D15/'Water Heater Stock'!D$14</f>
        <v>0.86224489795918358</v>
      </c>
      <c r="E13" s="32">
        <f>'Water Heater Stock'!E15/'Water Heater Stock'!E$14</f>
        <v>0.80065597667638477</v>
      </c>
      <c r="F13" s="32">
        <f>'Water Heater Stock'!F15/'Water Heater Stock'!F$14</f>
        <v>0.74346626405664307</v>
      </c>
      <c r="G13" s="32">
        <f>'Water Heater Stock'!G15/'Water Heater Stock'!G$14</f>
        <v>0.69036153090973995</v>
      </c>
      <c r="H13" s="32">
        <f>'Water Heater Stock'!H15/'Water Heater Stock'!H$14</f>
        <v>0.64104999298761567</v>
      </c>
      <c r="I13" s="32">
        <f>'Water Heater Stock'!I15/'Water Heater Stock'!I$14</f>
        <v>0.59526070777421458</v>
      </c>
      <c r="J13" s="32">
        <f>'Water Heater Stock'!J15/'Water Heater Stock'!J$14</f>
        <v>0.55274208579034212</v>
      </c>
      <c r="K13" s="32">
        <f>'Water Heater Stock'!K15/'Water Heater Stock'!K$14</f>
        <v>0.51326050823388913</v>
      </c>
      <c r="L13" s="32">
        <f>'Water Heater Stock'!L15/'Water Heater Stock'!L$14</f>
        <v>0.47659904336003989</v>
      </c>
      <c r="M13" s="32">
        <f>'Water Heater Stock'!M15/'Water Heater Stock'!M$14</f>
        <v>0.44255625454860853</v>
      </c>
      <c r="N13" s="32">
        <f>'Water Heater Stock'!N15/'Water Heater Stock'!N$14</f>
        <v>0.41094509350942215</v>
      </c>
      <c r="O13" s="32">
        <f>'Water Heater Stock'!O15/'Water Heater Stock'!O$14</f>
        <v>0.38159187254446347</v>
      </c>
      <c r="P13" s="32">
        <f>'Water Heater Stock'!P15/'Water Heater Stock'!P$14</f>
        <v>0.35433531021985892</v>
      </c>
      <c r="Q13" s="32">
        <f>'Water Heater Stock'!Q15/'Water Heater Stock'!Q$14</f>
        <v>0.32902564520415467</v>
      </c>
      <c r="R13" s="32">
        <f>'Water Heater Stock'!R15/'Water Heater Stock'!R$14</f>
        <v>0.30552381340385792</v>
      </c>
      <c r="S13" s="32">
        <f>'Water Heater Stock'!S15/'Water Heater Stock'!S$14</f>
        <v>0.28370068387501091</v>
      </c>
      <c r="T13" s="32">
        <f>'Water Heater Stock'!T15/'Water Heater Stock'!T$14</f>
        <v>0.26343634931251014</v>
      </c>
      <c r="U13" s="32">
        <f>'Water Heater Stock'!U15/'Water Heater Stock'!U$14</f>
        <v>0.24461946721875938</v>
      </c>
      <c r="V13" s="32">
        <f>'Water Heater Stock'!V15/'Water Heater Stock'!V$14</f>
        <v>0.2271466481317051</v>
      </c>
      <c r="W13" s="32">
        <f>'Water Heater Stock'!W15/'Water Heater Stock'!W$14</f>
        <v>0.21092188755086902</v>
      </c>
    </row>
    <row r="14" spans="1:23">
      <c r="A14" s="9" t="str">
        <f>+'Device Energy Use'!A6</f>
        <v>HPWH</v>
      </c>
      <c r="B14" s="32">
        <f>'Water Heater Stock'!B16/'Water Heater Stock'!B$14</f>
        <v>0</v>
      </c>
      <c r="C14" s="32">
        <f>'Water Heater Stock'!C16/'Water Heater Stock'!C$14</f>
        <v>7.1428571428571425E-2</v>
      </c>
      <c r="D14" s="32">
        <f>'Water Heater Stock'!D16/'Water Heater Stock'!D$14</f>
        <v>0.13775510204081631</v>
      </c>
      <c r="E14" s="32">
        <f>'Water Heater Stock'!E16/'Water Heater Stock'!E$14</f>
        <v>0.19934402332361517</v>
      </c>
      <c r="F14" s="32">
        <f>'Water Heater Stock'!F16/'Water Heater Stock'!F$14</f>
        <v>0.25653373594335693</v>
      </c>
      <c r="G14" s="32">
        <f>'Water Heater Stock'!G16/'Water Heater Stock'!G$14</f>
        <v>0.30963846909025999</v>
      </c>
      <c r="H14" s="32">
        <f>'Water Heater Stock'!H16/'Water Heater Stock'!H$14</f>
        <v>0.35895000701238433</v>
      </c>
      <c r="I14" s="32">
        <f>'Water Heater Stock'!I16/'Water Heater Stock'!I$14</f>
        <v>0.40473929222578542</v>
      </c>
      <c r="J14" s="32">
        <f>'Water Heater Stock'!J16/'Water Heater Stock'!J$14</f>
        <v>0.44725791420965788</v>
      </c>
      <c r="K14" s="32">
        <f>'Water Heater Stock'!K16/'Water Heater Stock'!K$14</f>
        <v>0.48673949176611092</v>
      </c>
      <c r="L14" s="32">
        <f>'Water Heater Stock'!L16/'Water Heater Stock'!L$14</f>
        <v>0.52340095663996011</v>
      </c>
      <c r="M14" s="32">
        <f>'Water Heater Stock'!M16/'Water Heater Stock'!M$14</f>
        <v>0.55744374545139153</v>
      </c>
      <c r="N14" s="32">
        <f>'Water Heater Stock'!N16/'Water Heater Stock'!N$14</f>
        <v>0.58905490649057779</v>
      </c>
      <c r="O14" s="32">
        <f>'Water Heater Stock'!O16/'Water Heater Stock'!O$14</f>
        <v>0.61840812745553664</v>
      </c>
      <c r="P14" s="32">
        <f>'Water Heater Stock'!P16/'Water Heater Stock'!P$14</f>
        <v>0.64566468978014113</v>
      </c>
      <c r="Q14" s="32">
        <f>'Water Heater Stock'!Q16/'Water Heater Stock'!Q$14</f>
        <v>0.67097435479584533</v>
      </c>
      <c r="R14" s="32">
        <f>'Water Heater Stock'!R16/'Water Heater Stock'!R$14</f>
        <v>0.69447618659614219</v>
      </c>
      <c r="S14" s="32">
        <f>'Water Heater Stock'!S16/'Water Heater Stock'!S$14</f>
        <v>0.7162993161249892</v>
      </c>
      <c r="T14" s="32">
        <f>'Water Heater Stock'!T16/'Water Heater Stock'!T$14</f>
        <v>0.73656365068748997</v>
      </c>
      <c r="U14" s="32">
        <f>'Water Heater Stock'!U16/'Water Heater Stock'!U$14</f>
        <v>0.75538053278124062</v>
      </c>
      <c r="V14" s="32">
        <f>'Water Heater Stock'!V16/'Water Heater Stock'!V$14</f>
        <v>0.77285335186829485</v>
      </c>
      <c r="W14" s="32">
        <f>'Water Heater Stock'!W16/'Water Heater Stock'!W$14</f>
        <v>0.78907811244913095</v>
      </c>
    </row>
    <row r="15" spans="1:23">
      <c r="A15" s="9" t="str">
        <f>+'Device Energy Use'!A7</f>
        <v>Gas Tank</v>
      </c>
      <c r="B15" s="32">
        <f>'Water Heater Stock'!B17/'Water Heater Stock'!B$14</f>
        <v>0</v>
      </c>
      <c r="C15" s="32">
        <f>'Water Heater Stock'!C17/'Water Heater Stock'!C$14</f>
        <v>0</v>
      </c>
      <c r="D15" s="32">
        <f>'Water Heater Stock'!D17/'Water Heater Stock'!D$14</f>
        <v>0</v>
      </c>
      <c r="E15" s="32">
        <f>'Water Heater Stock'!E17/'Water Heater Stock'!E$14</f>
        <v>0</v>
      </c>
      <c r="F15" s="32">
        <f>'Water Heater Stock'!F17/'Water Heater Stock'!F$14</f>
        <v>0</v>
      </c>
      <c r="G15" s="32">
        <f>'Water Heater Stock'!G17/'Water Heater Stock'!G$14</f>
        <v>0</v>
      </c>
      <c r="H15" s="32">
        <f>'Water Heater Stock'!H17/'Water Heater Stock'!H$14</f>
        <v>0</v>
      </c>
      <c r="I15" s="32">
        <f>'Water Heater Stock'!I17/'Water Heater Stock'!I$14</f>
        <v>0</v>
      </c>
      <c r="J15" s="32">
        <f>'Water Heater Stock'!J17/'Water Heater Stock'!J$14</f>
        <v>0</v>
      </c>
      <c r="K15" s="32">
        <f>'Water Heater Stock'!K17/'Water Heater Stock'!K$14</f>
        <v>0</v>
      </c>
      <c r="L15" s="32">
        <f>'Water Heater Stock'!L17/'Water Heater Stock'!L$14</f>
        <v>0</v>
      </c>
      <c r="M15" s="32">
        <f>'Water Heater Stock'!M17/'Water Heater Stock'!M$14</f>
        <v>0</v>
      </c>
      <c r="N15" s="32">
        <f>'Water Heater Stock'!N17/'Water Heater Stock'!N$14</f>
        <v>0</v>
      </c>
      <c r="O15" s="32">
        <f>'Water Heater Stock'!O17/'Water Heater Stock'!O$14</f>
        <v>0</v>
      </c>
      <c r="P15" s="32">
        <f>'Water Heater Stock'!P17/'Water Heater Stock'!P$14</f>
        <v>0</v>
      </c>
      <c r="Q15" s="32">
        <f>'Water Heater Stock'!Q17/'Water Heater Stock'!Q$14</f>
        <v>0</v>
      </c>
      <c r="R15" s="32">
        <f>'Water Heater Stock'!R17/'Water Heater Stock'!R$14</f>
        <v>0</v>
      </c>
      <c r="S15" s="32">
        <f>'Water Heater Stock'!S17/'Water Heater Stock'!S$14</f>
        <v>0</v>
      </c>
      <c r="T15" s="32">
        <f>'Water Heater Stock'!T17/'Water Heater Stock'!T$14</f>
        <v>0</v>
      </c>
      <c r="U15" s="32">
        <f>'Water Heater Stock'!U17/'Water Heater Stock'!U$14</f>
        <v>0</v>
      </c>
      <c r="V15" s="32">
        <f>'Water Heater Stock'!V17/'Water Heater Stock'!V$14</f>
        <v>0</v>
      </c>
      <c r="W15" s="32">
        <f>'Water Heater Stock'!W17/'Water Heater Stock'!W$14</f>
        <v>0</v>
      </c>
    </row>
    <row r="16" spans="1:23">
      <c r="A16" s="9" t="str">
        <f>+'Device Energy Use'!A8</f>
        <v>Instant Gas</v>
      </c>
      <c r="B16" s="32">
        <f>'Water Heater Stock'!B18/'Water Heater Stock'!B$14</f>
        <v>0</v>
      </c>
      <c r="C16" s="32">
        <f>'Water Heater Stock'!C18/'Water Heater Stock'!C$14</f>
        <v>0</v>
      </c>
      <c r="D16" s="32">
        <f>'Water Heater Stock'!D18/'Water Heater Stock'!D$14</f>
        <v>0</v>
      </c>
      <c r="E16" s="32">
        <f>'Water Heater Stock'!E18/'Water Heater Stock'!E$14</f>
        <v>0</v>
      </c>
      <c r="F16" s="32">
        <f>'Water Heater Stock'!F18/'Water Heater Stock'!F$14</f>
        <v>0</v>
      </c>
      <c r="G16" s="32">
        <f>'Water Heater Stock'!G18/'Water Heater Stock'!G$14</f>
        <v>0</v>
      </c>
      <c r="H16" s="32">
        <f>'Water Heater Stock'!H18/'Water Heater Stock'!H$14</f>
        <v>0</v>
      </c>
      <c r="I16" s="32">
        <f>'Water Heater Stock'!I18/'Water Heater Stock'!I$14</f>
        <v>0</v>
      </c>
      <c r="J16" s="32">
        <f>'Water Heater Stock'!J18/'Water Heater Stock'!J$14</f>
        <v>0</v>
      </c>
      <c r="K16" s="32">
        <f>'Water Heater Stock'!K18/'Water Heater Stock'!K$14</f>
        <v>0</v>
      </c>
      <c r="L16" s="32">
        <f>'Water Heater Stock'!L18/'Water Heater Stock'!L$14</f>
        <v>0</v>
      </c>
      <c r="M16" s="32">
        <f>'Water Heater Stock'!M18/'Water Heater Stock'!M$14</f>
        <v>0</v>
      </c>
      <c r="N16" s="32">
        <f>'Water Heater Stock'!N18/'Water Heater Stock'!N$14</f>
        <v>0</v>
      </c>
      <c r="O16" s="32">
        <f>'Water Heater Stock'!O18/'Water Heater Stock'!O$14</f>
        <v>0</v>
      </c>
      <c r="P16" s="32">
        <f>'Water Heater Stock'!P18/'Water Heater Stock'!P$14</f>
        <v>0</v>
      </c>
      <c r="Q16" s="32">
        <f>'Water Heater Stock'!Q18/'Water Heater Stock'!Q$14</f>
        <v>0</v>
      </c>
      <c r="R16" s="32">
        <f>'Water Heater Stock'!R18/'Water Heater Stock'!R$14</f>
        <v>0</v>
      </c>
      <c r="S16" s="32">
        <f>'Water Heater Stock'!S18/'Water Heater Stock'!S$14</f>
        <v>0</v>
      </c>
      <c r="T16" s="32">
        <f>'Water Heater Stock'!T18/'Water Heater Stock'!T$14</f>
        <v>0</v>
      </c>
      <c r="U16" s="32">
        <f>'Water Heater Stock'!U18/'Water Heater Stock'!U$14</f>
        <v>0</v>
      </c>
      <c r="V16" s="32">
        <f>'Water Heater Stock'!V18/'Water Heater Stock'!V$14</f>
        <v>0</v>
      </c>
      <c r="W16" s="32">
        <f>'Water Heater Stock'!W18/'Water Heater Stock'!W$14</f>
        <v>0</v>
      </c>
    </row>
    <row r="17" spans="1:23">
      <c r="A17" s="9" t="str">
        <f>+'Device Energy Use'!A9</f>
        <v>Condensing Gas</v>
      </c>
      <c r="B17" s="32">
        <f>'Water Heater Stock'!B19/'Water Heater Stock'!B$14</f>
        <v>0</v>
      </c>
      <c r="C17" s="32">
        <f>'Water Heater Stock'!C19/'Water Heater Stock'!C$14</f>
        <v>0</v>
      </c>
      <c r="D17" s="32">
        <f>'Water Heater Stock'!D19/'Water Heater Stock'!D$14</f>
        <v>0</v>
      </c>
      <c r="E17" s="32">
        <f>'Water Heater Stock'!E19/'Water Heater Stock'!E$14</f>
        <v>0</v>
      </c>
      <c r="F17" s="32">
        <f>'Water Heater Stock'!F19/'Water Heater Stock'!F$14</f>
        <v>0</v>
      </c>
      <c r="G17" s="32">
        <f>'Water Heater Stock'!G19/'Water Heater Stock'!G$14</f>
        <v>0</v>
      </c>
      <c r="H17" s="32">
        <f>'Water Heater Stock'!H19/'Water Heater Stock'!H$14</f>
        <v>0</v>
      </c>
      <c r="I17" s="32">
        <f>'Water Heater Stock'!I19/'Water Heater Stock'!I$14</f>
        <v>0</v>
      </c>
      <c r="J17" s="32">
        <f>'Water Heater Stock'!J19/'Water Heater Stock'!J$14</f>
        <v>0</v>
      </c>
      <c r="K17" s="32">
        <f>'Water Heater Stock'!K19/'Water Heater Stock'!K$14</f>
        <v>0</v>
      </c>
      <c r="L17" s="32">
        <f>'Water Heater Stock'!L19/'Water Heater Stock'!L$14</f>
        <v>0</v>
      </c>
      <c r="M17" s="32">
        <f>'Water Heater Stock'!M19/'Water Heater Stock'!M$14</f>
        <v>0</v>
      </c>
      <c r="N17" s="32">
        <f>'Water Heater Stock'!N19/'Water Heater Stock'!N$14</f>
        <v>0</v>
      </c>
      <c r="O17" s="32">
        <f>'Water Heater Stock'!O19/'Water Heater Stock'!O$14</f>
        <v>0</v>
      </c>
      <c r="P17" s="32">
        <f>'Water Heater Stock'!P19/'Water Heater Stock'!P$14</f>
        <v>0</v>
      </c>
      <c r="Q17" s="32">
        <f>'Water Heater Stock'!Q19/'Water Heater Stock'!Q$14</f>
        <v>0</v>
      </c>
      <c r="R17" s="32">
        <f>'Water Heater Stock'!R19/'Water Heater Stock'!R$14</f>
        <v>0</v>
      </c>
      <c r="S17" s="32">
        <f>'Water Heater Stock'!S19/'Water Heater Stock'!S$14</f>
        <v>0</v>
      </c>
      <c r="T17" s="32">
        <f>'Water Heater Stock'!T19/'Water Heater Stock'!T$14</f>
        <v>0</v>
      </c>
      <c r="U17" s="32">
        <f>'Water Heater Stock'!U19/'Water Heater Stock'!U$14</f>
        <v>0</v>
      </c>
      <c r="V17" s="32">
        <f>'Water Heater Stock'!V19/'Water Heater Stock'!V$14</f>
        <v>0</v>
      </c>
      <c r="W17" s="32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>
      <selection activeCell="E15" sqref="E15"/>
    </sheetView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ht="18" customHeight="1">
      <c r="A3" s="42" t="s">
        <v>88</v>
      </c>
    </row>
    <row r="4" spans="1:23" s="23" customFormat="1">
      <c r="A4" s="40" t="str">
        <f>+'Device Energy Use'!A4</f>
        <v>Water Heat Ending</v>
      </c>
      <c r="B4" s="39">
        <f>'Marginal Allocation Weight'!B4</f>
        <v>2014</v>
      </c>
      <c r="C4" s="39">
        <f>'Marginal Allocation Weight'!C4</f>
        <v>2015</v>
      </c>
      <c r="D4" s="39">
        <f>'Marginal Allocation Weight'!D4</f>
        <v>2016</v>
      </c>
      <c r="E4" s="39">
        <f>'Marginal Allocation Weight'!E4</f>
        <v>2017</v>
      </c>
      <c r="F4" s="39">
        <f>'Marginal Allocation Weight'!F4</f>
        <v>2018</v>
      </c>
      <c r="G4" s="39">
        <f>'Marginal Allocation Weight'!G4</f>
        <v>2019</v>
      </c>
      <c r="H4" s="39">
        <f>'Marginal Allocation Weight'!H4</f>
        <v>2020</v>
      </c>
      <c r="I4" s="39">
        <f>'Marginal Allocation Weight'!I4</f>
        <v>2021</v>
      </c>
      <c r="J4" s="39">
        <f>'Marginal Allocation Weight'!J4</f>
        <v>2022</v>
      </c>
      <c r="K4" s="39">
        <f>'Marginal Allocation Weight'!K4</f>
        <v>2023</v>
      </c>
      <c r="L4" s="39">
        <f>'Marginal Allocation Weight'!L4</f>
        <v>2024</v>
      </c>
      <c r="M4" s="39">
        <f>'Marginal Allocation Weight'!M4</f>
        <v>2025</v>
      </c>
      <c r="N4" s="39">
        <f>'Marginal Allocation Weight'!N4</f>
        <v>2026</v>
      </c>
      <c r="O4" s="39">
        <f>'Marginal Allocation Weight'!O4</f>
        <v>2027</v>
      </c>
      <c r="P4" s="39">
        <f>'Marginal Allocation Weight'!P4</f>
        <v>2028</v>
      </c>
      <c r="Q4" s="39">
        <f>'Marginal Allocation Weight'!Q4</f>
        <v>2029</v>
      </c>
      <c r="R4" s="39">
        <f>'Marginal Allocation Weight'!R4</f>
        <v>2030</v>
      </c>
      <c r="S4" s="39">
        <f>'Marginal Allocation Weight'!S4</f>
        <v>2031</v>
      </c>
      <c r="T4" s="39">
        <f>'Marginal Allocation Weight'!T4</f>
        <v>2032</v>
      </c>
      <c r="U4" s="39">
        <f>'Marginal Allocation Weight'!U4</f>
        <v>2033</v>
      </c>
      <c r="V4" s="39">
        <f>'Marginal Allocation Weight'!V4</f>
        <v>2034</v>
      </c>
      <c r="W4" s="39">
        <f>'Marginal Allocation Weight'!W4</f>
        <v>2035</v>
      </c>
    </row>
    <row r="5" spans="1:23">
      <c r="A5" s="9" t="str">
        <f>+'Device Energy Use'!A5</f>
        <v>Electric Resistance</v>
      </c>
      <c r="B5" s="32">
        <f>'Marginal Allocation Weight'!B5/'Total Allocation Weight'!B5</f>
        <v>0.99990403978933062</v>
      </c>
      <c r="C5" s="32">
        <f>'Marginal Allocation Weight'!C5/'Total Allocation Weight'!C5</f>
        <v>2.1254779273368582E-5</v>
      </c>
      <c r="D5" s="32">
        <f>'Marginal Allocation Weight'!D5/'Total Allocation Weight'!D5</f>
        <v>2.1036087205493359E-5</v>
      </c>
      <c r="E5" s="32">
        <f>'Marginal Allocation Weight'!E5/'Total Allocation Weight'!E5</f>
        <v>2.0820613967637067E-5</v>
      </c>
      <c r="F5" s="32">
        <f>'Marginal Allocation Weight'!F5/'Total Allocation Weight'!F5</f>
        <v>2.0608319603181959E-5</v>
      </c>
      <c r="G5" s="32">
        <f>'Marginal Allocation Weight'!G5/'Total Allocation Weight'!G5</f>
        <v>2.0399164408982951E-5</v>
      </c>
      <c r="H5" s="32">
        <f>'Marginal Allocation Weight'!H5/'Total Allocation Weight'!H5</f>
        <v>2.0193108943065928E-5</v>
      </c>
      <c r="I5" s="32">
        <f>'Marginal Allocation Weight'!I5/'Total Allocation Weight'!I5</f>
        <v>1.9990114031956021E-5</v>
      </c>
      <c r="J5" s="32">
        <f>'Marginal Allocation Weight'!J5/'Total Allocation Weight'!J5</f>
        <v>1.9790140777641645E-5</v>
      </c>
      <c r="K5" s="32">
        <f>'Marginal Allocation Weight'!K5/'Total Allocation Weight'!K5</f>
        <v>1.9593150564181582E-5</v>
      </c>
      <c r="L5" s="32">
        <f>'Marginal Allocation Weight'!L5/'Total Allocation Weight'!L5</f>
        <v>1.9399105063961114E-5</v>
      </c>
      <c r="M5" s="32">
        <f>'Marginal Allocation Weight'!M5/'Total Allocation Weight'!M5</f>
        <v>1.9207966243604162E-5</v>
      </c>
      <c r="N5" s="32">
        <f>'Marginal Allocation Weight'!N5/'Total Allocation Weight'!N5</f>
        <v>1.9019696369548382E-5</v>
      </c>
      <c r="O5" s="32">
        <f>'Marginal Allocation Weight'!O5/'Total Allocation Weight'!O5</f>
        <v>1.8834258013289766E-5</v>
      </c>
      <c r="P5" s="32">
        <f>'Marginal Allocation Weight'!P5/'Total Allocation Weight'!P5</f>
        <v>1.8651614056304168E-5</v>
      </c>
      <c r="Q5" s="32">
        <f>'Marginal Allocation Weight'!Q5/'Total Allocation Weight'!Q5</f>
        <v>1.8471727694652433E-5</v>
      </c>
      <c r="R5" s="32">
        <f>'Marginal Allocation Weight'!R5/'Total Allocation Weight'!R5</f>
        <v>1.8294562443276379E-5</v>
      </c>
      <c r="S5" s="32">
        <f>'Marginal Allocation Weight'!S5/'Total Allocation Weight'!S5</f>
        <v>1.8120082139992795E-5</v>
      </c>
      <c r="T5" s="32">
        <f>'Marginal Allocation Weight'!T5/'Total Allocation Weight'!T5</f>
        <v>1.7948250949192421E-5</v>
      </c>
      <c r="U5" s="32">
        <f>'Marginal Allocation Weight'!U5/'Total Allocation Weight'!U5</f>
        <v>1.7779033365251314E-5</v>
      </c>
      <c r="V5" s="32">
        <f>'Marginal Allocation Weight'!V5/'Total Allocation Weight'!V5</f>
        <v>1.761239421566165E-5</v>
      </c>
      <c r="W5" s="32">
        <f>'Marginal Allocation Weight'!W5/'Total Allocation Weight'!W5</f>
        <v>1.7448298663889121E-5</v>
      </c>
    </row>
    <row r="6" spans="1:23">
      <c r="A6" s="9" t="str">
        <f>+'Device Energy Use'!A6</f>
        <v>HPWH</v>
      </c>
      <c r="B6" s="32">
        <f>'Marginal Allocation Weight'!B6/'Total Allocation Weight'!B6</f>
        <v>5.3820741105292772E-5</v>
      </c>
      <c r="C6" s="32">
        <f>'Marginal Allocation Weight'!C6/'Total Allocation Weight'!C6</f>
        <v>0.56061185582794071</v>
      </c>
      <c r="D6" s="32">
        <f>'Marginal Allocation Weight'!D6/'Total Allocation Weight'!D6</f>
        <v>0.56037503708129199</v>
      </c>
      <c r="E6" s="32">
        <f>'Marginal Allocation Weight'!E6/'Total Allocation Weight'!E6</f>
        <v>0.56014274615134585</v>
      </c>
      <c r="F6" s="32">
        <f>'Marginal Allocation Weight'!F6/'Total Allocation Weight'!F6</f>
        <v>0.55991504768082601</v>
      </c>
      <c r="G6" s="32">
        <f>'Marginal Allocation Weight'!G6/'Total Allocation Weight'!G6</f>
        <v>0.5596920058665652</v>
      </c>
      <c r="H6" s="32">
        <f>'Marginal Allocation Weight'!H6/'Total Allocation Weight'!H6</f>
        <v>0.55947368444324264</v>
      </c>
      <c r="I6" s="32">
        <f>'Marginal Allocation Weight'!I6/'Total Allocation Weight'!I6</f>
        <v>0.55926014666733592</v>
      </c>
      <c r="J6" s="32">
        <f>'Marginal Allocation Weight'!J6/'Total Allocation Weight'!J6</f>
        <v>0.55905145530129596</v>
      </c>
      <c r="K6" s="32">
        <f>'Marginal Allocation Weight'!K6/'Total Allocation Weight'!K6</f>
        <v>0.55884767259794099</v>
      </c>
      <c r="L6" s="32">
        <f>'Marginal Allocation Weight'!L6/'Total Allocation Weight'!L6</f>
        <v>0.55864886028507843</v>
      </c>
      <c r="M6" s="32">
        <f>'Marginal Allocation Weight'!M6/'Total Allocation Weight'!M6</f>
        <v>0.55845507955035378</v>
      </c>
      <c r="N6" s="32">
        <f>'Marginal Allocation Weight'!N6/'Total Allocation Weight'!N6</f>
        <v>0.55826639102632769</v>
      </c>
      <c r="O6" s="32">
        <f>'Marginal Allocation Weight'!O6/'Total Allocation Weight'!O6</f>
        <v>0.55808285477578246</v>
      </c>
      <c r="P6" s="32">
        <f>'Marginal Allocation Weight'!P6/'Total Allocation Weight'!P6</f>
        <v>0.55790453027725984</v>
      </c>
      <c r="Q6" s="32">
        <f>'Marginal Allocation Weight'!Q6/'Total Allocation Weight'!Q6</f>
        <v>0.55773147641083065</v>
      </c>
      <c r="R6" s="32">
        <f>'Marginal Allocation Weight'!R6/'Total Allocation Weight'!R6</f>
        <v>0.55756375144409287</v>
      </c>
      <c r="S6" s="32">
        <f>'Marginal Allocation Weight'!S6/'Total Allocation Weight'!S6</f>
        <v>0.5574014130184024</v>
      </c>
      <c r="T6" s="32">
        <f>'Marginal Allocation Weight'!T6/'Total Allocation Weight'!T6</f>
        <v>0.5572445181353326</v>
      </c>
      <c r="U6" s="32">
        <f>'Marginal Allocation Weight'!U6/'Total Allocation Weight'!U6</f>
        <v>0.5570931231433629</v>
      </c>
      <c r="V6" s="32">
        <f>'Marginal Allocation Weight'!V6/'Total Allocation Weight'!V6</f>
        <v>0.55694728372479463</v>
      </c>
      <c r="W6" s="32">
        <f>'Marginal Allocation Weight'!W6/'Total Allocation Weight'!W6</f>
        <v>0.55680705488289362</v>
      </c>
    </row>
    <row r="7" spans="1:23">
      <c r="A7" s="9" t="str">
        <f>+'Device Energy Use'!A7</f>
        <v>Gas Tank</v>
      </c>
      <c r="B7" s="32">
        <f>'Marginal Allocation Weight'!B7/'Total Allocation Weight'!B7</f>
        <v>3.2240352205107085E-9</v>
      </c>
      <c r="C7" s="32">
        <f>'Marginal Allocation Weight'!C7/'Total Allocation Weight'!C7</f>
        <v>3.3262732697802652E-5</v>
      </c>
      <c r="D7" s="32">
        <f>'Marginal Allocation Weight'!D7/'Total Allocation Weight'!D7</f>
        <v>3.2931749679348026E-5</v>
      </c>
      <c r="E7" s="32">
        <f>'Marginal Allocation Weight'!E7/'Total Allocation Weight'!E7</f>
        <v>3.260395205497951E-5</v>
      </c>
      <c r="F7" s="32">
        <f>'Marginal Allocation Weight'!F7/'Total Allocation Weight'!F7</f>
        <v>3.227933613108133E-5</v>
      </c>
      <c r="G7" s="32">
        <f>'Marginal Allocation Weight'!G7/'Total Allocation Weight'!G7</f>
        <v>3.1957897356904732E-5</v>
      </c>
      <c r="H7" s="32">
        <f>'Marginal Allocation Weight'!H7/'Total Allocation Weight'!H7</f>
        <v>3.1639630343578637E-5</v>
      </c>
      <c r="I7" s="32">
        <f>'Marginal Allocation Weight'!I7/'Total Allocation Weight'!I7</f>
        <v>3.1324528883326687E-5</v>
      </c>
      <c r="J7" s="32">
        <f>'Marginal Allocation Weight'!J7/'Total Allocation Weight'!J7</f>
        <v>3.1012585968864665E-5</v>
      </c>
      <c r="K7" s="32">
        <f>'Marginal Allocation Weight'!K7/'Total Allocation Weight'!K7</f>
        <v>3.0703793812953752E-5</v>
      </c>
      <c r="L7" s="32">
        <f>'Marginal Allocation Weight'!L7/'Total Allocation Weight'!L7</f>
        <v>3.0398143868084579E-5</v>
      </c>
      <c r="M7" s="32">
        <f>'Marginal Allocation Weight'!M7/'Total Allocation Weight'!M7</f>
        <v>3.009562684626798E-5</v>
      </c>
      <c r="N7" s="32">
        <f>'Marginal Allocation Weight'!N7/'Total Allocation Weight'!N7</f>
        <v>2.9796232738908902E-5</v>
      </c>
      <c r="O7" s="32">
        <f>'Marginal Allocation Weight'!O7/'Total Allocation Weight'!O7</f>
        <v>2.9499950836740527E-5</v>
      </c>
      <c r="P7" s="32">
        <f>'Marginal Allocation Weight'!P7/'Total Allocation Weight'!P7</f>
        <v>2.9206769749795698E-5</v>
      </c>
      <c r="Q7" s="32">
        <f>'Marginal Allocation Weight'!Q7/'Total Allocation Weight'!Q7</f>
        <v>2.8916677427394476E-5</v>
      </c>
      <c r="R7" s="32">
        <f>'Marginal Allocation Weight'!R7/'Total Allocation Weight'!R7</f>
        <v>2.862966117812629E-5</v>
      </c>
      <c r="S7" s="32">
        <f>'Marginal Allocation Weight'!S7/'Total Allocation Weight'!S7</f>
        <v>2.8345707689805825E-5</v>
      </c>
      <c r="T7" s="32">
        <f>'Marginal Allocation Weight'!T7/'Total Allocation Weight'!T7</f>
        <v>2.8064803049383574E-5</v>
      </c>
      <c r="U7" s="32">
        <f>'Marginal Allocation Weight'!U7/'Total Allocation Weight'!U7</f>
        <v>2.7786932762790819E-5</v>
      </c>
      <c r="V7" s="32">
        <f>'Marginal Allocation Weight'!V7/'Total Allocation Weight'!V7</f>
        <v>2.7512081774701743E-5</v>
      </c>
      <c r="W7" s="32">
        <f>'Marginal Allocation Weight'!W7/'Total Allocation Weight'!W7</f>
        <v>2.7240234488193345E-5</v>
      </c>
    </row>
    <row r="8" spans="1:23">
      <c r="A8" s="9" t="str">
        <f>+'Device Energy Use'!A8</f>
        <v>Instant Gas</v>
      </c>
      <c r="B8" s="32">
        <f>'Marginal Allocation Weight'!B8/'Total Allocation Weight'!B8</f>
        <v>1.2882514249557977E-5</v>
      </c>
      <c r="C8" s="32">
        <f>'Marginal Allocation Weight'!C8/'Total Allocation Weight'!C8</f>
        <v>0.13477024731273438</v>
      </c>
      <c r="D8" s="32">
        <f>'Marginal Allocation Weight'!D8/'Total Allocation Weight'!D8</f>
        <v>0.13529670741352812</v>
      </c>
      <c r="E8" s="32">
        <f>'Marginal Allocation Weight'!E8/'Total Allocation Weight'!E8</f>
        <v>0.13582493594446302</v>
      </c>
      <c r="F8" s="32">
        <f>'Marginal Allocation Weight'!F8/'Total Allocation Weight'!F8</f>
        <v>0.1363548713158175</v>
      </c>
      <c r="G8" s="32">
        <f>'Marginal Allocation Weight'!G8/'Total Allocation Weight'!G8</f>
        <v>0.13688645052930812</v>
      </c>
      <c r="H8" s="32">
        <f>'Marginal Allocation Weight'!H8/'Total Allocation Weight'!H8</f>
        <v>0.13741960918518198</v>
      </c>
      <c r="I8" s="32">
        <f>'Marginal Allocation Weight'!I8/'Total Allocation Weight'!I8</f>
        <v>0.13795428149047306</v>
      </c>
      <c r="J8" s="32">
        <f>'Marginal Allocation Weight'!J8/'Total Allocation Weight'!J8</f>
        <v>0.1384904002684384</v>
      </c>
      <c r="K8" s="32">
        <f>'Marginal Allocation Weight'!K8/'Total Allocation Weight'!K8</f>
        <v>0.13902789696918899</v>
      </c>
      <c r="L8" s="32">
        <f>'Marginal Allocation Weight'!L8/'Total Allocation Weight'!L8</f>
        <v>0.13956670168152713</v>
      </c>
      <c r="M8" s="32">
        <f>'Marginal Allocation Weight'!M8/'Total Allocation Weight'!M8</f>
        <v>0.1401067431460028</v>
      </c>
      <c r="N8" s="32">
        <f>'Marginal Allocation Weight'!N8/'Total Allocation Weight'!N8</f>
        <v>0.14064794876919803</v>
      </c>
      <c r="O8" s="32">
        <f>'Marginal Allocation Weight'!O8/'Total Allocation Weight'!O8</f>
        <v>0.14119024463924992</v>
      </c>
      <c r="P8" s="32">
        <f>'Marginal Allocation Weight'!P8/'Total Allocation Weight'!P8</f>
        <v>0.14173355554261563</v>
      </c>
      <c r="Q8" s="32">
        <f>'Marginal Allocation Weight'!Q8/'Total Allocation Weight'!Q8</f>
        <v>0.14227780498208881</v>
      </c>
      <c r="R8" s="32">
        <f>'Marginal Allocation Weight'!R8/'Total Allocation Weight'!R8</f>
        <v>0.14282291519606746</v>
      </c>
      <c r="S8" s="32">
        <f>'Marginal Allocation Weight'!S8/'Total Allocation Weight'!S8</f>
        <v>0.14336880717907777</v>
      </c>
      <c r="T8" s="32">
        <f>'Marginal Allocation Weight'!T8/'Total Allocation Weight'!T8</f>
        <v>0.14391540070355235</v>
      </c>
      <c r="U8" s="32">
        <f>'Marginal Allocation Weight'!U8/'Total Allocation Weight'!U8</f>
        <v>0.14446261434286228</v>
      </c>
      <c r="V8" s="32">
        <f>'Marginal Allocation Weight'!V8/'Total Allocation Weight'!V8</f>
        <v>0.14501036549559895</v>
      </c>
      <c r="W8" s="32">
        <f>'Marginal Allocation Weight'!W8/'Total Allocation Weight'!W8</f>
        <v>0.14555857041110018</v>
      </c>
    </row>
    <row r="9" spans="1:23">
      <c r="A9" s="9" t="str">
        <f>+'Device Energy Use'!A9</f>
        <v>Condensing Gas</v>
      </c>
      <c r="B9" s="32">
        <f>'Marginal Allocation Weight'!B9/'Total Allocation Weight'!B9</f>
        <v>2.9253731279342188E-5</v>
      </c>
      <c r="C9" s="32">
        <f>'Marginal Allocation Weight'!C9/'Total Allocation Weight'!C9</f>
        <v>0.30456337934735378</v>
      </c>
      <c r="D9" s="32">
        <f>'Marginal Allocation Weight'!D9/'Total Allocation Weight'!D9</f>
        <v>0.30427428766829495</v>
      </c>
      <c r="E9" s="32">
        <f>'Marginal Allocation Weight'!E9/'Total Allocation Weight'!E9</f>
        <v>0.30397889333816841</v>
      </c>
      <c r="F9" s="32">
        <f>'Marginal Allocation Weight'!F9/'Total Allocation Weight'!F9</f>
        <v>0.30367719334762217</v>
      </c>
      <c r="G9" s="32">
        <f>'Marginal Allocation Weight'!G9/'Total Allocation Weight'!G9</f>
        <v>0.30336918654236084</v>
      </c>
      <c r="H9" s="32">
        <f>'Marginal Allocation Weight'!H9/'Total Allocation Weight'!H9</f>
        <v>0.30305487363228872</v>
      </c>
      <c r="I9" s="32">
        <f>'Marginal Allocation Weight'!I9/'Total Allocation Weight'!I9</f>
        <v>0.30273425719927571</v>
      </c>
      <c r="J9" s="32">
        <f>'Marginal Allocation Weight'!J9/'Total Allocation Weight'!J9</f>
        <v>0.30240734170351907</v>
      </c>
      <c r="K9" s="32">
        <f>'Marginal Allocation Weight'!K9/'Total Allocation Weight'!K9</f>
        <v>0.30207413348849288</v>
      </c>
      <c r="L9" s="32">
        <f>'Marginal Allocation Weight'!L9/'Total Allocation Weight'!L9</f>
        <v>0.30173464078446222</v>
      </c>
      <c r="M9" s="32">
        <f>'Marginal Allocation Weight'!M9/'Total Allocation Weight'!M9</f>
        <v>0.30138887371055351</v>
      </c>
      <c r="N9" s="32">
        <f>'Marginal Allocation Weight'!N9/'Total Allocation Weight'!N9</f>
        <v>0.3010368442753657</v>
      </c>
      <c r="O9" s="32">
        <f>'Marginal Allocation Weight'!O9/'Total Allocation Weight'!O9</f>
        <v>0.30067856637611762</v>
      </c>
      <c r="P9" s="32">
        <f>'Marginal Allocation Weight'!P9/'Total Allocation Weight'!P9</f>
        <v>0.30031405579631831</v>
      </c>
      <c r="Q9" s="32">
        <f>'Marginal Allocation Weight'!Q9/'Total Allocation Weight'!Q9</f>
        <v>0.29994333020195851</v>
      </c>
      <c r="R9" s="32">
        <f>'Marginal Allocation Weight'!R9/'Total Allocation Weight'!R9</f>
        <v>0.29956640913621818</v>
      </c>
      <c r="S9" s="32">
        <f>'Marginal Allocation Weight'!S9/'Total Allocation Weight'!S9</f>
        <v>0.29918331401268994</v>
      </c>
      <c r="T9" s="32">
        <f>'Marginal Allocation Weight'!T9/'Total Allocation Weight'!T9</f>
        <v>0.29879406810711656</v>
      </c>
      <c r="U9" s="32">
        <f>'Marginal Allocation Weight'!U9/'Total Allocation Weight'!U9</f>
        <v>0.29839869654764672</v>
      </c>
      <c r="V9" s="32">
        <f>'Marginal Allocation Weight'!V9/'Total Allocation Weight'!V9</f>
        <v>0.29799722630361603</v>
      </c>
      <c r="W9" s="32">
        <f>'Marginal Allocation Weight'!W9/'Total Allocation Weight'!W9</f>
        <v>0.2975896861728542</v>
      </c>
    </row>
    <row r="11" spans="1:23">
      <c r="A11" s="42" t="s">
        <v>135</v>
      </c>
    </row>
    <row r="12" spans="1:23" s="23" customFormat="1">
      <c r="A12" s="40" t="str">
        <f>+'Device Energy Use'!A4</f>
        <v>Water Heat Ending</v>
      </c>
      <c r="B12" s="39">
        <f>'Levelized Costs'!B4</f>
        <v>2014</v>
      </c>
      <c r="C12" s="39">
        <f>'Levelized Costs'!C4</f>
        <v>2015</v>
      </c>
      <c r="D12" s="39">
        <f>'Levelized Costs'!D4</f>
        <v>2016</v>
      </c>
      <c r="E12" s="39">
        <f>'Levelized Costs'!E4</f>
        <v>2017</v>
      </c>
      <c r="F12" s="39">
        <f>'Levelized Costs'!F4</f>
        <v>2018</v>
      </c>
      <c r="G12" s="39">
        <f>'Levelized Costs'!G4</f>
        <v>2019</v>
      </c>
      <c r="H12" s="39">
        <f>'Levelized Costs'!H4</f>
        <v>2020</v>
      </c>
      <c r="I12" s="39">
        <f>'Levelized Costs'!I4</f>
        <v>2021</v>
      </c>
      <c r="J12" s="39">
        <f>'Levelized Costs'!J4</f>
        <v>2022</v>
      </c>
      <c r="K12" s="39">
        <f>'Levelized Costs'!K4</f>
        <v>2023</v>
      </c>
      <c r="L12" s="39">
        <f>'Levelized Costs'!L4</f>
        <v>2024</v>
      </c>
      <c r="M12" s="39">
        <f>'Levelized Costs'!M4</f>
        <v>2025</v>
      </c>
      <c r="N12" s="39">
        <f>'Levelized Costs'!N4</f>
        <v>2026</v>
      </c>
      <c r="O12" s="39">
        <f>'Levelized Costs'!O4</f>
        <v>2027</v>
      </c>
      <c r="P12" s="39">
        <f>'Levelized Costs'!P4</f>
        <v>2028</v>
      </c>
      <c r="Q12" s="39">
        <f>'Levelized Costs'!Q4</f>
        <v>2029</v>
      </c>
      <c r="R12" s="39">
        <f>'Levelized Costs'!R4</f>
        <v>2030</v>
      </c>
      <c r="S12" s="39">
        <f>'Levelized Costs'!S4</f>
        <v>2031</v>
      </c>
      <c r="T12" s="39">
        <f>'Levelized Costs'!T4</f>
        <v>2032</v>
      </c>
      <c r="U12" s="39">
        <f>'Levelized Costs'!U4</f>
        <v>2033</v>
      </c>
      <c r="V12" s="39">
        <f>'Levelized Costs'!V4</f>
        <v>2034</v>
      </c>
      <c r="W12" s="39">
        <f>'Levelized Costs'!W4</f>
        <v>2035</v>
      </c>
    </row>
    <row r="13" spans="1:23">
      <c r="A13" s="9" t="str">
        <f>+'Device Energy Use'!A5</f>
        <v>Electric Resistance</v>
      </c>
      <c r="B13" s="32">
        <v>0</v>
      </c>
      <c r="C13" s="32">
        <f>IF('Levelized Costs'!C5='Levelized Costs'!C$13,1,0)</f>
        <v>0</v>
      </c>
      <c r="D13" s="32">
        <f>IF('Levelized Costs'!D5='Levelized Costs'!D$13,1,0)</f>
        <v>0</v>
      </c>
      <c r="E13" s="32">
        <f>IF('Levelized Costs'!E5='Levelized Costs'!E$13,1,0)</f>
        <v>0</v>
      </c>
      <c r="F13" s="32">
        <f>IF('Levelized Costs'!F5='Levelized Costs'!F$13,1,0)</f>
        <v>0</v>
      </c>
      <c r="G13" s="32">
        <f>IF('Levelized Costs'!G5='Levelized Costs'!G$13,1,0)</f>
        <v>0</v>
      </c>
      <c r="H13" s="32">
        <f>IF('Levelized Costs'!H5='Levelized Costs'!H$13,1,0)</f>
        <v>0</v>
      </c>
      <c r="I13" s="32">
        <f>IF('Levelized Costs'!I5='Levelized Costs'!I$13,1,0)</f>
        <v>0</v>
      </c>
      <c r="J13" s="32">
        <f>IF('Levelized Costs'!J5='Levelized Costs'!J$13,1,0)</f>
        <v>0</v>
      </c>
      <c r="K13" s="32">
        <f>IF('Levelized Costs'!K5='Levelized Costs'!K$13,1,0)</f>
        <v>0</v>
      </c>
      <c r="L13" s="32">
        <f>IF('Levelized Costs'!L5='Levelized Costs'!L$13,1,0)</f>
        <v>0</v>
      </c>
      <c r="M13" s="32">
        <f>IF('Levelized Costs'!M5='Levelized Costs'!M$13,1,0)</f>
        <v>0</v>
      </c>
      <c r="N13" s="32">
        <f>IF('Levelized Costs'!N5='Levelized Costs'!N$13,1,0)</f>
        <v>0</v>
      </c>
      <c r="O13" s="32">
        <f>IF('Levelized Costs'!O5='Levelized Costs'!O$13,1,0)</f>
        <v>0</v>
      </c>
      <c r="P13" s="32">
        <f>IF('Levelized Costs'!P5='Levelized Costs'!P$13,1,0)</f>
        <v>0</v>
      </c>
      <c r="Q13" s="32">
        <f>IF('Levelized Costs'!Q5='Levelized Costs'!Q$13,1,0)</f>
        <v>0</v>
      </c>
      <c r="R13" s="32">
        <f>IF('Levelized Costs'!R5='Levelized Costs'!R$13,1,0)</f>
        <v>0</v>
      </c>
      <c r="S13" s="32">
        <f>IF('Levelized Costs'!S5='Levelized Costs'!S$13,1,0)</f>
        <v>0</v>
      </c>
      <c r="T13" s="32">
        <f>IF('Levelized Costs'!T5='Levelized Costs'!T$13,1,0)</f>
        <v>0</v>
      </c>
      <c r="U13" s="32">
        <f>IF('Levelized Costs'!U5='Levelized Costs'!U$13,1,0)</f>
        <v>0</v>
      </c>
      <c r="V13" s="32">
        <f>IF('Levelized Costs'!V5='Levelized Costs'!V$13,1,0)</f>
        <v>0</v>
      </c>
      <c r="W13" s="32">
        <f>IF('Levelized Costs'!W5='Levelized Costs'!W$13,1,0)</f>
        <v>0</v>
      </c>
    </row>
    <row r="14" spans="1:23">
      <c r="A14" s="9" t="str">
        <f>+'Device Energy Use'!A6</f>
        <v>HPWH</v>
      </c>
      <c r="B14" s="32">
        <v>0</v>
      </c>
      <c r="C14" s="32">
        <f>IF('Levelized Costs'!C6='Levelized Costs'!C$13,1,0)</f>
        <v>1</v>
      </c>
      <c r="D14" s="32">
        <f>IF('Levelized Costs'!D6='Levelized Costs'!D$13,1,0)</f>
        <v>1</v>
      </c>
      <c r="E14" s="32">
        <f>IF('Levelized Costs'!E6='Levelized Costs'!E$13,1,0)</f>
        <v>1</v>
      </c>
      <c r="F14" s="32">
        <f>IF('Levelized Costs'!F6='Levelized Costs'!F$13,1,0)</f>
        <v>1</v>
      </c>
      <c r="G14" s="32">
        <f>IF('Levelized Costs'!G6='Levelized Costs'!G$13,1,0)</f>
        <v>1</v>
      </c>
      <c r="H14" s="32">
        <f>IF('Levelized Costs'!H6='Levelized Costs'!H$13,1,0)</f>
        <v>1</v>
      </c>
      <c r="I14" s="32">
        <f>IF('Levelized Costs'!I6='Levelized Costs'!I$13,1,0)</f>
        <v>1</v>
      </c>
      <c r="J14" s="32">
        <f>IF('Levelized Costs'!J6='Levelized Costs'!J$13,1,0)</f>
        <v>1</v>
      </c>
      <c r="K14" s="32">
        <f>IF('Levelized Costs'!K6='Levelized Costs'!K$13,1,0)</f>
        <v>1</v>
      </c>
      <c r="L14" s="32">
        <f>IF('Levelized Costs'!L6='Levelized Costs'!L$13,1,0)</f>
        <v>1</v>
      </c>
      <c r="M14" s="32">
        <f>IF('Levelized Costs'!M6='Levelized Costs'!M$13,1,0)</f>
        <v>1</v>
      </c>
      <c r="N14" s="32">
        <f>IF('Levelized Costs'!N6='Levelized Costs'!N$13,1,0)</f>
        <v>1</v>
      </c>
      <c r="O14" s="32">
        <f>IF('Levelized Costs'!O6='Levelized Costs'!O$13,1,0)</f>
        <v>1</v>
      </c>
      <c r="P14" s="32">
        <f>IF('Levelized Costs'!P6='Levelized Costs'!P$13,1,0)</f>
        <v>1</v>
      </c>
      <c r="Q14" s="32">
        <f>IF('Levelized Costs'!Q6='Levelized Costs'!Q$13,1,0)</f>
        <v>1</v>
      </c>
      <c r="R14" s="32">
        <f>IF('Levelized Costs'!R6='Levelized Costs'!R$13,1,0)</f>
        <v>1</v>
      </c>
      <c r="S14" s="32">
        <f>IF('Levelized Costs'!S6='Levelized Costs'!S$13,1,0)</f>
        <v>1</v>
      </c>
      <c r="T14" s="32">
        <f>IF('Levelized Costs'!T6='Levelized Costs'!T$13,1,0)</f>
        <v>1</v>
      </c>
      <c r="U14" s="32">
        <f>IF('Levelized Costs'!U6='Levelized Costs'!U$13,1,0)</f>
        <v>1</v>
      </c>
      <c r="V14" s="32">
        <f>IF('Levelized Costs'!V6='Levelized Costs'!V$13,1,0)</f>
        <v>1</v>
      </c>
      <c r="W14" s="32">
        <f>IF('Levelized Costs'!W6='Levelized Costs'!W$13,1,0)</f>
        <v>1</v>
      </c>
    </row>
    <row r="15" spans="1:23">
      <c r="A15" s="9" t="str">
        <f>+'Device Energy Use'!A7</f>
        <v>Gas Tank</v>
      </c>
      <c r="B15" s="32">
        <v>0</v>
      </c>
      <c r="C15" s="32">
        <f>IF('Levelized Costs'!C7='Levelized Costs'!C$13,1,0)</f>
        <v>0</v>
      </c>
      <c r="D15" s="32">
        <f>IF('Levelized Costs'!D7='Levelized Costs'!D$13,1,0)</f>
        <v>0</v>
      </c>
      <c r="E15" s="32">
        <f>IF('Levelized Costs'!E7='Levelized Costs'!E$13,1,0)</f>
        <v>0</v>
      </c>
      <c r="F15" s="32">
        <f>IF('Levelized Costs'!F7='Levelized Costs'!F$13,1,0)</f>
        <v>0</v>
      </c>
      <c r="G15" s="32">
        <f>IF('Levelized Costs'!G7='Levelized Costs'!G$13,1,0)</f>
        <v>0</v>
      </c>
      <c r="H15" s="32">
        <f>IF('Levelized Costs'!H7='Levelized Costs'!H$13,1,0)</f>
        <v>0</v>
      </c>
      <c r="I15" s="32">
        <f>IF('Levelized Costs'!I7='Levelized Costs'!I$13,1,0)</f>
        <v>0</v>
      </c>
      <c r="J15" s="32">
        <f>IF('Levelized Costs'!J7='Levelized Costs'!J$13,1,0)</f>
        <v>0</v>
      </c>
      <c r="K15" s="32">
        <f>IF('Levelized Costs'!K7='Levelized Costs'!K$13,1,0)</f>
        <v>0</v>
      </c>
      <c r="L15" s="32">
        <f>IF('Levelized Costs'!L7='Levelized Costs'!L$13,1,0)</f>
        <v>0</v>
      </c>
      <c r="M15" s="32">
        <f>IF('Levelized Costs'!M7='Levelized Costs'!M$13,1,0)</f>
        <v>0</v>
      </c>
      <c r="N15" s="32">
        <f>IF('Levelized Costs'!N7='Levelized Costs'!N$13,1,0)</f>
        <v>0</v>
      </c>
      <c r="O15" s="32">
        <f>IF('Levelized Costs'!O7='Levelized Costs'!O$13,1,0)</f>
        <v>0</v>
      </c>
      <c r="P15" s="32">
        <f>IF('Levelized Costs'!P7='Levelized Costs'!P$13,1,0)</f>
        <v>0</v>
      </c>
      <c r="Q15" s="32">
        <f>IF('Levelized Costs'!Q7='Levelized Costs'!Q$13,1,0)</f>
        <v>0</v>
      </c>
      <c r="R15" s="32">
        <f>IF('Levelized Costs'!R7='Levelized Costs'!R$13,1,0)</f>
        <v>0</v>
      </c>
      <c r="S15" s="32">
        <f>IF('Levelized Costs'!S7='Levelized Costs'!S$13,1,0)</f>
        <v>0</v>
      </c>
      <c r="T15" s="32">
        <f>IF('Levelized Costs'!T7='Levelized Costs'!T$13,1,0)</f>
        <v>0</v>
      </c>
      <c r="U15" s="32">
        <f>IF('Levelized Costs'!U7='Levelized Costs'!U$13,1,0)</f>
        <v>0</v>
      </c>
      <c r="V15" s="32">
        <f>IF('Levelized Costs'!V7='Levelized Costs'!V$13,1,0)</f>
        <v>0</v>
      </c>
      <c r="W15" s="32">
        <f>IF('Levelized Costs'!W7='Levelized Costs'!W$13,1,0)</f>
        <v>0</v>
      </c>
    </row>
    <row r="16" spans="1:23">
      <c r="A16" s="9" t="str">
        <f>+'Device Energy Use'!A8</f>
        <v>Instant Gas</v>
      </c>
      <c r="B16" s="32">
        <v>0</v>
      </c>
      <c r="C16" s="32">
        <f>IF('Levelized Costs'!C8='Levelized Costs'!C$13,1,0)</f>
        <v>0</v>
      </c>
      <c r="D16" s="32">
        <f>IF('Levelized Costs'!D8='Levelized Costs'!D$13,1,0)</f>
        <v>0</v>
      </c>
      <c r="E16" s="32">
        <f>IF('Levelized Costs'!E8='Levelized Costs'!E$13,1,0)</f>
        <v>0</v>
      </c>
      <c r="F16" s="32">
        <f>IF('Levelized Costs'!F8='Levelized Costs'!F$13,1,0)</f>
        <v>0</v>
      </c>
      <c r="G16" s="32">
        <f>IF('Levelized Costs'!G8='Levelized Costs'!G$13,1,0)</f>
        <v>0</v>
      </c>
      <c r="H16" s="32">
        <f>IF('Levelized Costs'!H8='Levelized Costs'!H$13,1,0)</f>
        <v>0</v>
      </c>
      <c r="I16" s="32">
        <f>IF('Levelized Costs'!I8='Levelized Costs'!I$13,1,0)</f>
        <v>0</v>
      </c>
      <c r="J16" s="32">
        <f>IF('Levelized Costs'!J8='Levelized Costs'!J$13,1,0)</f>
        <v>0</v>
      </c>
      <c r="K16" s="32">
        <f>IF('Levelized Costs'!K8='Levelized Costs'!K$13,1,0)</f>
        <v>0</v>
      </c>
      <c r="L16" s="32">
        <f>IF('Levelized Costs'!L8='Levelized Costs'!L$13,1,0)</f>
        <v>0</v>
      </c>
      <c r="M16" s="32">
        <f>IF('Levelized Costs'!M8='Levelized Costs'!M$13,1,0)</f>
        <v>0</v>
      </c>
      <c r="N16" s="32">
        <f>IF('Levelized Costs'!N8='Levelized Costs'!N$13,1,0)</f>
        <v>0</v>
      </c>
      <c r="O16" s="32">
        <f>IF('Levelized Costs'!O8='Levelized Costs'!O$13,1,0)</f>
        <v>0</v>
      </c>
      <c r="P16" s="32">
        <f>IF('Levelized Costs'!P8='Levelized Costs'!P$13,1,0)</f>
        <v>0</v>
      </c>
      <c r="Q16" s="32">
        <f>IF('Levelized Costs'!Q8='Levelized Costs'!Q$13,1,0)</f>
        <v>0</v>
      </c>
      <c r="R16" s="32">
        <f>IF('Levelized Costs'!R8='Levelized Costs'!R$13,1,0)</f>
        <v>0</v>
      </c>
      <c r="S16" s="32">
        <f>IF('Levelized Costs'!S8='Levelized Costs'!S$13,1,0)</f>
        <v>0</v>
      </c>
      <c r="T16" s="32">
        <f>IF('Levelized Costs'!T8='Levelized Costs'!T$13,1,0)</f>
        <v>0</v>
      </c>
      <c r="U16" s="32">
        <f>IF('Levelized Costs'!U8='Levelized Costs'!U$13,1,0)</f>
        <v>0</v>
      </c>
      <c r="V16" s="32">
        <f>IF('Levelized Costs'!V8='Levelized Costs'!V$13,1,0)</f>
        <v>0</v>
      </c>
      <c r="W16" s="32">
        <f>IF('Levelized Costs'!W8='Levelized Costs'!W$13,1,0)</f>
        <v>0</v>
      </c>
    </row>
    <row r="17" spans="1:23">
      <c r="A17" s="9" t="str">
        <f>+'Device Energy Use'!A9</f>
        <v>Condensing Gas</v>
      </c>
      <c r="B17" s="32">
        <v>0</v>
      </c>
      <c r="C17" s="32">
        <f>IF('Levelized Costs'!C9='Levelized Costs'!C$13,1,0)</f>
        <v>0</v>
      </c>
      <c r="D17" s="32">
        <f>IF('Levelized Costs'!D9='Levelized Costs'!D$13,1,0)</f>
        <v>0</v>
      </c>
      <c r="E17" s="32">
        <f>IF('Levelized Costs'!E9='Levelized Costs'!E$13,1,0)</f>
        <v>0</v>
      </c>
      <c r="F17" s="32">
        <f>IF('Levelized Costs'!F9='Levelized Costs'!F$13,1,0)</f>
        <v>0</v>
      </c>
      <c r="G17" s="32">
        <f>IF('Levelized Costs'!G9='Levelized Costs'!G$13,1,0)</f>
        <v>0</v>
      </c>
      <c r="H17" s="32">
        <f>IF('Levelized Costs'!H9='Levelized Costs'!H$13,1,0)</f>
        <v>0</v>
      </c>
      <c r="I17" s="32">
        <f>IF('Levelized Costs'!I9='Levelized Costs'!I$13,1,0)</f>
        <v>0</v>
      </c>
      <c r="J17" s="32">
        <f>IF('Levelized Costs'!J9='Levelized Costs'!J$13,1,0)</f>
        <v>0</v>
      </c>
      <c r="K17" s="32">
        <f>IF('Levelized Costs'!K9='Levelized Costs'!K$13,1,0)</f>
        <v>0</v>
      </c>
      <c r="L17" s="32">
        <f>IF('Levelized Costs'!L9='Levelized Costs'!L$13,1,0)</f>
        <v>0</v>
      </c>
      <c r="M17" s="32">
        <f>IF('Levelized Costs'!M9='Levelized Costs'!M$13,1,0)</f>
        <v>0</v>
      </c>
      <c r="N17" s="32">
        <f>IF('Levelized Costs'!N9='Levelized Costs'!N$13,1,0)</f>
        <v>0</v>
      </c>
      <c r="O17" s="32">
        <f>IF('Levelized Costs'!O9='Levelized Costs'!O$13,1,0)</f>
        <v>0</v>
      </c>
      <c r="P17" s="32">
        <f>IF('Levelized Costs'!P9='Levelized Costs'!P$13,1,0)</f>
        <v>0</v>
      </c>
      <c r="Q17" s="32">
        <f>IF('Levelized Costs'!Q9='Levelized Costs'!Q$13,1,0)</f>
        <v>0</v>
      </c>
      <c r="R17" s="32">
        <f>IF('Levelized Costs'!R9='Levelized Costs'!R$13,1,0)</f>
        <v>0</v>
      </c>
      <c r="S17" s="32">
        <f>IF('Levelized Costs'!S9='Levelized Costs'!S$13,1,0)</f>
        <v>0</v>
      </c>
      <c r="T17" s="32">
        <f>IF('Levelized Costs'!T9='Levelized Costs'!T$13,1,0)</f>
        <v>0</v>
      </c>
      <c r="U17" s="32">
        <f>IF('Levelized Costs'!U9='Levelized Costs'!U$13,1,0)</f>
        <v>0</v>
      </c>
      <c r="V17" s="32">
        <f>IF('Levelized Costs'!V9='Levelized Costs'!V$13,1,0)</f>
        <v>0</v>
      </c>
      <c r="W17" s="32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>
      <selection activeCell="E7" sqref="E7"/>
    </sheetView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s="9" customFormat="1" ht="15.75">
      <c r="A3" s="12" t="s">
        <v>41</v>
      </c>
    </row>
    <row r="4" spans="1:23" s="9" customFormat="1" ht="15.75">
      <c r="A4" s="40" t="str">
        <f>'Device Energy Use'!A4</f>
        <v>Water Heat Ending</v>
      </c>
      <c r="B4" s="39">
        <f>+'Marginal Market Share'!B4</f>
        <v>2014</v>
      </c>
      <c r="C4" s="39">
        <f>+'Marginal Market Share'!C4</f>
        <v>2015</v>
      </c>
      <c r="D4" s="39">
        <f>+'Marginal Market Share'!D4</f>
        <v>2016</v>
      </c>
      <c r="E4" s="39">
        <f>+'Marginal Market Share'!E4</f>
        <v>2017</v>
      </c>
      <c r="F4" s="39">
        <f>+'Marginal Market Share'!F4</f>
        <v>2018</v>
      </c>
      <c r="G4" s="39">
        <f>+'Marginal Market Share'!G4</f>
        <v>2019</v>
      </c>
      <c r="H4" s="39">
        <f>+'Marginal Market Share'!H4</f>
        <v>2020</v>
      </c>
      <c r="I4" s="39">
        <f>+'Marginal Market Share'!I4</f>
        <v>2021</v>
      </c>
      <c r="J4" s="39">
        <f>+'Marginal Market Share'!J4</f>
        <v>2022</v>
      </c>
      <c r="K4" s="39">
        <f>+'Marginal Market Share'!K4</f>
        <v>2023</v>
      </c>
      <c r="L4" s="39">
        <f>+'Marginal Market Share'!L4</f>
        <v>2024</v>
      </c>
      <c r="M4" s="39">
        <f>+'Marginal Market Share'!M4</f>
        <v>2025</v>
      </c>
      <c r="N4" s="39">
        <f>+'Marginal Market Share'!N4</f>
        <v>2026</v>
      </c>
      <c r="O4" s="39">
        <f>+'Marginal Market Share'!O4</f>
        <v>2027</v>
      </c>
      <c r="P4" s="39">
        <f>+'Marginal Market Share'!P4</f>
        <v>2028</v>
      </c>
      <c r="Q4" s="39">
        <f>+'Marginal Market Share'!Q4</f>
        <v>2029</v>
      </c>
      <c r="R4" s="39">
        <f>+'Marginal Market Share'!R4</f>
        <v>2030</v>
      </c>
      <c r="S4" s="39">
        <f>+'Marginal Market Share'!S4</f>
        <v>2031</v>
      </c>
      <c r="T4" s="39">
        <f>+'Marginal Market Share'!T4</f>
        <v>2032</v>
      </c>
      <c r="U4" s="39">
        <f>+'Marginal Market Share'!U4</f>
        <v>2033</v>
      </c>
      <c r="V4" s="39">
        <f>+'Marginal Market Share'!V4</f>
        <v>2034</v>
      </c>
      <c r="W4" s="39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128">
        <f>SUM('Marginal Allocation Weight'!B$5:B$9)</f>
        <v>22028.579661951826</v>
      </c>
      <c r="C5" s="128">
        <f>SUM('Marginal Allocation Weight'!C$5:C$9)</f>
        <v>2.1359868845765533</v>
      </c>
      <c r="D5" s="128">
        <f>SUM('Marginal Allocation Weight'!D$5:D$9)</f>
        <v>2.158192696150695</v>
      </c>
      <c r="E5" s="128">
        <f>SUM('Marginal Allocation Weight'!E$5:E$9)</f>
        <v>2.1805279053275344</v>
      </c>
      <c r="F5" s="128">
        <f>SUM('Marginal Allocation Weight'!F$5:F$9)</f>
        <v>2.2029903765406971</v>
      </c>
      <c r="G5" s="128">
        <f>SUM('Marginal Allocation Weight'!G$5:G$9)</f>
        <v>2.2255779134998588</v>
      </c>
      <c r="H5" s="128">
        <f>SUM('Marginal Allocation Weight'!H$5:H$9)</f>
        <v>2.2482882596478362</v>
      </c>
      <c r="I5" s="128">
        <f>SUM('Marginal Allocation Weight'!I$5:I$9)</f>
        <v>2.2711190986659169</v>
      </c>
      <c r="J5" s="128">
        <f>SUM('Marginal Allocation Weight'!J$5:J$9)</f>
        <v>2.2940680550275037</v>
      </c>
      <c r="K5" s="128">
        <f>SUM('Marginal Allocation Weight'!K$5:K$9)</f>
        <v>2.3171326945999628</v>
      </c>
      <c r="L5" s="128">
        <f>SUM('Marginal Allocation Weight'!L$5:L$9)</f>
        <v>2.3403105252946457</v>
      </c>
      <c r="M5" s="128">
        <f>SUM('Marginal Allocation Weight'!M$5:M$9)</f>
        <v>2.3635989977649015</v>
      </c>
      <c r="N5" s="128">
        <f>SUM('Marginal Allocation Weight'!N$5:N$9)</f>
        <v>2.3869955061518611</v>
      </c>
      <c r="O5" s="128">
        <f>SUM('Marginal Allocation Weight'!O$5:O$9)</f>
        <v>2.4104973888777517</v>
      </c>
      <c r="P5" s="128">
        <f>SUM('Marginal Allocation Weight'!P$5:P$9)</f>
        <v>2.4341019294863582</v>
      </c>
      <c r="Q5" s="128">
        <f>SUM('Marginal Allocation Weight'!Q$5:Q$9)</f>
        <v>2.457806357530278</v>
      </c>
      <c r="R5" s="128">
        <f>SUM('Marginal Allocation Weight'!R$5:R$9)</f>
        <v>2.4816078495044982</v>
      </c>
      <c r="S5" s="128">
        <f>SUM('Marginal Allocation Weight'!S$5:S$9)</f>
        <v>2.5055035298257708</v>
      </c>
      <c r="T5" s="128">
        <f>SUM('Marginal Allocation Weight'!T$5:T$9)</f>
        <v>2.5294904718572377</v>
      </c>
      <c r="U5" s="128">
        <f>SUM('Marginal Allocation Weight'!U$5:U$9)</f>
        <v>2.5535656989776454</v>
      </c>
      <c r="V5" s="128">
        <f>SUM('Marginal Allocation Weight'!V$5:V$9)</f>
        <v>2.5777261856944702</v>
      </c>
      <c r="W5" s="128">
        <f>SUM('Marginal Allocation Weight'!W$5:W$9)</f>
        <v>2.6019688588002126</v>
      </c>
    </row>
    <row r="6" spans="1:23" s="9" customFormat="1" ht="15.75">
      <c r="A6" s="9" t="str">
        <f>+'Marginal Market Share'!A6</f>
        <v>HPWH</v>
      </c>
      <c r="B6" s="128">
        <f>SUM('Marginal Allocation Weight'!B$5:B$9)</f>
        <v>22028.579661951826</v>
      </c>
      <c r="C6" s="128">
        <f>SUM('Marginal Allocation Weight'!C$5:C$9)</f>
        <v>2.1359868845765533</v>
      </c>
      <c r="D6" s="128">
        <f>SUM('Marginal Allocation Weight'!D$5:D$9)</f>
        <v>2.158192696150695</v>
      </c>
      <c r="E6" s="128">
        <f>SUM('Marginal Allocation Weight'!E$5:E$9)</f>
        <v>2.1805279053275344</v>
      </c>
      <c r="F6" s="128">
        <f>SUM('Marginal Allocation Weight'!F$5:F$9)</f>
        <v>2.2029903765406971</v>
      </c>
      <c r="G6" s="128">
        <f>SUM('Marginal Allocation Weight'!G$5:G$9)</f>
        <v>2.2255779134998588</v>
      </c>
      <c r="H6" s="128">
        <f>SUM('Marginal Allocation Weight'!H$5:H$9)</f>
        <v>2.2482882596478362</v>
      </c>
      <c r="I6" s="128">
        <f>SUM('Marginal Allocation Weight'!I$5:I$9)</f>
        <v>2.2711190986659169</v>
      </c>
      <c r="J6" s="128">
        <f>SUM('Marginal Allocation Weight'!J$5:J$9)</f>
        <v>2.2940680550275037</v>
      </c>
      <c r="K6" s="128">
        <f>SUM('Marginal Allocation Weight'!K$5:K$9)</f>
        <v>2.3171326945999628</v>
      </c>
      <c r="L6" s="128">
        <f>SUM('Marginal Allocation Weight'!L$5:L$9)</f>
        <v>2.3403105252946457</v>
      </c>
      <c r="M6" s="128">
        <f>SUM('Marginal Allocation Weight'!M$5:M$9)</f>
        <v>2.3635989977649015</v>
      </c>
      <c r="N6" s="128">
        <f>SUM('Marginal Allocation Weight'!N$5:N$9)</f>
        <v>2.3869955061518611</v>
      </c>
      <c r="O6" s="128">
        <f>SUM('Marginal Allocation Weight'!O$5:O$9)</f>
        <v>2.4104973888777517</v>
      </c>
      <c r="P6" s="128">
        <f>SUM('Marginal Allocation Weight'!P$5:P$9)</f>
        <v>2.4341019294863582</v>
      </c>
      <c r="Q6" s="128">
        <f>SUM('Marginal Allocation Weight'!Q$5:Q$9)</f>
        <v>2.457806357530278</v>
      </c>
      <c r="R6" s="128">
        <f>SUM('Marginal Allocation Weight'!R$5:R$9)</f>
        <v>2.4816078495044982</v>
      </c>
      <c r="S6" s="128">
        <f>SUM('Marginal Allocation Weight'!S$5:S$9)</f>
        <v>2.5055035298257708</v>
      </c>
      <c r="T6" s="128">
        <f>SUM('Marginal Allocation Weight'!T$5:T$9)</f>
        <v>2.5294904718572377</v>
      </c>
      <c r="U6" s="128">
        <f>SUM('Marginal Allocation Weight'!U$5:U$9)</f>
        <v>2.5535656989776454</v>
      </c>
      <c r="V6" s="128">
        <f>SUM('Marginal Allocation Weight'!V$5:V$9)</f>
        <v>2.5777261856944702</v>
      </c>
      <c r="W6" s="128">
        <f>SUM('Marginal Allocation Weight'!W$5:W$9)</f>
        <v>2.6019688588002126</v>
      </c>
    </row>
    <row r="7" spans="1:23" s="9" customFormat="1" ht="15.75">
      <c r="A7" s="9" t="str">
        <f>+'Marginal Market Share'!A7</f>
        <v>Gas Tank</v>
      </c>
      <c r="B7" s="128">
        <f>SUM('Marginal Allocation Weight'!B$5:B$9)</f>
        <v>22028.579661951826</v>
      </c>
      <c r="C7" s="128">
        <f>SUM('Marginal Allocation Weight'!C$5:C$9)</f>
        <v>2.1359868845765533</v>
      </c>
      <c r="D7" s="128">
        <f>SUM('Marginal Allocation Weight'!D$5:D$9)</f>
        <v>2.158192696150695</v>
      </c>
      <c r="E7" s="128">
        <f>SUM('Marginal Allocation Weight'!E$5:E$9)</f>
        <v>2.1805279053275344</v>
      </c>
      <c r="F7" s="128">
        <f>SUM('Marginal Allocation Weight'!F$5:F$9)</f>
        <v>2.2029903765406971</v>
      </c>
      <c r="G7" s="128">
        <f>SUM('Marginal Allocation Weight'!G$5:G$9)</f>
        <v>2.2255779134998588</v>
      </c>
      <c r="H7" s="128">
        <f>SUM('Marginal Allocation Weight'!H$5:H$9)</f>
        <v>2.2482882596478362</v>
      </c>
      <c r="I7" s="128">
        <f>SUM('Marginal Allocation Weight'!I$5:I$9)</f>
        <v>2.2711190986659169</v>
      </c>
      <c r="J7" s="128">
        <f>SUM('Marginal Allocation Weight'!J$5:J$9)</f>
        <v>2.2940680550275037</v>
      </c>
      <c r="K7" s="128">
        <f>SUM('Marginal Allocation Weight'!K$5:K$9)</f>
        <v>2.3171326945999628</v>
      </c>
      <c r="L7" s="128">
        <f>SUM('Marginal Allocation Weight'!L$5:L$9)</f>
        <v>2.3403105252946457</v>
      </c>
      <c r="M7" s="128">
        <f>SUM('Marginal Allocation Weight'!M$5:M$9)</f>
        <v>2.3635989977649015</v>
      </c>
      <c r="N7" s="128">
        <f>SUM('Marginal Allocation Weight'!N$5:N$9)</f>
        <v>2.3869955061518611</v>
      </c>
      <c r="O7" s="128">
        <f>SUM('Marginal Allocation Weight'!O$5:O$9)</f>
        <v>2.4104973888777517</v>
      </c>
      <c r="P7" s="128">
        <f>SUM('Marginal Allocation Weight'!P$5:P$9)</f>
        <v>2.4341019294863582</v>
      </c>
      <c r="Q7" s="128">
        <f>SUM('Marginal Allocation Weight'!Q$5:Q$9)</f>
        <v>2.457806357530278</v>
      </c>
      <c r="R7" s="128">
        <f>SUM('Marginal Allocation Weight'!R$5:R$9)</f>
        <v>2.4816078495044982</v>
      </c>
      <c r="S7" s="128">
        <f>SUM('Marginal Allocation Weight'!S$5:S$9)</f>
        <v>2.5055035298257708</v>
      </c>
      <c r="T7" s="128">
        <f>SUM('Marginal Allocation Weight'!T$5:T$9)</f>
        <v>2.5294904718572377</v>
      </c>
      <c r="U7" s="128">
        <f>SUM('Marginal Allocation Weight'!U$5:U$9)</f>
        <v>2.5535656989776454</v>
      </c>
      <c r="V7" s="128">
        <f>SUM('Marginal Allocation Weight'!V$5:V$9)</f>
        <v>2.5777261856944702</v>
      </c>
      <c r="W7" s="128">
        <f>SUM('Marginal Allocation Weight'!W$5:W$9)</f>
        <v>2.6019688588002126</v>
      </c>
    </row>
    <row r="8" spans="1:23" s="9" customFormat="1" ht="15.75">
      <c r="A8" s="9" t="str">
        <f>+'Marginal Market Share'!A8</f>
        <v>Instant Gas</v>
      </c>
      <c r="B8" s="128">
        <f>SUM('Marginal Allocation Weight'!B$5:B$9)</f>
        <v>22028.579661951826</v>
      </c>
      <c r="C8" s="128">
        <f>SUM('Marginal Allocation Weight'!C$5:C$9)</f>
        <v>2.1359868845765533</v>
      </c>
      <c r="D8" s="128">
        <f>SUM('Marginal Allocation Weight'!D$5:D$9)</f>
        <v>2.158192696150695</v>
      </c>
      <c r="E8" s="128">
        <f>SUM('Marginal Allocation Weight'!E$5:E$9)</f>
        <v>2.1805279053275344</v>
      </c>
      <c r="F8" s="128">
        <f>SUM('Marginal Allocation Weight'!F$5:F$9)</f>
        <v>2.2029903765406971</v>
      </c>
      <c r="G8" s="128">
        <f>SUM('Marginal Allocation Weight'!G$5:G$9)</f>
        <v>2.2255779134998588</v>
      </c>
      <c r="H8" s="128">
        <f>SUM('Marginal Allocation Weight'!H$5:H$9)</f>
        <v>2.2482882596478362</v>
      </c>
      <c r="I8" s="128">
        <f>SUM('Marginal Allocation Weight'!I$5:I$9)</f>
        <v>2.2711190986659169</v>
      </c>
      <c r="J8" s="128">
        <f>SUM('Marginal Allocation Weight'!J$5:J$9)</f>
        <v>2.2940680550275037</v>
      </c>
      <c r="K8" s="128">
        <f>SUM('Marginal Allocation Weight'!K$5:K$9)</f>
        <v>2.3171326945999628</v>
      </c>
      <c r="L8" s="128">
        <f>SUM('Marginal Allocation Weight'!L$5:L$9)</f>
        <v>2.3403105252946457</v>
      </c>
      <c r="M8" s="128">
        <f>SUM('Marginal Allocation Weight'!M$5:M$9)</f>
        <v>2.3635989977649015</v>
      </c>
      <c r="N8" s="128">
        <f>SUM('Marginal Allocation Weight'!N$5:N$9)</f>
        <v>2.3869955061518611</v>
      </c>
      <c r="O8" s="128">
        <f>SUM('Marginal Allocation Weight'!O$5:O$9)</f>
        <v>2.4104973888777517</v>
      </c>
      <c r="P8" s="128">
        <f>SUM('Marginal Allocation Weight'!P$5:P$9)</f>
        <v>2.4341019294863582</v>
      </c>
      <c r="Q8" s="128">
        <f>SUM('Marginal Allocation Weight'!Q$5:Q$9)</f>
        <v>2.457806357530278</v>
      </c>
      <c r="R8" s="128">
        <f>SUM('Marginal Allocation Weight'!R$5:R$9)</f>
        <v>2.4816078495044982</v>
      </c>
      <c r="S8" s="128">
        <f>SUM('Marginal Allocation Weight'!S$5:S$9)</f>
        <v>2.5055035298257708</v>
      </c>
      <c r="T8" s="128">
        <f>SUM('Marginal Allocation Weight'!T$5:T$9)</f>
        <v>2.5294904718572377</v>
      </c>
      <c r="U8" s="128">
        <f>SUM('Marginal Allocation Weight'!U$5:U$9)</f>
        <v>2.5535656989776454</v>
      </c>
      <c r="V8" s="128">
        <f>SUM('Marginal Allocation Weight'!V$5:V$9)</f>
        <v>2.5777261856944702</v>
      </c>
      <c r="W8" s="128">
        <f>SUM('Marginal Allocation Weight'!W$5:W$9)</f>
        <v>2.6019688588002126</v>
      </c>
    </row>
    <row r="9" spans="1:23" s="9" customFormat="1" ht="15.75">
      <c r="A9" s="9" t="str">
        <f>+'Marginal Market Share'!A9</f>
        <v>Condensing Gas</v>
      </c>
      <c r="B9" s="128">
        <f>SUM('Marginal Allocation Weight'!B$5:B$9)</f>
        <v>22028.579661951826</v>
      </c>
      <c r="C9" s="128">
        <f>SUM('Marginal Allocation Weight'!C$5:C$9)</f>
        <v>2.1359868845765533</v>
      </c>
      <c r="D9" s="128">
        <f>SUM('Marginal Allocation Weight'!D$5:D$9)</f>
        <v>2.158192696150695</v>
      </c>
      <c r="E9" s="128">
        <f>SUM('Marginal Allocation Weight'!E$5:E$9)</f>
        <v>2.1805279053275344</v>
      </c>
      <c r="F9" s="128">
        <f>SUM('Marginal Allocation Weight'!F$5:F$9)</f>
        <v>2.2029903765406971</v>
      </c>
      <c r="G9" s="128">
        <f>SUM('Marginal Allocation Weight'!G$5:G$9)</f>
        <v>2.2255779134998588</v>
      </c>
      <c r="H9" s="128">
        <f>SUM('Marginal Allocation Weight'!H$5:H$9)</f>
        <v>2.2482882596478362</v>
      </c>
      <c r="I9" s="128">
        <f>SUM('Marginal Allocation Weight'!I$5:I$9)</f>
        <v>2.2711190986659169</v>
      </c>
      <c r="J9" s="128">
        <f>SUM('Marginal Allocation Weight'!J$5:J$9)</f>
        <v>2.2940680550275037</v>
      </c>
      <c r="K9" s="128">
        <f>SUM('Marginal Allocation Weight'!K$5:K$9)</f>
        <v>2.3171326945999628</v>
      </c>
      <c r="L9" s="128">
        <f>SUM('Marginal Allocation Weight'!L$5:L$9)</f>
        <v>2.3403105252946457</v>
      </c>
      <c r="M9" s="128">
        <f>SUM('Marginal Allocation Weight'!M$5:M$9)</f>
        <v>2.3635989977649015</v>
      </c>
      <c r="N9" s="128">
        <f>SUM('Marginal Allocation Weight'!N$5:N$9)</f>
        <v>2.3869955061518611</v>
      </c>
      <c r="O9" s="128">
        <f>SUM('Marginal Allocation Weight'!O$5:O$9)</f>
        <v>2.4104973888777517</v>
      </c>
      <c r="P9" s="128">
        <f>SUM('Marginal Allocation Weight'!P$5:P$9)</f>
        <v>2.4341019294863582</v>
      </c>
      <c r="Q9" s="128">
        <f>SUM('Marginal Allocation Weight'!Q$5:Q$9)</f>
        <v>2.457806357530278</v>
      </c>
      <c r="R9" s="128">
        <f>SUM('Marginal Allocation Weight'!R$5:R$9)</f>
        <v>2.4816078495044982</v>
      </c>
      <c r="S9" s="128">
        <f>SUM('Marginal Allocation Weight'!S$5:S$9)</f>
        <v>2.5055035298257708</v>
      </c>
      <c r="T9" s="128">
        <f>SUM('Marginal Allocation Weight'!T$5:T$9)</f>
        <v>2.5294904718572377</v>
      </c>
      <c r="U9" s="128">
        <f>SUM('Marginal Allocation Weight'!U$5:U$9)</f>
        <v>2.5535656989776454</v>
      </c>
      <c r="V9" s="128">
        <f>SUM('Marginal Allocation Weight'!V$5:V$9)</f>
        <v>2.5777261856944702</v>
      </c>
      <c r="W9" s="128">
        <f>SUM('Marginal Allocation Weight'!W$5:W$9)</f>
        <v>2.6019688588002126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B5" sqref="B5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9">
      <c r="A3" s="12" t="s">
        <v>40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8" t="str">
        <f>'Device Energy Use'!A4</f>
        <v>Water Heat Ending</v>
      </c>
      <c r="B4" s="39">
        <f>'Levelized Costs'!B4</f>
        <v>2014</v>
      </c>
      <c r="C4" s="39">
        <f>'Levelized Costs'!C4</f>
        <v>2015</v>
      </c>
      <c r="D4" s="39">
        <f>'Levelized Costs'!D4</f>
        <v>2016</v>
      </c>
      <c r="E4" s="39">
        <f>'Levelized Costs'!E4</f>
        <v>2017</v>
      </c>
      <c r="F4" s="39">
        <f>'Levelized Costs'!F4</f>
        <v>2018</v>
      </c>
      <c r="G4" s="39">
        <f>'Levelized Costs'!G4</f>
        <v>2019</v>
      </c>
      <c r="H4" s="39">
        <f>'Levelized Costs'!H4</f>
        <v>2020</v>
      </c>
      <c r="I4" s="39">
        <f>'Levelized Costs'!I4</f>
        <v>2021</v>
      </c>
      <c r="J4" s="39">
        <f>'Levelized Costs'!J4</f>
        <v>2022</v>
      </c>
      <c r="K4" s="39">
        <f>'Levelized Costs'!K4</f>
        <v>2023</v>
      </c>
      <c r="L4" s="39">
        <f>'Levelized Costs'!L4</f>
        <v>2024</v>
      </c>
      <c r="M4" s="39">
        <f>'Levelized Costs'!M4</f>
        <v>2025</v>
      </c>
      <c r="N4" s="39">
        <f>'Levelized Costs'!N4</f>
        <v>2026</v>
      </c>
      <c r="O4" s="39">
        <f>'Levelized Costs'!O4</f>
        <v>2027</v>
      </c>
      <c r="P4" s="39">
        <f>'Levelized Costs'!P4</f>
        <v>2028</v>
      </c>
      <c r="Q4" s="39">
        <f>'Levelized Costs'!Q4</f>
        <v>2029</v>
      </c>
      <c r="R4" s="39">
        <f>'Levelized Costs'!R4</f>
        <v>2030</v>
      </c>
      <c r="S4" s="39">
        <f>'Levelized Costs'!S4</f>
        <v>2031</v>
      </c>
      <c r="T4" s="39">
        <f>'Levelized Costs'!T4</f>
        <v>2032</v>
      </c>
      <c r="U4" s="39">
        <f>'Levelized Costs'!U4</f>
        <v>2033</v>
      </c>
      <c r="V4" s="39">
        <f>'Levelized Costs'!V4</f>
        <v>2034</v>
      </c>
      <c r="W4" s="39">
        <f>'Levelized Costs'!W4</f>
        <v>2035</v>
      </c>
    </row>
    <row r="5" spans="1:29">
      <c r="A5" s="9" t="str">
        <f>+'Total Allocation Weight'!A5</f>
        <v>Electric Resistance</v>
      </c>
      <c r="B5" s="128">
        <f>EXP('Non-Price Factors'!B10+VarianceFactor*LN('Levelized Costs'!B5/'Levelized Costs'!B$5))</f>
        <v>22026.465794806718</v>
      </c>
      <c r="C5" s="128">
        <f>EXP('Non-Price Factors'!C10+VarianceFactor*LN('Levelized Costs'!C5/'Levelized Costs'!C$5))</f>
        <v>4.5399929762484854E-5</v>
      </c>
      <c r="D5" s="128">
        <f>EXP('Non-Price Factors'!D10+VarianceFactor*LN('Levelized Costs'!D5/'Levelized Costs'!D$5))</f>
        <v>4.5399929762484854E-5</v>
      </c>
      <c r="E5" s="128">
        <f>EXP('Non-Price Factors'!E10+VarianceFactor*LN('Levelized Costs'!E5/'Levelized Costs'!E$5))</f>
        <v>4.5399929762484854E-5</v>
      </c>
      <c r="F5" s="128">
        <f>EXP('Non-Price Factors'!F10+VarianceFactor*LN('Levelized Costs'!F5/'Levelized Costs'!F$5))</f>
        <v>4.5399929762484854E-5</v>
      </c>
      <c r="G5" s="128">
        <f>EXP('Non-Price Factors'!G10+VarianceFactor*LN('Levelized Costs'!G5/'Levelized Costs'!G$5))</f>
        <v>4.5399929762484854E-5</v>
      </c>
      <c r="H5" s="128">
        <f>EXP('Non-Price Factors'!H10+VarianceFactor*LN('Levelized Costs'!H5/'Levelized Costs'!H$5))</f>
        <v>4.5399929762484854E-5</v>
      </c>
      <c r="I5" s="128">
        <f>EXP('Non-Price Factors'!I10+VarianceFactor*LN('Levelized Costs'!I5/'Levelized Costs'!I$5))</f>
        <v>4.5399929762484854E-5</v>
      </c>
      <c r="J5" s="128">
        <f>EXP('Non-Price Factors'!J10+VarianceFactor*LN('Levelized Costs'!J5/'Levelized Costs'!J$5))</f>
        <v>4.5399929762484854E-5</v>
      </c>
      <c r="K5" s="128">
        <f>EXP('Non-Price Factors'!K10+VarianceFactor*LN('Levelized Costs'!K5/'Levelized Costs'!K$5))</f>
        <v>4.5399929762484854E-5</v>
      </c>
      <c r="L5" s="128">
        <f>EXP('Non-Price Factors'!L10+VarianceFactor*LN('Levelized Costs'!L5/'Levelized Costs'!L$5))</f>
        <v>4.5399929762484854E-5</v>
      </c>
      <c r="M5" s="128">
        <f>EXP('Non-Price Factors'!M10+VarianceFactor*LN('Levelized Costs'!M5/'Levelized Costs'!M$5))</f>
        <v>4.5399929762484854E-5</v>
      </c>
      <c r="N5" s="128">
        <f>EXP('Non-Price Factors'!N10+VarianceFactor*LN('Levelized Costs'!N5/'Levelized Costs'!N$5))</f>
        <v>4.5399929762484854E-5</v>
      </c>
      <c r="O5" s="128">
        <f>EXP('Non-Price Factors'!O10+VarianceFactor*LN('Levelized Costs'!O5/'Levelized Costs'!O$5))</f>
        <v>4.5399929762484854E-5</v>
      </c>
      <c r="P5" s="128">
        <f>EXP('Non-Price Factors'!P10+VarianceFactor*LN('Levelized Costs'!P5/'Levelized Costs'!P$5))</f>
        <v>4.5399929762484854E-5</v>
      </c>
      <c r="Q5" s="128">
        <f>EXP('Non-Price Factors'!Q10+VarianceFactor*LN('Levelized Costs'!Q5/'Levelized Costs'!Q$5))</f>
        <v>4.5399929762484854E-5</v>
      </c>
      <c r="R5" s="128">
        <f>EXP('Non-Price Factors'!R10+VarianceFactor*LN('Levelized Costs'!R5/'Levelized Costs'!R$5))</f>
        <v>4.5399929762484854E-5</v>
      </c>
      <c r="S5" s="128">
        <f>EXP('Non-Price Factors'!S10+VarianceFactor*LN('Levelized Costs'!S5/'Levelized Costs'!S$5))</f>
        <v>4.5399929762484854E-5</v>
      </c>
      <c r="T5" s="128">
        <f>EXP('Non-Price Factors'!T10+VarianceFactor*LN('Levelized Costs'!T5/'Levelized Costs'!T$5))</f>
        <v>4.5399929762484854E-5</v>
      </c>
      <c r="U5" s="128">
        <f>EXP('Non-Price Factors'!U10+VarianceFactor*LN('Levelized Costs'!U5/'Levelized Costs'!U$5))</f>
        <v>4.5399929762484854E-5</v>
      </c>
      <c r="V5" s="128">
        <f>EXP('Non-Price Factors'!V10+VarianceFactor*LN('Levelized Costs'!V5/'Levelized Costs'!V$5))</f>
        <v>4.5399929762484854E-5</v>
      </c>
      <c r="W5" s="128">
        <f>EXP('Non-Price Factors'!W10+VarianceFactor*LN('Levelized Costs'!W5/'Levelized Costs'!W$5))</f>
        <v>4.5399929762484854E-5</v>
      </c>
    </row>
    <row r="6" spans="1:29">
      <c r="A6" s="9" t="str">
        <f>+'Total Allocation Weight'!A6</f>
        <v>HPWH</v>
      </c>
      <c r="B6" s="128">
        <f>EXP('Non-Price Factors'!B11+VarianceFactor*LN('Levelized Costs'!B6/'Levelized Costs'!B$5))</f>
        <v>1.185594482903227</v>
      </c>
      <c r="C6" s="128">
        <f>EXP('Non-Price Factors'!C11+VarianceFactor*LN('Levelized Costs'!C6/'Levelized Costs'!C$5))</f>
        <v>1.197459571386603</v>
      </c>
      <c r="D6" s="128">
        <f>EXP('Non-Price Factors'!D11+VarianceFactor*LN('Levelized Costs'!D6/'Levelized Costs'!D$5))</f>
        <v>1.2093973121340194</v>
      </c>
      <c r="E6" s="128">
        <f>EXP('Non-Price Factors'!E11+VarianceFactor*LN('Levelized Costs'!E6/'Levelized Costs'!E$5))</f>
        <v>1.2214068889498071</v>
      </c>
      <c r="F6" s="128">
        <f>EXP('Non-Price Factors'!F11+VarianceFactor*LN('Levelized Costs'!F6/'Levelized Costs'!F$5))</f>
        <v>1.2334874617211853</v>
      </c>
      <c r="G6" s="128">
        <f>EXP('Non-Price Factors'!G11+VarianceFactor*LN('Levelized Costs'!G6/'Levelized Costs'!G$5))</f>
        <v>1.245638166619061</v>
      </c>
      <c r="H6" s="128">
        <f>EXP('Non-Price Factors'!H11+VarianceFactor*LN('Levelized Costs'!H6/'Levelized Costs'!H$5))</f>
        <v>1.2578581163156606</v>
      </c>
      <c r="I6" s="128">
        <f>EXP('Non-Price Factors'!I11+VarianceFactor*LN('Levelized Costs'!I6/'Levelized Costs'!I$5))</f>
        <v>1.2701464002188885</v>
      </c>
      <c r="J6" s="128">
        <f>EXP('Non-Price Factors'!J11+VarianceFactor*LN('Levelized Costs'!J6/'Levelized Costs'!J$5))</f>
        <v>1.2825020847233395</v>
      </c>
      <c r="K6" s="128">
        <f>EXP('Non-Price Factors'!K11+VarianceFactor*LN('Levelized Costs'!K6/'Levelized Costs'!K$5))</f>
        <v>1.2949242134777847</v>
      </c>
      <c r="L6" s="128">
        <f>EXP('Non-Price Factors'!L11+VarianceFactor*LN('Levelized Costs'!L6/'Levelized Costs'!L$5))</f>
        <v>1.3074118076690271</v>
      </c>
      <c r="M6" s="128">
        <f>EXP('Non-Price Factors'!M11+VarianceFactor*LN('Levelized Costs'!M6/'Levelized Costs'!M$5))</f>
        <v>1.3199638663219346</v>
      </c>
      <c r="N6" s="128">
        <f>EXP('Non-Price Factors'!N11+VarianceFactor*LN('Levelized Costs'!N6/'Levelized Costs'!N$5))</f>
        <v>1.3325793666154619</v>
      </c>
      <c r="O6" s="128">
        <f>EXP('Non-Price Factors'!O11+VarianceFactor*LN('Levelized Costs'!O6/'Levelized Costs'!O$5))</f>
        <v>1.3452572642144651</v>
      </c>
      <c r="P6" s="128">
        <f>EXP('Non-Price Factors'!P11+VarianceFactor*LN('Levelized Costs'!P6/'Levelized Costs'!P$5))</f>
        <v>1.3579964936170585</v>
      </c>
      <c r="Q6" s="128">
        <f>EXP('Non-Price Factors'!Q11+VarianceFactor*LN('Levelized Costs'!Q6/'Levelized Costs'!Q$5))</f>
        <v>1.3707959685172879</v>
      </c>
      <c r="R6" s="128">
        <f>EXP('Non-Price Factors'!R11+VarianceFactor*LN('Levelized Costs'!R6/'Levelized Costs'!R$5))</f>
        <v>1.3836545821828359</v>
      </c>
      <c r="S6" s="128">
        <f>EXP('Non-Price Factors'!S11+VarianceFactor*LN('Levelized Costs'!S6/'Levelized Costs'!S$5))</f>
        <v>1.3965712078474797</v>
      </c>
      <c r="T6" s="128">
        <f>EXP('Non-Price Factors'!T11+VarianceFactor*LN('Levelized Costs'!T6/'Levelized Costs'!T$5))</f>
        <v>1.4095446991180014</v>
      </c>
      <c r="U6" s="128">
        <f>EXP('Non-Price Factors'!U11+VarianceFactor*LN('Levelized Costs'!U6/'Levelized Costs'!U$5))</f>
        <v>1.422573890395221</v>
      </c>
      <c r="V6" s="128">
        <f>EXP('Non-Price Factors'!V11+VarianceFactor*LN('Levelized Costs'!V6/'Levelized Costs'!V$5))</f>
        <v>1.4356575973088108</v>
      </c>
      <c r="W6" s="128">
        <f>EXP('Non-Price Factors'!W11+VarianceFactor*LN('Levelized Costs'!W6/'Levelized Costs'!W$5))</f>
        <v>1.4487946171655499</v>
      </c>
    </row>
    <row r="7" spans="1:29">
      <c r="A7" s="9" t="str">
        <f>+'Total Allocation Weight'!A7</f>
        <v>Gas Tank</v>
      </c>
      <c r="B7" s="128">
        <f>EXP('Non-Price Factors'!B12+VarianceFactor*LN('Levelized Costs'!B7/'Levelized Costs'!B$5))</f>
        <v>7.1020916687958567E-5</v>
      </c>
      <c r="C7" s="128">
        <f>EXP('Non-Price Factors'!C12+VarianceFactor*LN('Levelized Costs'!C7/'Levelized Costs'!C$5))</f>
        <v>7.1048760787682135E-5</v>
      </c>
      <c r="D7" s="128">
        <f>EXP('Non-Price Factors'!D12+VarianceFactor*LN('Levelized Costs'!D7/'Levelized Costs'!D$5))</f>
        <v>7.1073061629431907E-5</v>
      </c>
      <c r="E7" s="128">
        <f>EXP('Non-Price Factors'!E12+VarianceFactor*LN('Levelized Costs'!E7/'Levelized Costs'!E$5))</f>
        <v>7.1093827279843837E-5</v>
      </c>
      <c r="F7" s="128">
        <f>EXP('Non-Price Factors'!F12+VarianceFactor*LN('Levelized Costs'!F7/'Levelized Costs'!F$5))</f>
        <v>7.1111066857894591E-5</v>
      </c>
      <c r="G7" s="128">
        <f>EXP('Non-Price Factors'!G12+VarianceFactor*LN('Levelized Costs'!G7/'Levelized Costs'!G$5))</f>
        <v>7.1124790519422687E-5</v>
      </c>
      <c r="H7" s="128">
        <f>EXP('Non-Price Factors'!H12+VarianceFactor*LN('Levelized Costs'!H7/'Levelized Costs'!H$5))</f>
        <v>7.1135009441065282E-5</v>
      </c>
      <c r="I7" s="128">
        <f>EXP('Non-Price Factors'!I12+VarianceFactor*LN('Levelized Costs'!I7/'Levelized Costs'!I$5))</f>
        <v>7.114173580363539E-5</v>
      </c>
      <c r="J7" s="128">
        <f>EXP('Non-Price Factors'!J12+VarianceFactor*LN('Levelized Costs'!J7/'Levelized Costs'!J$5))</f>
        <v>7.1144982774966613E-5</v>
      </c>
      <c r="K7" s="128">
        <f>EXP('Non-Price Factors'!K12+VarianceFactor*LN('Levelized Costs'!K7/'Levelized Costs'!K$5))</f>
        <v>7.1144764492251197E-5</v>
      </c>
      <c r="L7" s="128">
        <f>EXP('Non-Price Factors'!L12+VarianceFactor*LN('Levelized Costs'!L7/'Levelized Costs'!L$5))</f>
        <v>7.1141096043899236E-5</v>
      </c>
      <c r="M7" s="128">
        <f>EXP('Non-Price Factors'!M12+VarianceFactor*LN('Levelized Costs'!M7/'Levelized Costs'!M$5))</f>
        <v>7.1133993450945462E-5</v>
      </c>
      <c r="N7" s="128">
        <f>EXP('Non-Price Factors'!N12+VarianceFactor*LN('Levelized Costs'!N7/'Levelized Costs'!N$5))</f>
        <v>7.1123473648030509E-5</v>
      </c>
      <c r="O7" s="128">
        <f>EXP('Non-Price Factors'!O12+VarianceFactor*LN('Levelized Costs'!O7/'Levelized Costs'!O$5))</f>
        <v>7.1109554463985087E-5</v>
      </c>
      <c r="P7" s="128">
        <f>EXP('Non-Price Factors'!P12+VarianceFactor*LN('Levelized Costs'!P7/'Levelized Costs'!P$5))</f>
        <v>7.1092254602041506E-5</v>
      </c>
      <c r="Q7" s="128">
        <f>EXP('Non-Price Factors'!Q12+VarianceFactor*LN('Levelized Costs'!Q7/'Levelized Costs'!Q$5))</f>
        <v>7.1071593619702423E-5</v>
      </c>
      <c r="R7" s="128">
        <f>EXP('Non-Price Factors'!R12+VarianceFactor*LN('Levelized Costs'!R7/'Levelized Costs'!R$5))</f>
        <v>7.1047591908292399E-5</v>
      </c>
      <c r="S7" s="128">
        <f>EXP('Non-Price Factors'!S12+VarianceFactor*LN('Levelized Costs'!S7/'Levelized Costs'!S$5))</f>
        <v>7.1020270672217991E-5</v>
      </c>
      <c r="T7" s="128">
        <f>EXP('Non-Price Factors'!T12+VarianceFactor*LN('Levelized Costs'!T7/'Levelized Costs'!T$5))</f>
        <v>7.0989651907965701E-5</v>
      </c>
      <c r="U7" s="128">
        <f>EXP('Non-Price Factors'!U12+VarianceFactor*LN('Levelized Costs'!U7/'Levelized Costs'!U$5))</f>
        <v>7.095575838286077E-5</v>
      </c>
      <c r="V7" s="128">
        <f>EXP('Non-Price Factors'!V12+VarianceFactor*LN('Levelized Costs'!V7/'Levelized Costs'!V$5))</f>
        <v>7.0918613613616272E-5</v>
      </c>
      <c r="W7" s="128">
        <f>EXP('Non-Price Factors'!W12+VarianceFactor*LN('Levelized Costs'!W7/'Levelized Costs'!W$5))</f>
        <v>7.0878241844694629E-5</v>
      </c>
    </row>
    <row r="8" spans="1:29">
      <c r="A8" s="9" t="str">
        <f>+'Total Allocation Weight'!A8</f>
        <v>Instant Gas</v>
      </c>
      <c r="B8" s="128">
        <f>EXP('Non-Price Factors'!B13+VarianceFactor*LN('Levelized Costs'!B8/'Levelized Costs'!B$5))</f>
        <v>0.28378349139261744</v>
      </c>
      <c r="C8" s="128">
        <f>EXP('Non-Price Factors'!C13+VarianceFactor*LN('Levelized Costs'!C8/'Levelized Costs'!C$5))</f>
        <v>0.2878674806911391</v>
      </c>
      <c r="D8" s="128">
        <f>EXP('Non-Price Factors'!D13+VarianceFactor*LN('Levelized Costs'!D8/'Levelized Costs'!D$5))</f>
        <v>0.29199636575311394</v>
      </c>
      <c r="E8" s="128">
        <f>EXP('Non-Price Factors'!E13+VarianceFactor*LN('Levelized Costs'!E8/'Levelized Costs'!E$5))</f>
        <v>0.29617006306622645</v>
      </c>
      <c r="F8" s="128">
        <f>EXP('Non-Price Factors'!F13+VarianceFactor*LN('Levelized Costs'!F8/'Levelized Costs'!F$5))</f>
        <v>0.30038846930319107</v>
      </c>
      <c r="G8" s="128">
        <f>EXP('Non-Price Factors'!G13+VarianceFactor*LN('Levelized Costs'!G8/'Levelized Costs'!G$5))</f>
        <v>0.30465146095541923</v>
      </c>
      <c r="H8" s="128">
        <f>EXP('Non-Price Factors'!H13+VarianceFactor*LN('Levelized Costs'!H8/'Levelized Costs'!H$5))</f>
        <v>0.30895889397643861</v>
      </c>
      <c r="I8" s="128">
        <f>EXP('Non-Price Factors'!I13+VarianceFactor*LN('Levelized Costs'!I8/'Levelized Costs'!I$5))</f>
        <v>0.31331060343574735</v>
      </c>
      <c r="J8" s="128">
        <f>EXP('Non-Price Factors'!J13+VarianceFactor*LN('Levelized Costs'!J8/'Levelized Costs'!J$5))</f>
        <v>0.31770640318379695</v>
      </c>
      <c r="K8" s="128">
        <f>EXP('Non-Price Factors'!K13+VarianceFactor*LN('Levelized Costs'!K8/'Levelized Costs'!K$5))</f>
        <v>0.32214608552878288</v>
      </c>
      <c r="L8" s="128">
        <f>EXP('Non-Price Factors'!L13+VarianceFactor*LN('Levelized Costs'!L8/'Levelized Costs'!L$5))</f>
        <v>0.32662942092593583</v>
      </c>
      <c r="M8" s="128">
        <f>EXP('Non-Price Factors'!M13+VarianceFactor*LN('Levelized Costs'!M8/'Levelized Costs'!M$5))</f>
        <v>0.33115615767999668</v>
      </c>
      <c r="N8" s="128">
        <f>EXP('Non-Price Factors'!N13+VarianceFactor*LN('Levelized Costs'!N8/'Levelized Costs'!N$5))</f>
        <v>0.33572602166155291</v>
      </c>
      <c r="O8" s="128">
        <f>EXP('Non-Price Factors'!O13+VarianceFactor*LN('Levelized Costs'!O8/'Levelized Costs'!O$5))</f>
        <v>0.34033871603792293</v>
      </c>
      <c r="P8" s="128">
        <f>EXP('Non-Price Factors'!P13+VarianceFactor*LN('Levelized Costs'!P8/'Levelized Costs'!P$5))</f>
        <v>0.34499392101924259</v>
      </c>
      <c r="Q8" s="128">
        <f>EXP('Non-Price Factors'!Q13+VarianceFactor*LN('Levelized Costs'!Q8/'Levelized Costs'!Q$5))</f>
        <v>0.34969129362043094</v>
      </c>
      <c r="R8" s="128">
        <f>EXP('Non-Price Factors'!R13+VarianceFactor*LN('Levelized Costs'!R8/'Levelized Costs'!R$5))</f>
        <v>0.35443046743967632</v>
      </c>
      <c r="S8" s="128">
        <f>EXP('Non-Price Factors'!S13+VarianceFactor*LN('Levelized Costs'!S8/'Levelized Costs'!S$5))</f>
        <v>0.35921105245408969</v>
      </c>
      <c r="T8" s="128">
        <f>EXP('Non-Price Factors'!T13+VarianceFactor*LN('Levelized Costs'!T8/'Levelized Costs'!T$5))</f>
        <v>0.36403263483315207</v>
      </c>
      <c r="U8" s="128">
        <f>EXP('Non-Price Factors'!U13+VarianceFactor*LN('Levelized Costs'!U8/'Levelized Costs'!U$5))</f>
        <v>0.36889477677056914</v>
      </c>
      <c r="V8" s="128">
        <f>EXP('Non-Price Factors'!V13+VarianceFactor*LN('Levelized Costs'!V8/'Levelized Costs'!V$5))</f>
        <v>0.37379701633513129</v>
      </c>
      <c r="W8" s="128">
        <f>EXP('Non-Price Factors'!W13+VarianceFactor*LN('Levelized Costs'!W8/'Levelized Costs'!W$5))</f>
        <v>0.37873886734116069</v>
      </c>
    </row>
    <row r="9" spans="1:29">
      <c r="A9" s="9" t="str">
        <f>+'Total Allocation Weight'!A9</f>
        <v>Condensing Gas</v>
      </c>
      <c r="B9" s="128">
        <f>EXP('Non-Price Factors'!B14+VarianceFactor*LN('Levelized Costs'!B9/'Levelized Costs'!B$5))</f>
        <v>0.64441814989632129</v>
      </c>
      <c r="C9" s="128">
        <f>EXP('Non-Price Factors'!C14+VarianceFactor*LN('Levelized Costs'!C9/'Levelized Costs'!C$5))</f>
        <v>0.65054338380826116</v>
      </c>
      <c r="D9" s="128">
        <f>EXP('Non-Price Factors'!D14+VarianceFactor*LN('Levelized Costs'!D9/'Levelized Costs'!D$5))</f>
        <v>0.65668254527216963</v>
      </c>
      <c r="E9" s="128">
        <f>EXP('Non-Price Factors'!E14+VarianceFactor*LN('Levelized Costs'!E9/'Levelized Costs'!E$5))</f>
        <v>0.6628344595544583</v>
      </c>
      <c r="F9" s="128">
        <f>EXP('Non-Price Factors'!F14+VarianceFactor*LN('Levelized Costs'!F9/'Levelized Costs'!F$5))</f>
        <v>0.66899793451970024</v>
      </c>
      <c r="G9" s="128">
        <f>EXP('Non-Price Factors'!G14+VarianceFactor*LN('Levelized Costs'!G9/'Levelized Costs'!G$5))</f>
        <v>0.67517176120509681</v>
      </c>
      <c r="H9" s="128">
        <f>EXP('Non-Price Factors'!H14+VarianceFactor*LN('Levelized Costs'!H9/'Levelized Costs'!H$5))</f>
        <v>0.68135471441653328</v>
      </c>
      <c r="I9" s="128">
        <f>EXP('Non-Price Factors'!I14+VarianceFactor*LN('Levelized Costs'!I9/'Levelized Costs'!I$5))</f>
        <v>0.68754555334571488</v>
      </c>
      <c r="J9" s="128">
        <f>EXP('Non-Price Factors'!J14+VarianceFactor*LN('Levelized Costs'!J9/'Levelized Costs'!J$5))</f>
        <v>0.69374302220782968</v>
      </c>
      <c r="K9" s="128">
        <f>EXP('Non-Price Factors'!K14+VarianceFactor*LN('Levelized Costs'!K9/'Levelized Costs'!K$5))</f>
        <v>0.69994585089914041</v>
      </c>
      <c r="L9" s="128">
        <f>EXP('Non-Price Factors'!L14+VarianceFactor*LN('Levelized Costs'!L9/'Levelized Costs'!L$5))</f>
        <v>0.70615275567387603</v>
      </c>
      <c r="M9" s="128">
        <f>EXP('Non-Price Factors'!M14+VarianceFactor*LN('Levelized Costs'!M9/'Levelized Costs'!M$5))</f>
        <v>0.71236243983975667</v>
      </c>
      <c r="N9" s="128">
        <f>EXP('Non-Price Factors'!N14+VarianceFactor*LN('Levelized Costs'!N9/'Levelized Costs'!N$5))</f>
        <v>0.71857359447143554</v>
      </c>
      <c r="O9" s="128">
        <f>EXP('Non-Price Factors'!O14+VarianceFactor*LN('Levelized Costs'!O9/'Levelized Costs'!O$5))</f>
        <v>0.72478489914113731</v>
      </c>
      <c r="P9" s="128">
        <f>EXP('Non-Price Factors'!P14+VarianceFactor*LN('Levelized Costs'!P9/'Levelized Costs'!P$5))</f>
        <v>0.73099502266569227</v>
      </c>
      <c r="Q9" s="128">
        <f>EXP('Non-Price Factors'!Q14+VarianceFactor*LN('Levelized Costs'!Q9/'Levelized Costs'!Q$5))</f>
        <v>0.73720262386917701</v>
      </c>
      <c r="R9" s="128">
        <f>EXP('Non-Price Factors'!R14+VarianceFactor*LN('Levelized Costs'!R9/'Levelized Costs'!R$5))</f>
        <v>0.74340635236031505</v>
      </c>
      <c r="S9" s="128">
        <f>EXP('Non-Price Factors'!S14+VarianceFactor*LN('Levelized Costs'!S9/'Levelized Costs'!S$5))</f>
        <v>0.74960484932376659</v>
      </c>
      <c r="T9" s="128">
        <f>EXP('Non-Price Factors'!T14+VarianceFactor*LN('Levelized Costs'!T9/'Levelized Costs'!T$5))</f>
        <v>0.7557967483244139</v>
      </c>
      <c r="U9" s="128">
        <f>EXP('Non-Price Factors'!U14+VarianceFactor*LN('Levelized Costs'!U9/'Levelized Costs'!U$5))</f>
        <v>0.76198067612370979</v>
      </c>
      <c r="V9" s="128">
        <f>EXP('Non-Price Factors'!V14+VarianceFactor*LN('Levelized Costs'!V9/'Levelized Costs'!V$5))</f>
        <v>0.76815525350715197</v>
      </c>
      <c r="W9" s="128">
        <f>EXP('Non-Price Factors'!W14+VarianceFactor*LN('Levelized Costs'!W9/'Levelized Costs'!W$5))</f>
        <v>0.77431909612189487</v>
      </c>
    </row>
    <row r="10" spans="1:29">
      <c r="A10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workbookViewId="0">
      <selection activeCell="C5" sqref="C5"/>
    </sheetView>
  </sheetViews>
  <sheetFormatPr defaultColWidth="9.140625" defaultRowHeight="15.75"/>
  <cols>
    <col min="1" max="1" width="4.140625" style="9" customWidth="1"/>
    <col min="2" max="2" width="46" style="9" customWidth="1"/>
    <col min="3" max="3" width="15.5703125" style="9" customWidth="1"/>
    <col min="4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6" ht="31.5" customHeight="1">
      <c r="B3" s="183" t="str">
        <f>CONCATENATE("Marginal Market Shares (%) - ",State,", Single Family, ", SpaceHeat, ", ", TankSize,", ", StartWH, " is starting water heater")</f>
        <v>Marginal Market Shares (%) - Washington, Single Family, Gas FAF, &gt;55 Gallons, Electric Resistance is starting water heater</v>
      </c>
      <c r="C3" s="184"/>
      <c r="D3" s="184"/>
      <c r="E3" s="184"/>
      <c r="F3" s="184"/>
    </row>
    <row r="4" spans="1:6" ht="47.25">
      <c r="B4" s="80" t="s">
        <v>78</v>
      </c>
      <c r="C4" s="88" t="s">
        <v>109</v>
      </c>
      <c r="D4" s="88" t="s">
        <v>79</v>
      </c>
      <c r="E4" s="88" t="s">
        <v>100</v>
      </c>
      <c r="F4" s="93" t="s">
        <v>76</v>
      </c>
    </row>
    <row r="5" spans="1:6">
      <c r="B5" s="82" t="str">
        <f>'Marginal Market Share'!A5</f>
        <v>Electric Resistance</v>
      </c>
      <c r="C5" s="83">
        <f>'Marginal Market Share'!B5</f>
        <v>0.99990403978933062</v>
      </c>
      <c r="D5" s="83">
        <f>'Marginal Market Share'!W5</f>
        <v>1.7448298663889121E-5</v>
      </c>
      <c r="E5" s="83">
        <f>'Marginal Market Share'!W13</f>
        <v>0</v>
      </c>
      <c r="F5" s="84">
        <f>E5-D5</f>
        <v>-1.7448298663889121E-5</v>
      </c>
    </row>
    <row r="6" spans="1:6">
      <c r="B6" s="82" t="str">
        <f>'Marginal Market Share'!A6</f>
        <v>HPWH</v>
      </c>
      <c r="C6" s="83">
        <f>'Marginal Market Share'!B6</f>
        <v>5.3820741105292772E-5</v>
      </c>
      <c r="D6" s="83">
        <f>'Marginal Market Share'!W6</f>
        <v>0.55680705488289362</v>
      </c>
      <c r="E6" s="83">
        <f>'Marginal Market Share'!W14</f>
        <v>1</v>
      </c>
      <c r="F6" s="84">
        <f>E6-D6</f>
        <v>0.44319294511710638</v>
      </c>
    </row>
    <row r="7" spans="1:6">
      <c r="B7" s="82" t="str">
        <f>'Marginal Market Share'!A7</f>
        <v>Gas Tank</v>
      </c>
      <c r="C7" s="83">
        <f>'Marginal Market Share'!B7</f>
        <v>3.2240352205107085E-9</v>
      </c>
      <c r="D7" s="83">
        <f>'Marginal Market Share'!W7</f>
        <v>2.7240234488193345E-5</v>
      </c>
      <c r="E7" s="83">
        <f>'Marginal Market Share'!W15</f>
        <v>0</v>
      </c>
      <c r="F7" s="84">
        <f>E7-D7</f>
        <v>-2.7240234488193345E-5</v>
      </c>
    </row>
    <row r="8" spans="1:6">
      <c r="B8" s="82" t="str">
        <f>'Marginal Market Share'!A8</f>
        <v>Instant Gas</v>
      </c>
      <c r="C8" s="83">
        <f>'Marginal Market Share'!B8</f>
        <v>1.2882514249557977E-5</v>
      </c>
      <c r="D8" s="83">
        <f>'Marginal Market Share'!W8</f>
        <v>0.14555857041110018</v>
      </c>
      <c r="E8" s="83">
        <f>'Marginal Market Share'!W16</f>
        <v>0</v>
      </c>
      <c r="F8" s="84">
        <f>E8-D8</f>
        <v>-0.14555857041110018</v>
      </c>
    </row>
    <row r="9" spans="1:6">
      <c r="B9" s="85" t="str">
        <f>'Marginal Market Share'!A9</f>
        <v>Condensing Gas</v>
      </c>
      <c r="C9" s="86">
        <f>'Marginal Market Share'!B9</f>
        <v>2.9253731279342188E-5</v>
      </c>
      <c r="D9" s="86">
        <f>'Marginal Market Share'!W9</f>
        <v>0.2975896861728542</v>
      </c>
      <c r="E9" s="86">
        <f>'Marginal Market Share'!W17</f>
        <v>0</v>
      </c>
      <c r="F9" s="87">
        <f>E9-D9</f>
        <v>-0.2975896861728542</v>
      </c>
    </row>
    <row r="10" spans="1:6">
      <c r="B10" s="96"/>
      <c r="C10" s="83"/>
      <c r="D10" s="83"/>
      <c r="E10" s="83"/>
    </row>
    <row r="11" spans="1:6" ht="30.75" customHeight="1">
      <c r="B11" s="183" t="str">
        <f>CONCATENATE("Average Market Shares by Scenario (%) - ",State,", Single Family, ", SpaceHeat, ", ", TankSize,", ", StartWH, " is starting water heater")</f>
        <v>Average Market Shares by Scenario (%) - Washington, Single Family, Gas FAF, &gt;55 Gallons, Electric Resistance is starting water heater</v>
      </c>
      <c r="C11" s="184"/>
      <c r="D11" s="184"/>
      <c r="E11" s="184"/>
      <c r="F11" s="184"/>
    </row>
    <row r="12" spans="1:6" ht="47.25">
      <c r="B12" s="80" t="s">
        <v>78</v>
      </c>
      <c r="C12" s="88" t="s">
        <v>109</v>
      </c>
      <c r="D12" s="88" t="s">
        <v>79</v>
      </c>
      <c r="E12" s="88" t="s">
        <v>100</v>
      </c>
      <c r="F12" s="93" t="s">
        <v>76</v>
      </c>
    </row>
    <row r="13" spans="1:6">
      <c r="B13" s="82" t="str">
        <f>'Marginal Market Share'!A13</f>
        <v>Electric Resistance</v>
      </c>
      <c r="C13" s="83">
        <f>'Average Market Share'!B5</f>
        <v>1</v>
      </c>
      <c r="D13" s="83">
        <f>'Average Market Share'!W5</f>
        <v>0.21093669676551635</v>
      </c>
      <c r="E13" s="83">
        <f>'Average Market Share'!W13</f>
        <v>0.21092188755086902</v>
      </c>
      <c r="F13" s="84">
        <f>E13-D13</f>
        <v>-1.4809214647332203E-5</v>
      </c>
    </row>
    <row r="14" spans="1:6">
      <c r="B14" s="82" t="str">
        <f>'Marginal Market Share'!A14</f>
        <v>HPWH</v>
      </c>
      <c r="C14" s="83">
        <f>'Average Market Share'!B6</f>
        <v>0</v>
      </c>
      <c r="D14" s="83">
        <f>'Average Market Share'!W6</f>
        <v>0.44035087661036015</v>
      </c>
      <c r="E14" s="83">
        <f>'Average Market Share'!W14</f>
        <v>0.78907811244913095</v>
      </c>
      <c r="F14" s="84">
        <f>E14-D14</f>
        <v>0.3487272358387708</v>
      </c>
    </row>
    <row r="15" spans="1:6">
      <c r="B15" s="82" t="str">
        <f>'Marginal Market Share'!A15</f>
        <v>Gas Tank</v>
      </c>
      <c r="C15" s="83">
        <f>'Average Market Share'!B7</f>
        <v>0</v>
      </c>
      <c r="D15" s="83">
        <f>'Average Market Share'!W7</f>
        <v>2.3175494520051198E-5</v>
      </c>
      <c r="E15" s="83">
        <f>'Average Market Share'!W15</f>
        <v>0</v>
      </c>
      <c r="F15" s="84">
        <f>E15-D15</f>
        <v>-2.3175494520051198E-5</v>
      </c>
    </row>
    <row r="16" spans="1:6">
      <c r="B16" s="82" t="str">
        <f>'Marginal Market Share'!A16</f>
        <v>Instant Gas</v>
      </c>
      <c r="C16" s="83">
        <f>'Average Market Share'!B8</f>
        <v>0</v>
      </c>
      <c r="D16" s="83">
        <f>'Average Market Share'!W8</f>
        <v>0.11168635083108824</v>
      </c>
      <c r="E16" s="83">
        <f>'Average Market Share'!W16</f>
        <v>0</v>
      </c>
      <c r="F16" s="84">
        <f>E16-D16</f>
        <v>-0.11168635083108824</v>
      </c>
    </row>
    <row r="17" spans="2:7">
      <c r="B17" s="85" t="str">
        <f>'Marginal Market Share'!A17</f>
        <v>Condensing Gas</v>
      </c>
      <c r="C17" s="86">
        <f>'Average Market Share'!B9</f>
        <v>0</v>
      </c>
      <c r="D17" s="86">
        <f>'Average Market Share'!W9</f>
        <v>0.23700290029851523</v>
      </c>
      <c r="E17" s="86">
        <f>'Average Market Share'!W17</f>
        <v>0</v>
      </c>
      <c r="F17" s="87">
        <f>E17-D17</f>
        <v>-0.23700290029851523</v>
      </c>
    </row>
    <row r="18" spans="2:7">
      <c r="B18" s="96"/>
      <c r="C18" s="83"/>
      <c r="D18" s="83"/>
      <c r="E18" s="83"/>
      <c r="F18" s="83"/>
    </row>
    <row r="19" spans="2:7" ht="31.5" customHeight="1">
      <c r="B19" s="183" t="str">
        <f>CONCATENATE("BAU Case Average Market Shares (%) - ",State,", Single Family, ", SpaceHeat, ", ", TankSize,", ", StartWH, " is starting water heater")</f>
        <v>BAU Case Average Market Shares (%) - Washington, Single Family, Gas FAF, &gt;55 Gallons, Electric Resistance is starting water heater</v>
      </c>
      <c r="C19" s="184"/>
      <c r="D19" s="184"/>
      <c r="E19" s="184"/>
      <c r="F19" s="184"/>
      <c r="G19" s="184"/>
    </row>
    <row r="20" spans="2:7">
      <c r="B20" s="80" t="s">
        <v>78</v>
      </c>
      <c r="C20" s="88">
        <v>2015</v>
      </c>
      <c r="D20" s="88">
        <v>2020</v>
      </c>
      <c r="E20" s="88">
        <v>2025</v>
      </c>
      <c r="F20" s="88">
        <v>2030</v>
      </c>
      <c r="G20" s="93">
        <v>2035</v>
      </c>
    </row>
    <row r="21" spans="2:7">
      <c r="B21" s="82" t="str">
        <f>'Average Market Share'!A5</f>
        <v>Electric Resistance</v>
      </c>
      <c r="C21" s="83">
        <f>'Average Market Share'!C5</f>
        <v>0.92857294676994795</v>
      </c>
      <c r="D21" s="83">
        <f>'Average Market Share'!H5</f>
        <v>0.64105741354909773</v>
      </c>
      <c r="E21" s="83">
        <f>'Average Market Share'!M5</f>
        <v>0.44256743617486088</v>
      </c>
      <c r="F21" s="83">
        <f>'Average Market Share'!R5</f>
        <v>0.30553730058304157</v>
      </c>
      <c r="G21" s="84">
        <f>'Average Market Share'!W5</f>
        <v>0.21093669676551635</v>
      </c>
    </row>
    <row r="22" spans="2:7">
      <c r="B22" s="82" t="str">
        <f>'Average Market Share'!A6</f>
        <v>HPWH</v>
      </c>
      <c r="C22" s="83">
        <f>'Average Market Share'!C6</f>
        <v>4.0043703987710046E-2</v>
      </c>
      <c r="D22" s="83">
        <f>'Average Market Share'!H6</f>
        <v>0.20100700106193495</v>
      </c>
      <c r="E22" s="83">
        <f>'Average Market Share'!M6</f>
        <v>0.31180056848270427</v>
      </c>
      <c r="F22" s="83">
        <f>'Average Market Share'!R6</f>
        <v>0.38799741788736192</v>
      </c>
      <c r="G22" s="84">
        <f>'Average Market Share'!W6</f>
        <v>0.44035087661036015</v>
      </c>
    </row>
    <row r="23" spans="2:7">
      <c r="B23" s="82" t="str">
        <f>'Average Market Share'!A7</f>
        <v>Gas Tank</v>
      </c>
      <c r="C23" s="83">
        <f>'Average Market Share'!C7</f>
        <v>2.3759094784144751E-6</v>
      </c>
      <c r="D23" s="83">
        <f>'Average Market Share'!H7</f>
        <v>1.1621358477249481E-5</v>
      </c>
      <c r="E23" s="83">
        <f>'Average Market Share'!M7</f>
        <v>1.7516925047988279E-5</v>
      </c>
      <c r="F23" s="83">
        <f>'Average Market Share'!R7</f>
        <v>2.1124158024067918E-5</v>
      </c>
      <c r="G23" s="84">
        <f>'Average Market Share'!W7</f>
        <v>2.3175494520051198E-5</v>
      </c>
    </row>
    <row r="24" spans="2:7">
      <c r="B24" s="82" t="str">
        <f>'Average Market Share'!A8</f>
        <v>Instant Gas</v>
      </c>
      <c r="C24" s="83">
        <f>'Average Market Share'!C8</f>
        <v>9.6264462366238823E-3</v>
      </c>
      <c r="D24" s="83">
        <f>'Average Market Share'!H8</f>
        <v>4.8891251915044565E-2</v>
      </c>
      <c r="E24" s="83">
        <f>'Average Market Share'!M8</f>
        <v>7.6826068841640338E-2</v>
      </c>
      <c r="F24" s="83">
        <f>'Average Market Share'!R8</f>
        <v>9.6949110584721193E-2</v>
      </c>
      <c r="G24" s="84">
        <f>'Average Market Share'!W8</f>
        <v>0.11168635083108824</v>
      </c>
    </row>
    <row r="25" spans="2:7">
      <c r="B25" s="85" t="str">
        <f>'Average Market Share'!A9</f>
        <v>Condensing Gas</v>
      </c>
      <c r="C25" s="86">
        <f>'Average Market Share'!C9</f>
        <v>2.1754527096239554E-2</v>
      </c>
      <c r="D25" s="86">
        <f>'Average Market Share'!H9</f>
        <v>0.10903271211544552</v>
      </c>
      <c r="E25" s="86">
        <f>'Average Market Share'!M9</f>
        <v>0.16878840957574648</v>
      </c>
      <c r="F25" s="86">
        <f>'Average Market Share'!R9</f>
        <v>0.20949504678685113</v>
      </c>
      <c r="G25" s="87">
        <f>'Average Market Share'!W9</f>
        <v>0.23700290029851523</v>
      </c>
    </row>
    <row r="26" spans="2:7">
      <c r="B26" s="96"/>
      <c r="C26" s="83"/>
      <c r="D26" s="83"/>
      <c r="E26" s="83"/>
      <c r="F26" s="83"/>
      <c r="G26" s="83"/>
    </row>
    <row r="27" spans="2:7" ht="33.75" customHeight="1">
      <c r="B27" s="183" t="str">
        <f>CONCATENATE("Least Cost Case Average Market Shares (%) - ",State,", Single Family, ", SpaceHeat, ", ", TankSize,", ", StartWH, " is starting water heater")</f>
        <v>Least Cost Case Average Market Shares (%) - Washington, Single Family, Gas FAF, &gt;55 Gallons, Electric Resistance is starting water heater</v>
      </c>
      <c r="C27" s="184"/>
      <c r="D27" s="184"/>
      <c r="E27" s="184"/>
      <c r="F27" s="184"/>
      <c r="G27" s="184"/>
    </row>
    <row r="28" spans="2:7">
      <c r="B28" s="80" t="s">
        <v>78</v>
      </c>
      <c r="C28" s="88">
        <v>2015</v>
      </c>
      <c r="D28" s="88">
        <v>2020</v>
      </c>
      <c r="E28" s="88">
        <v>2025</v>
      </c>
      <c r="F28" s="88">
        <v>2030</v>
      </c>
      <c r="G28" s="93">
        <v>2035</v>
      </c>
    </row>
    <row r="29" spans="2:7">
      <c r="B29" s="82" t="str">
        <f>'Average Market Share'!A13</f>
        <v>Electric Resistance</v>
      </c>
      <c r="C29" s="83">
        <f>'Average Market Share'!C13</f>
        <v>0.9285714285714286</v>
      </c>
      <c r="D29" s="83">
        <f>'Average Market Share'!H13</f>
        <v>0.64104999298761567</v>
      </c>
      <c r="E29" s="83">
        <f>'Average Market Share'!M13</f>
        <v>0.44255625454860853</v>
      </c>
      <c r="F29" s="83">
        <f>'Average Market Share'!R13</f>
        <v>0.30552381340385792</v>
      </c>
      <c r="G29" s="84">
        <f>'Average Market Share'!W13</f>
        <v>0.21092188755086902</v>
      </c>
    </row>
    <row r="30" spans="2:7">
      <c r="B30" s="82" t="str">
        <f>'Average Market Share'!A14</f>
        <v>HPWH</v>
      </c>
      <c r="C30" s="83">
        <f>'Average Market Share'!C14</f>
        <v>7.1428571428571425E-2</v>
      </c>
      <c r="D30" s="83">
        <f>'Average Market Share'!H14</f>
        <v>0.35895000701238433</v>
      </c>
      <c r="E30" s="83">
        <f>'Average Market Share'!M14</f>
        <v>0.55744374545139153</v>
      </c>
      <c r="F30" s="83">
        <f>'Average Market Share'!R14</f>
        <v>0.69447618659614219</v>
      </c>
      <c r="G30" s="84">
        <f>'Average Market Share'!W14</f>
        <v>0.78907811244913095</v>
      </c>
    </row>
    <row r="31" spans="2:7">
      <c r="B31" s="82" t="str">
        <f>'Average Market Share'!A15</f>
        <v>Gas Tank</v>
      </c>
      <c r="C31" s="83">
        <f>'Average Market Share'!C15</f>
        <v>0</v>
      </c>
      <c r="D31" s="83">
        <f>'Average Market Share'!H15</f>
        <v>0</v>
      </c>
      <c r="E31" s="83">
        <f>'Average Market Share'!M15</f>
        <v>0</v>
      </c>
      <c r="F31" s="83">
        <f>'Average Market Share'!R15</f>
        <v>0</v>
      </c>
      <c r="G31" s="84">
        <f>'Average Market Share'!W15</f>
        <v>0</v>
      </c>
    </row>
    <row r="32" spans="2:7">
      <c r="B32" s="82" t="str">
        <f>'Average Market Share'!A16</f>
        <v>Instant Gas</v>
      </c>
      <c r="C32" s="83">
        <f>'Average Market Share'!C16</f>
        <v>0</v>
      </c>
      <c r="D32" s="83">
        <f>'Average Market Share'!H16</f>
        <v>0</v>
      </c>
      <c r="E32" s="83">
        <f>'Average Market Share'!M16</f>
        <v>0</v>
      </c>
      <c r="F32" s="83">
        <f>'Average Market Share'!R16</f>
        <v>0</v>
      </c>
      <c r="G32" s="84">
        <f>'Average Market Share'!W16</f>
        <v>0</v>
      </c>
    </row>
    <row r="33" spans="2:7">
      <c r="B33" s="85" t="str">
        <f>'Average Market Share'!A17</f>
        <v>Condensing Gas</v>
      </c>
      <c r="C33" s="86">
        <f>'Average Market Share'!C17</f>
        <v>0</v>
      </c>
      <c r="D33" s="86">
        <f>'Average Market Share'!H17</f>
        <v>0</v>
      </c>
      <c r="E33" s="86">
        <f>'Average Market Share'!M17</f>
        <v>0</v>
      </c>
      <c r="F33" s="86">
        <f>'Average Market Share'!R17</f>
        <v>0</v>
      </c>
      <c r="G33" s="87">
        <f>'Average Market Share'!W17</f>
        <v>0</v>
      </c>
    </row>
    <row r="34" spans="2:7">
      <c r="B34" s="44"/>
      <c r="C34" s="79"/>
      <c r="D34" s="95"/>
    </row>
    <row r="35" spans="2:7" ht="34.5" customHeight="1">
      <c r="B35" s="183" t="str">
        <f>CONCATENATE("Change in Natural Gas Usage Least Cost vs BAU Case (tBtu) - ",State,", Single Family, ", SpaceHeat, ", ", TankSize,", ", StartWH, " is starting water heater")</f>
        <v>Change in Natural Gas Usage Least Cost vs BAU Case (tBtu) - Washington, Single Family, Gas FAF, &gt;55 Gallons, Electric Resistance is starting water heater</v>
      </c>
      <c r="C35" s="184"/>
      <c r="D35" s="184"/>
      <c r="E35" s="184"/>
      <c r="F35" s="184"/>
      <c r="G35" s="184"/>
    </row>
    <row r="36" spans="2:7">
      <c r="B36" s="80"/>
      <c r="C36" s="88">
        <v>2015</v>
      </c>
      <c r="D36" s="88">
        <v>2020</v>
      </c>
      <c r="E36" s="88">
        <v>2025</v>
      </c>
      <c r="F36" s="88">
        <v>2030</v>
      </c>
      <c r="G36" s="93">
        <v>2035</v>
      </c>
    </row>
    <row r="37" spans="2:7">
      <c r="B37" s="82" t="s">
        <v>159</v>
      </c>
      <c r="C37" s="130">
        <f>'Net Reduction in Gas'!C5</f>
        <v>-2.8107999151068454E-2</v>
      </c>
      <c r="D37" s="130">
        <f>'Net Reduction in Gas'!H5</f>
        <v>-0.14143612235543374</v>
      </c>
      <c r="E37" s="130">
        <f>'Net Reduction in Gas'!M5</f>
        <v>-0.21994205249097618</v>
      </c>
      <c r="F37" s="130">
        <f>'Net Reduction in Gas'!R5</f>
        <v>-0.27437275069618211</v>
      </c>
      <c r="G37" s="131">
        <f>'Net Reduction in Gas'!W5</f>
        <v>-0.31214550855179346</v>
      </c>
    </row>
    <row r="38" spans="2:7">
      <c r="B38" s="82" t="s">
        <v>158</v>
      </c>
      <c r="C38" s="130">
        <f>-'Net Reduction in Gas'!C6</f>
        <v>2.1377692871411537E-2</v>
      </c>
      <c r="D38" s="130">
        <f>-'Net Reduction in Gas'!H6</f>
        <v>0.10758260143167517</v>
      </c>
      <c r="E38" s="130">
        <f>-'Net Reduction in Gas'!M6</f>
        <v>0.16731986785206213</v>
      </c>
      <c r="F38" s="130">
        <f>-'Net Reduction in Gas'!R6</f>
        <v>0.2087586147135447</v>
      </c>
      <c r="G38" s="131">
        <f>-'Net Reduction in Gas'!W6</f>
        <v>0.23753691195232474</v>
      </c>
    </row>
    <row r="39" spans="2:7">
      <c r="B39" s="85" t="s">
        <v>147</v>
      </c>
      <c r="C39" s="129">
        <f>'Net Reduction in Gas'!C7</f>
        <v>-6.7303062796569176E-3</v>
      </c>
      <c r="D39" s="129">
        <f>'Net Reduction in Gas'!H7</f>
        <v>-3.3853520923758568E-2</v>
      </c>
      <c r="E39" s="129">
        <f>'Net Reduction in Gas'!M7</f>
        <v>-5.2622184638914049E-2</v>
      </c>
      <c r="F39" s="129">
        <f>'Net Reduction in Gas'!R7</f>
        <v>-6.5614135982637406E-2</v>
      </c>
      <c r="G39" s="132">
        <f>'Net Reduction in Gas'!W7</f>
        <v>-7.4608596599468724E-2</v>
      </c>
    </row>
    <row r="40" spans="2:7">
      <c r="B40" s="96"/>
      <c r="C40" s="83"/>
      <c r="D40" s="83"/>
      <c r="E40" s="83"/>
      <c r="F40" s="83"/>
      <c r="G40" s="83"/>
    </row>
    <row r="41" spans="2:7" ht="36" customHeight="1">
      <c r="B41" s="185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Washington, Single Family, Gas FAF, &gt;55 Gallons, Electric Resistance is starting water heater</v>
      </c>
      <c r="C41" s="186"/>
      <c r="D41" s="186"/>
      <c r="E41" s="186"/>
      <c r="F41" s="186"/>
      <c r="G41" s="186"/>
    </row>
    <row r="42" spans="2:7">
      <c r="B42" s="65" t="s">
        <v>72</v>
      </c>
      <c r="C42" s="134" t="str">
        <f>'Total Resource Cost'!B4</f>
        <v>NPV (2012 M$)</v>
      </c>
      <c r="D42" s="17"/>
      <c r="E42" s="17"/>
      <c r="F42" s="17"/>
    </row>
    <row r="43" spans="2:7">
      <c r="B43" s="164" t="str">
        <f>'Total Resource Cost'!A5</f>
        <v>Consumer Cost Reduction</v>
      </c>
      <c r="C43" s="165">
        <f>'Consumer Cost'!B7</f>
        <v>36.551426624300973</v>
      </c>
      <c r="D43" s="163"/>
      <c r="E43" s="163"/>
      <c r="F43" s="2"/>
    </row>
    <row r="44" spans="2:7">
      <c r="B44" s="164" t="str">
        <f>'Total Resource Cost'!A6</f>
        <v>Utility Cost Reduction</v>
      </c>
      <c r="C44" s="131">
        <f>'Utility Cost'!B4</f>
        <v>-10.305747881642596</v>
      </c>
      <c r="D44" s="128"/>
    </row>
    <row r="45" spans="2:7">
      <c r="B45" s="166" t="str">
        <f>'Total Resource Cost'!A7</f>
        <v>Total Resource Cost Reduction</v>
      </c>
      <c r="C45" s="132">
        <f>'Total Resource Cost'!B7</f>
        <v>26.245678742658416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ht="24" customHeight="1">
      <c r="A3" s="25" t="s">
        <v>30</v>
      </c>
    </row>
    <row r="4" spans="1:23" s="23" customFormat="1">
      <c r="A4" s="24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7">
        <f>'Capital Cost'!$E5*CapitalChargeRate+'Fuel Cost'!B5 + 'O&amp;M Cost'!$D5</f>
        <v>360.7809513580512</v>
      </c>
      <c r="C5" s="27">
        <f>'Capital Cost'!$E5*CapitalChargeRate+'Fuel Cost'!C5 + 'O&amp;M Cost'!$D5</f>
        <v>364.59763592798538</v>
      </c>
      <c r="D5" s="27">
        <f>'Capital Cost'!$E5*CapitalChargeRate+'Fuel Cost'!D5 + 'O&amp;M Cost'!$D5</f>
        <v>368.46393739732878</v>
      </c>
      <c r="E5" s="27">
        <f>'Capital Cost'!$E5*CapitalChargeRate+'Fuel Cost'!E5 + 'O&amp;M Cost'!$D5</f>
        <v>372.38050078577362</v>
      </c>
      <c r="F5" s="27">
        <f>'Capital Cost'!$E5*CapitalChargeRate+'Fuel Cost'!F5 + 'O&amp;M Cost'!$D5</f>
        <v>376.34797949826816</v>
      </c>
      <c r="G5" s="27">
        <f>'Capital Cost'!$E5*CapitalChargeRate+'Fuel Cost'!G5 + 'O&amp;M Cost'!$D5</f>
        <v>380.36703543402518</v>
      </c>
      <c r="H5" s="27">
        <f>'Capital Cost'!$E5*CapitalChargeRate+'Fuel Cost'!H5 + 'O&amp;M Cost'!$D5</f>
        <v>384.43833909694717</v>
      </c>
      <c r="I5" s="27">
        <f>'Capital Cost'!$E5*CapitalChargeRate+'Fuel Cost'!I5 + 'O&amp;M Cost'!$D5</f>
        <v>388.562569707487</v>
      </c>
      <c r="J5" s="27">
        <f>'Capital Cost'!$E5*CapitalChargeRate+'Fuel Cost'!J5 + 'O&amp;M Cost'!$D5</f>
        <v>392.7404153159639</v>
      </c>
      <c r="K5" s="27">
        <f>'Capital Cost'!$E5*CapitalChargeRate+'Fuel Cost'!K5 + 'O&amp;M Cost'!$D5</f>
        <v>396.97257291735093</v>
      </c>
      <c r="L5" s="27">
        <f>'Capital Cost'!$E5*CapitalChargeRate+'Fuel Cost'!L5 + 'O&amp;M Cost'!$D5</f>
        <v>401.25974856755602</v>
      </c>
      <c r="M5" s="27">
        <f>'Capital Cost'!$E5*CapitalChargeRate+'Fuel Cost'!M5 + 'O&amp;M Cost'!$D5</f>
        <v>405.60265750121391</v>
      </c>
      <c r="N5" s="27">
        <f>'Capital Cost'!$E5*CapitalChargeRate+'Fuel Cost'!N5 + 'O&amp;M Cost'!$D5</f>
        <v>410.00202425100917</v>
      </c>
      <c r="O5" s="27">
        <f>'Capital Cost'!$E5*CapitalChargeRate+'Fuel Cost'!O5 + 'O&amp;M Cost'!$D5</f>
        <v>414.45858276855188</v>
      </c>
      <c r="P5" s="27">
        <f>'Capital Cost'!$E5*CapitalChargeRate+'Fuel Cost'!P5 + 'O&amp;M Cost'!$D5</f>
        <v>418.97307654682254</v>
      </c>
      <c r="Q5" s="27">
        <f>'Capital Cost'!$E5*CapitalChargeRate+'Fuel Cost'!Q5 + 'O&amp;M Cost'!$D5</f>
        <v>423.54625874421083</v>
      </c>
      <c r="R5" s="27">
        <f>'Capital Cost'!$E5*CapitalChargeRate+'Fuel Cost'!R5 + 'O&amp;M Cost'!$D5</f>
        <v>428.17889231016511</v>
      </c>
      <c r="S5" s="27">
        <f>'Capital Cost'!$E5*CapitalChargeRate+'Fuel Cost'!S5 + 'O&amp;M Cost'!$D5</f>
        <v>432.87175011247678</v>
      </c>
      <c r="T5" s="27">
        <f>'Capital Cost'!$E5*CapitalChargeRate+'Fuel Cost'!T5 + 'O&amp;M Cost'!$D5</f>
        <v>437.62561506621853</v>
      </c>
      <c r="U5" s="27">
        <f>'Capital Cost'!$E5*CapitalChargeRate+'Fuel Cost'!U5 + 'O&amp;M Cost'!$D5</f>
        <v>442.44128026435897</v>
      </c>
      <c r="V5" s="27">
        <f>'Capital Cost'!$E5*CapitalChargeRate+'Fuel Cost'!V5 + 'O&amp;M Cost'!$D5</f>
        <v>447.31954911007517</v>
      </c>
      <c r="W5" s="27">
        <f>'Capital Cost'!$E5*CapitalChargeRate+'Fuel Cost'!W5 + 'O&amp;M Cost'!$D5</f>
        <v>452.26123545078565</v>
      </c>
    </row>
    <row r="6" spans="1:23">
      <c r="A6" s="9" t="str">
        <f>+'Device Energy Use'!A6</f>
        <v>HPWH</v>
      </c>
      <c r="B6" s="27">
        <f>'Capital Cost'!$E6*CapitalChargeRate+'Fuel Cost'!B6 + 'O&amp;M Cost'!$D6</f>
        <v>335.04060074457448</v>
      </c>
      <c r="C6" s="27">
        <f>'Capital Cost'!$E6*CapitalChargeRate+'Fuel Cost'!C6 + 'O&amp;M Cost'!$D6</f>
        <v>337.12222732452472</v>
      </c>
      <c r="D6" s="27">
        <f>'Capital Cost'!$E6*CapitalChargeRate+'Fuel Cost'!D6 + 'O&amp;M Cost'!$D6</f>
        <v>339.23091505001435</v>
      </c>
      <c r="E6" s="27">
        <f>'Capital Cost'!$E6*CapitalChargeRate+'Fuel Cost'!E6 + 'O&amp;M Cost'!$D6</f>
        <v>341.36701571593539</v>
      </c>
      <c r="F6" s="27">
        <f>'Capital Cost'!$E6*CapitalChargeRate+'Fuel Cost'!F6 + 'O&amp;M Cost'!$D6</f>
        <v>343.53088569051334</v>
      </c>
      <c r="G6" s="27">
        <f>'Capital Cost'!$E6*CapitalChargeRate+'Fuel Cost'!G6 + 'O&amp;M Cost'!$D6</f>
        <v>345.72288597476086</v>
      </c>
      <c r="H6" s="27">
        <f>'Capital Cost'!$E6*CapitalChargeRate+'Fuel Cost'!H6 + 'O&amp;M Cost'!$D6</f>
        <v>347.94338226270349</v>
      </c>
      <c r="I6" s="27">
        <f>'Capital Cost'!$E6*CapitalChargeRate+'Fuel Cost'!I6 + 'O&amp;M Cost'!$D6</f>
        <v>350.19274500238953</v>
      </c>
      <c r="J6" s="27">
        <f>'Capital Cost'!$E6*CapitalChargeRate+'Fuel Cost'!J6 + 'O&amp;M Cost'!$D6</f>
        <v>352.47134945769142</v>
      </c>
      <c r="K6" s="27">
        <f>'Capital Cost'!$E6*CapitalChargeRate+'Fuel Cost'!K6 + 'O&amp;M Cost'!$D6</f>
        <v>354.77957577091217</v>
      </c>
      <c r="L6" s="27">
        <f>'Capital Cost'!$E6*CapitalChargeRate+'Fuel Cost'!L6 + 'O&amp;M Cost'!$D6</f>
        <v>357.11780902620484</v>
      </c>
      <c r="M6" s="27">
        <f>'Capital Cost'!$E6*CapitalChargeRate+'Fuel Cost'!M6 + 'O&amp;M Cost'!$D6</f>
        <v>359.48643931381633</v>
      </c>
      <c r="N6" s="27">
        <f>'Capital Cost'!$E6*CapitalChargeRate+'Fuel Cost'!N6 + 'O&amp;M Cost'!$D6</f>
        <v>361.88586179516676</v>
      </c>
      <c r="O6" s="27">
        <f>'Capital Cost'!$E6*CapitalChargeRate+'Fuel Cost'!O6 + 'O&amp;M Cost'!$D6</f>
        <v>364.31647676877475</v>
      </c>
      <c r="P6" s="27">
        <f>'Capital Cost'!$E6*CapitalChargeRate+'Fuel Cost'!P6 + 'O&amp;M Cost'!$D6</f>
        <v>366.7786897370396</v>
      </c>
      <c r="Q6" s="27">
        <f>'Capital Cost'!$E6*CapitalChargeRate+'Fuel Cost'!Q6 + 'O&amp;M Cost'!$D6</f>
        <v>369.27291147389201</v>
      </c>
      <c r="R6" s="27">
        <f>'Capital Cost'!$E6*CapitalChargeRate+'Fuel Cost'!R6 + 'O&amp;M Cost'!$D6</f>
        <v>371.79955809332336</v>
      </c>
      <c r="S6" s="27">
        <f>'Capital Cost'!$E6*CapitalChargeRate+'Fuel Cost'!S6 + 'O&amp;M Cost'!$D6</f>
        <v>374.35905111880737</v>
      </c>
      <c r="T6" s="27">
        <f>'Capital Cost'!$E6*CapitalChargeRate+'Fuel Cost'!T6 + 'O&amp;M Cost'!$D6</f>
        <v>376.95181755362273</v>
      </c>
      <c r="U6" s="27">
        <f>'Capital Cost'!$E6*CapitalChargeRate+'Fuel Cost'!U6 + 'O&amp;M Cost'!$D6</f>
        <v>379.57828995209059</v>
      </c>
      <c r="V6" s="27">
        <f>'Capital Cost'!$E6*CapitalChargeRate+'Fuel Cost'!V6 + 'O&amp;M Cost'!$D6</f>
        <v>382.23890649173859</v>
      </c>
      <c r="W6" s="27">
        <f>'Capital Cost'!$E6*CapitalChargeRate+'Fuel Cost'!W6 + 'O&amp;M Cost'!$D6</f>
        <v>384.93411104640199</v>
      </c>
    </row>
    <row r="7" spans="1:23">
      <c r="A7" s="9" t="str">
        <f>+'Device Energy Use'!A7</f>
        <v>Gas Tank</v>
      </c>
      <c r="B7" s="27">
        <f>'Capital Cost'!$E7*CapitalChargeRate+'Fuel Cost'!B7 + 'O&amp;M Cost'!$D7</f>
        <v>296.99683420856138</v>
      </c>
      <c r="C7" s="27">
        <f>'Capital Cost'!$E7*CapitalChargeRate+'Fuel Cost'!C7 + 'O&amp;M Cost'!$D7</f>
        <v>300.08760276461328</v>
      </c>
      <c r="D7" s="27">
        <f>'Capital Cost'!$E7*CapitalChargeRate+'Fuel Cost'!D7 + 'O&amp;M Cost'!$D7</f>
        <v>303.22473284900593</v>
      </c>
      <c r="E7" s="27">
        <f>'Capital Cost'!$E7*CapitalChargeRate+'Fuel Cost'!E7 + 'O&amp;M Cost'!$D7</f>
        <v>306.40891988466456</v>
      </c>
      <c r="F7" s="27">
        <f>'Capital Cost'!$E7*CapitalChargeRate+'Fuel Cost'!F7 + 'O&amp;M Cost'!$D7</f>
        <v>309.64086972585801</v>
      </c>
      <c r="G7" s="27">
        <f>'Capital Cost'!$E7*CapitalChargeRate+'Fuel Cost'!G7 + 'O&amp;M Cost'!$D7</f>
        <v>312.92129881466934</v>
      </c>
      <c r="H7" s="27">
        <f>'Capital Cost'!$E7*CapitalChargeRate+'Fuel Cost'!H7 + 'O&amp;M Cost'!$D7</f>
        <v>316.25093433981283</v>
      </c>
      <c r="I7" s="27">
        <f>'Capital Cost'!$E7*CapitalChargeRate+'Fuel Cost'!I7 + 'O&amp;M Cost'!$D7</f>
        <v>319.63051439783351</v>
      </c>
      <c r="J7" s="27">
        <f>'Capital Cost'!$E7*CapitalChargeRate+'Fuel Cost'!J7 + 'O&amp;M Cost'!$D7</f>
        <v>323.06078815672447</v>
      </c>
      <c r="K7" s="27">
        <f>'Capital Cost'!$E7*CapitalChargeRate+'Fuel Cost'!K7 + 'O&amp;M Cost'!$D7</f>
        <v>326.54251602199884</v>
      </c>
      <c r="L7" s="27">
        <f>'Capital Cost'!$E7*CapitalChargeRate+'Fuel Cost'!L7 + 'O&amp;M Cost'!$D7</f>
        <v>330.07646980525237</v>
      </c>
      <c r="M7" s="27">
        <f>'Capital Cost'!$E7*CapitalChargeRate+'Fuel Cost'!M7 + 'O&amp;M Cost'!$D7</f>
        <v>333.66343289525457</v>
      </c>
      <c r="N7" s="27">
        <f>'Capital Cost'!$E7*CapitalChargeRate+'Fuel Cost'!N7 + 'O&amp;M Cost'!$D7</f>
        <v>337.30420043160689</v>
      </c>
      <c r="O7" s="27">
        <f>'Capital Cost'!$E7*CapitalChargeRate+'Fuel Cost'!O7 + 'O&amp;M Cost'!$D7</f>
        <v>340.9995794810045</v>
      </c>
      <c r="P7" s="27">
        <f>'Capital Cost'!$E7*CapitalChargeRate+'Fuel Cost'!P7 + 'O&amp;M Cost'!$D7</f>
        <v>344.75038921614305</v>
      </c>
      <c r="Q7" s="27">
        <f>'Capital Cost'!$E7*CapitalChargeRate+'Fuel Cost'!Q7 + 'O&amp;M Cost'!$D7</f>
        <v>348.5574610973087</v>
      </c>
      <c r="R7" s="27">
        <f>'Capital Cost'!$E7*CapitalChargeRate+'Fuel Cost'!R7 + 'O&amp;M Cost'!$D7</f>
        <v>352.42163905669179</v>
      </c>
      <c r="S7" s="27">
        <f>'Capital Cost'!$E7*CapitalChargeRate+'Fuel Cost'!S7 + 'O&amp;M Cost'!$D7</f>
        <v>356.34377968546568</v>
      </c>
      <c r="T7" s="27">
        <f>'Capital Cost'!$E7*CapitalChargeRate+'Fuel Cost'!T7 + 'O&amp;M Cost'!$D7</f>
        <v>360.3247524236711</v>
      </c>
      <c r="U7" s="27">
        <f>'Capital Cost'!$E7*CapitalChargeRate+'Fuel Cost'!U7 + 'O&amp;M Cost'!$D7</f>
        <v>364.36543975294967</v>
      </c>
      <c r="V7" s="27">
        <f>'Capital Cost'!$E7*CapitalChargeRate+'Fuel Cost'!V7 + 'O&amp;M Cost'!$D7</f>
        <v>368.46673739216737</v>
      </c>
      <c r="W7" s="27">
        <f>'Capital Cost'!$E7*CapitalChargeRate+'Fuel Cost'!W7 + 'O&amp;M Cost'!$D7</f>
        <v>372.62955449597337</v>
      </c>
    </row>
    <row r="8" spans="1:23">
      <c r="A8" s="9" t="str">
        <f>+'Device Energy Use'!A8</f>
        <v>Instant Gas</v>
      </c>
      <c r="B8" s="27">
        <f>'Capital Cost'!$E8*CapitalChargeRate+'Fuel Cost'!B8 + 'O&amp;M Cost'!$D8</f>
        <v>623.8429666614154</v>
      </c>
      <c r="C8" s="27">
        <f>'Capital Cost'!$E8*CapitalChargeRate+'Fuel Cost'!C8 + 'O&amp;M Cost'!$D8</f>
        <v>626.53811691181045</v>
      </c>
      <c r="D8" s="27">
        <f>'Capital Cost'!$E8*CapitalChargeRate+'Fuel Cost'!D8 + 'O&amp;M Cost'!$D8</f>
        <v>629.27369441596147</v>
      </c>
      <c r="E8" s="27">
        <f>'Capital Cost'!$E8*CapitalChargeRate+'Fuel Cost'!E8 + 'O&amp;M Cost'!$D8</f>
        <v>632.05030558267481</v>
      </c>
      <c r="F8" s="27">
        <f>'Capital Cost'!$E8*CapitalChargeRate+'Fuel Cost'!F8 + 'O&amp;M Cost'!$D8</f>
        <v>634.86856591688866</v>
      </c>
      <c r="G8" s="27">
        <f>'Capital Cost'!$E8*CapitalChargeRate+'Fuel Cost'!G8 + 'O&amp;M Cost'!$D8</f>
        <v>637.72910015611592</v>
      </c>
      <c r="H8" s="27">
        <f>'Capital Cost'!$E8*CapitalChargeRate+'Fuel Cost'!H8 + 'O&amp;M Cost'!$D8</f>
        <v>640.63254240893139</v>
      </c>
      <c r="I8" s="27">
        <f>'Capital Cost'!$E8*CapitalChargeRate+'Fuel Cost'!I8 + 'O&amp;M Cost'!$D8</f>
        <v>643.57953629553913</v>
      </c>
      <c r="J8" s="27">
        <f>'Capital Cost'!$E8*CapitalChargeRate+'Fuel Cost'!J8 + 'O&amp;M Cost'!$D8</f>
        <v>646.57073509044608</v>
      </c>
      <c r="K8" s="27">
        <f>'Capital Cost'!$E8*CapitalChargeRate+'Fuel Cost'!K8 + 'O&amp;M Cost'!$D8</f>
        <v>649.60680186727654</v>
      </c>
      <c r="L8" s="27">
        <f>'Capital Cost'!$E8*CapitalChargeRate+'Fuel Cost'!L8 + 'O&amp;M Cost'!$D8</f>
        <v>652.68840964575952</v>
      </c>
      <c r="M8" s="27">
        <f>'Capital Cost'!$E8*CapitalChargeRate+'Fuel Cost'!M8 + 'O&amp;M Cost'!$D8</f>
        <v>655.81624154091969</v>
      </c>
      <c r="N8" s="27">
        <f>'Capital Cost'!$E8*CapitalChargeRate+'Fuel Cost'!N8 + 'O&amp;M Cost'!$D8</f>
        <v>658.99099091450739</v>
      </c>
      <c r="O8" s="27">
        <f>'Capital Cost'!$E8*CapitalChargeRate+'Fuel Cost'!O8 + 'O&amp;M Cost'!$D8</f>
        <v>662.2133615286989</v>
      </c>
      <c r="P8" s="27">
        <f>'Capital Cost'!$E8*CapitalChargeRate+'Fuel Cost'!P8 + 'O&amp;M Cost'!$D8</f>
        <v>665.48406770210318</v>
      </c>
      <c r="Q8" s="27">
        <f>'Capital Cost'!$E8*CapitalChargeRate+'Fuel Cost'!Q8 + 'O&amp;M Cost'!$D8</f>
        <v>668.80383446810856</v>
      </c>
      <c r="R8" s="27">
        <f>'Capital Cost'!$E8*CapitalChargeRate+'Fuel Cost'!R8 + 'O&amp;M Cost'!$D8</f>
        <v>672.17339773560388</v>
      </c>
      <c r="S8" s="27">
        <f>'Capital Cost'!$E8*CapitalChargeRate+'Fuel Cost'!S8 + 'O&amp;M Cost'!$D8</f>
        <v>675.5935044521118</v>
      </c>
      <c r="T8" s="27">
        <f>'Capital Cost'!$E8*CapitalChargeRate+'Fuel Cost'!T8 + 'O&amp;M Cost'!$D8</f>
        <v>679.06491276936731</v>
      </c>
      <c r="U8" s="27">
        <f>'Capital Cost'!$E8*CapitalChargeRate+'Fuel Cost'!U8 + 'O&amp;M Cost'!$D8</f>
        <v>682.58839221138169</v>
      </c>
      <c r="V8" s="27">
        <f>'Capital Cost'!$E8*CapitalChargeRate+'Fuel Cost'!V8 + 'O&amp;M Cost'!$D8</f>
        <v>686.16472384502617</v>
      </c>
      <c r="W8" s="27">
        <f>'Capital Cost'!$E8*CapitalChargeRate+'Fuel Cost'!W8 + 'O&amp;M Cost'!$D8</f>
        <v>689.79470045317544</v>
      </c>
    </row>
    <row r="9" spans="1:23">
      <c r="A9" s="9" t="str">
        <f>+'Device Energy Use'!A9</f>
        <v>Condensing Gas</v>
      </c>
      <c r="B9" s="27">
        <f>'Capital Cost'!$E9*CapitalChargeRate+'Fuel Cost'!B9 + 'O&amp;M Cost'!$D9</f>
        <v>436.73111753784247</v>
      </c>
      <c r="C9" s="27">
        <f>'Capital Cost'!$E9*CapitalChargeRate+'Fuel Cost'!C9 + 'O&amp;M Cost'!$D9</f>
        <v>439.53967349233369</v>
      </c>
      <c r="D9" s="27">
        <f>'Capital Cost'!$E9*CapitalChargeRate+'Fuel Cost'!D9 + 'O&amp;M Cost'!$D9</f>
        <v>442.39035778614232</v>
      </c>
      <c r="E9" s="27">
        <f>'Capital Cost'!$E9*CapitalChargeRate+'Fuel Cost'!E9 + 'O&amp;M Cost'!$D9</f>
        <v>445.28380234435804</v>
      </c>
      <c r="F9" s="27">
        <f>'Capital Cost'!$E9*CapitalChargeRate+'Fuel Cost'!F9 + 'O&amp;M Cost'!$D9</f>
        <v>448.22064857094699</v>
      </c>
      <c r="G9" s="27">
        <f>'Capital Cost'!$E9*CapitalChargeRate+'Fuel Cost'!G9 + 'O&amp;M Cost'!$D9</f>
        <v>451.20154749093484</v>
      </c>
      <c r="H9" s="27">
        <f>'Capital Cost'!$E9*CapitalChargeRate+'Fuel Cost'!H9 + 'O&amp;M Cost'!$D9</f>
        <v>454.22715989472249</v>
      </c>
      <c r="I9" s="27">
        <f>'Capital Cost'!$E9*CapitalChargeRate+'Fuel Cost'!I9 + 'O&amp;M Cost'!$D9</f>
        <v>457.2981564845669</v>
      </c>
      <c r="J9" s="27">
        <f>'Capital Cost'!$E9*CapitalChargeRate+'Fuel Cost'!J9 + 'O&amp;M Cost'!$D9</f>
        <v>460.415218023259</v>
      </c>
      <c r="K9" s="27">
        <f>'Capital Cost'!$E9*CapitalChargeRate+'Fuel Cost'!K9 + 'O&amp;M Cost'!$D9</f>
        <v>463.57903548503151</v>
      </c>
      <c r="L9" s="27">
        <f>'Capital Cost'!$E9*CapitalChargeRate+'Fuel Cost'!L9 + 'O&amp;M Cost'!$D9</f>
        <v>466.7903102087306</v>
      </c>
      <c r="M9" s="27">
        <f>'Capital Cost'!$E9*CapitalChargeRate+'Fuel Cost'!M9 + 'O&amp;M Cost'!$D9</f>
        <v>470.04975405328514</v>
      </c>
      <c r="N9" s="27">
        <f>'Capital Cost'!$E9*CapitalChargeRate+'Fuel Cost'!N9 + 'O&amp;M Cost'!$D9</f>
        <v>473.35808955550806</v>
      </c>
      <c r="O9" s="27">
        <f>'Capital Cost'!$E9*CapitalChargeRate+'Fuel Cost'!O9 + 'O&amp;M Cost'!$D9</f>
        <v>476.71605009026428</v>
      </c>
      <c r="P9" s="27">
        <f>'Capital Cost'!$E9*CapitalChargeRate+'Fuel Cost'!P9 + 'O&amp;M Cost'!$D9</f>
        <v>480.1243800330418</v>
      </c>
      <c r="Q9" s="27">
        <f>'Capital Cost'!$E9*CapitalChargeRate+'Fuel Cost'!Q9 + 'O&amp;M Cost'!$D9</f>
        <v>483.58383492496108</v>
      </c>
      <c r="R9" s="27">
        <f>'Capital Cost'!$E9*CapitalChargeRate+'Fuel Cost'!R9 + 'O&amp;M Cost'!$D9</f>
        <v>487.09518164025911</v>
      </c>
      <c r="S9" s="27">
        <f>'Capital Cost'!$E9*CapitalChargeRate+'Fuel Cost'!S9 + 'O&amp;M Cost'!$D9</f>
        <v>490.65919855628658</v>
      </c>
      <c r="T9" s="27">
        <f>'Capital Cost'!$E9*CapitalChargeRate+'Fuel Cost'!T9 + 'O&amp;M Cost'!$D9</f>
        <v>494.27667572605446</v>
      </c>
      <c r="U9" s="27">
        <f>'Capital Cost'!$E9*CapitalChargeRate+'Fuel Cost'!U9 + 'O&amp;M Cost'!$D9</f>
        <v>497.94841505336893</v>
      </c>
      <c r="V9" s="27">
        <f>'Capital Cost'!$E9*CapitalChargeRate+'Fuel Cost'!V9 + 'O&amp;M Cost'!$D9</f>
        <v>501.67523047059308</v>
      </c>
      <c r="W9" s="27">
        <f>'Capital Cost'!$E9*CapitalChargeRate+'Fuel Cost'!W9 + 'O&amp;M Cost'!$D9</f>
        <v>505.45794811907558</v>
      </c>
    </row>
    <row r="11" spans="1:23">
      <c r="A11" s="28" t="s">
        <v>87</v>
      </c>
    </row>
    <row r="13" spans="1:23">
      <c r="A13" s="9" t="s">
        <v>91</v>
      </c>
      <c r="B13" s="27">
        <f>MIN(B6,B8,B9)</f>
        <v>335.04060074457448</v>
      </c>
      <c r="C13" s="27">
        <f t="shared" ref="C13:W13" si="0">MIN(C6,C8,C9)</f>
        <v>337.12222732452472</v>
      </c>
      <c r="D13" s="27">
        <f t="shared" si="0"/>
        <v>339.23091505001435</v>
      </c>
      <c r="E13" s="27">
        <f t="shared" si="0"/>
        <v>341.36701571593539</v>
      </c>
      <c r="F13" s="27">
        <f t="shared" si="0"/>
        <v>343.53088569051334</v>
      </c>
      <c r="G13" s="27">
        <f t="shared" si="0"/>
        <v>345.72288597476086</v>
      </c>
      <c r="H13" s="27">
        <f t="shared" si="0"/>
        <v>347.94338226270349</v>
      </c>
      <c r="I13" s="27">
        <f t="shared" si="0"/>
        <v>350.19274500238953</v>
      </c>
      <c r="J13" s="27">
        <f t="shared" si="0"/>
        <v>352.47134945769142</v>
      </c>
      <c r="K13" s="27">
        <f t="shared" si="0"/>
        <v>354.77957577091217</v>
      </c>
      <c r="L13" s="27">
        <f t="shared" si="0"/>
        <v>357.11780902620484</v>
      </c>
      <c r="M13" s="27">
        <f t="shared" si="0"/>
        <v>359.48643931381633</v>
      </c>
      <c r="N13" s="27">
        <f t="shared" si="0"/>
        <v>361.88586179516676</v>
      </c>
      <c r="O13" s="27">
        <f t="shared" si="0"/>
        <v>364.31647676877475</v>
      </c>
      <c r="P13" s="27">
        <f t="shared" si="0"/>
        <v>366.7786897370396</v>
      </c>
      <c r="Q13" s="27">
        <f t="shared" si="0"/>
        <v>369.27291147389201</v>
      </c>
      <c r="R13" s="27">
        <f t="shared" si="0"/>
        <v>371.79955809332336</v>
      </c>
      <c r="S13" s="27">
        <f t="shared" si="0"/>
        <v>374.35905111880737</v>
      </c>
      <c r="T13" s="27">
        <f t="shared" si="0"/>
        <v>376.95181755362273</v>
      </c>
      <c r="U13" s="27">
        <f t="shared" si="0"/>
        <v>379.57828995209059</v>
      </c>
      <c r="V13" s="27">
        <f t="shared" si="0"/>
        <v>382.23890649173859</v>
      </c>
      <c r="W13" s="27">
        <f t="shared" si="0"/>
        <v>384.93411104640199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ht="24.75" customHeight="1">
      <c r="A3" s="25" t="s">
        <v>35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293.59112076417256</v>
      </c>
      <c r="C5" s="11">
        <f>+'Device Energy Use'!$D5*('Retail Rates'!C$5*'Device Energy Use'!$E5+'Retail Rates'!C$6*(1-'Device Energy Use'!$E5))</f>
        <v>297.40780533410674</v>
      </c>
      <c r="D5" s="11">
        <f>+'Device Energy Use'!$D5*('Retail Rates'!D$5*'Device Energy Use'!$E5+'Retail Rates'!D$6*(1-'Device Energy Use'!$E5))</f>
        <v>301.27410680345008</v>
      </c>
      <c r="E5" s="11">
        <f>+'Device Energy Use'!$D5*('Retail Rates'!E$5*'Device Energy Use'!$E5+'Retail Rates'!E$6*(1-'Device Energy Use'!$E5))</f>
        <v>305.19067019189492</v>
      </c>
      <c r="F5" s="11">
        <f>+'Device Energy Use'!$D5*('Retail Rates'!F$5*'Device Energy Use'!$E5+'Retail Rates'!F$6*(1-'Device Energy Use'!$E5))</f>
        <v>309.15814890438952</v>
      </c>
      <c r="G5" s="11">
        <f>+'Device Energy Use'!$D5*('Retail Rates'!G$5*'Device Energy Use'!$E5+'Retail Rates'!G$6*(1-'Device Energy Use'!$E5))</f>
        <v>313.17720484014654</v>
      </c>
      <c r="H5" s="11">
        <f>+'Device Energy Use'!$D5*('Retail Rates'!H$5*'Device Energy Use'!$E5+'Retail Rates'!H$6*(1-'Device Energy Use'!$E5))</f>
        <v>317.24850850306848</v>
      </c>
      <c r="I5" s="11">
        <f>+'Device Energy Use'!$D5*('Retail Rates'!I$5*'Device Energy Use'!$E5+'Retail Rates'!I$6*(1-'Device Energy Use'!$E5))</f>
        <v>321.3727391136083</v>
      </c>
      <c r="J5" s="11">
        <f>+'Device Energy Use'!$D5*('Retail Rates'!J$5*'Device Energy Use'!$E5+'Retail Rates'!J$6*(1-'Device Energy Use'!$E5))</f>
        <v>325.5505847220852</v>
      </c>
      <c r="K5" s="11">
        <f>+'Device Energy Use'!$D5*('Retail Rates'!K$5*'Device Energy Use'!$E5+'Retail Rates'!K$6*(1-'Device Energy Use'!$E5))</f>
        <v>329.78274232347229</v>
      </c>
      <c r="L5" s="11">
        <f>+'Device Energy Use'!$D5*('Retail Rates'!L$5*'Device Energy Use'!$E5+'Retail Rates'!L$6*(1-'Device Energy Use'!$E5))</f>
        <v>334.06991797367738</v>
      </c>
      <c r="M5" s="11">
        <f>+'Device Energy Use'!$D5*('Retail Rates'!M$5*'Device Energy Use'!$E5+'Retail Rates'!M$6*(1-'Device Energy Use'!$E5))</f>
        <v>338.41282690733522</v>
      </c>
      <c r="N5" s="11">
        <f>+'Device Energy Use'!$D5*('Retail Rates'!N$5*'Device Energy Use'!$E5+'Retail Rates'!N$6*(1-'Device Energy Use'!$E5))</f>
        <v>342.81219365713054</v>
      </c>
      <c r="O5" s="11">
        <f>+'Device Energy Use'!$D5*('Retail Rates'!O$5*'Device Energy Use'!$E5+'Retail Rates'!O$6*(1-'Device Energy Use'!$E5))</f>
        <v>347.26875217467318</v>
      </c>
      <c r="P5" s="11">
        <f>+'Device Energy Use'!$D5*('Retail Rates'!P$5*'Device Energy Use'!$E5+'Retail Rates'!P$6*(1-'Device Energy Use'!$E5))</f>
        <v>351.7832459529439</v>
      </c>
      <c r="Q5" s="11">
        <f>+'Device Energy Use'!$D5*('Retail Rates'!Q$5*'Device Energy Use'!$E5+'Retail Rates'!Q$6*(1-'Device Energy Use'!$E5))</f>
        <v>356.35642815033219</v>
      </c>
      <c r="R5" s="11">
        <f>+'Device Energy Use'!$D5*('Retail Rates'!R$5*'Device Energy Use'!$E5+'Retail Rates'!R$6*(1-'Device Energy Use'!$E5))</f>
        <v>360.98906171628641</v>
      </c>
      <c r="S5" s="11">
        <f>+'Device Energy Use'!$D5*('Retail Rates'!S$5*'Device Energy Use'!$E5+'Retail Rates'!S$6*(1-'Device Energy Use'!$E5))</f>
        <v>365.68191951859814</v>
      </c>
      <c r="T5" s="11">
        <f>+'Device Energy Use'!$D5*('Retail Rates'!T$5*'Device Energy Use'!$E5+'Retail Rates'!T$6*(1-'Device Energy Use'!$E5))</f>
        <v>370.43578447233989</v>
      </c>
      <c r="U5" s="11">
        <f>+'Device Energy Use'!$D5*('Retail Rates'!U$5*'Device Energy Use'!$E5+'Retail Rates'!U$6*(1-'Device Energy Use'!$E5))</f>
        <v>375.25144967048027</v>
      </c>
      <c r="V5" s="11">
        <f>+'Device Energy Use'!$D5*('Retail Rates'!V$5*'Device Energy Use'!$E5+'Retail Rates'!V$6*(1-'Device Energy Use'!$E5))</f>
        <v>380.12971851619648</v>
      </c>
      <c r="W5" s="11">
        <f>+'Device Energy Use'!$D5*('Retail Rates'!W$5*'Device Energy Use'!$E5+'Retail Rates'!W$6*(1-'Device Energy Use'!$E5))</f>
        <v>385.07140485690701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160.12512153463825</v>
      </c>
      <c r="C6" s="11">
        <f>+'Device Energy Use'!$D6*('Retail Rates'!C$5*'Device Energy Use'!$E6+'Retail Rates'!C$6*(1-'Device Energy Use'!$E6))</f>
        <v>162.20674811458852</v>
      </c>
      <c r="D6" s="11">
        <f>+'Device Energy Use'!$D6*('Retail Rates'!D$5*'Device Energy Use'!$E6+'Retail Rates'!D$6*(1-'Device Energy Use'!$E6))</f>
        <v>164.31543584007818</v>
      </c>
      <c r="E6" s="11">
        <f>+'Device Energy Use'!$D6*('Retail Rates'!E$5*'Device Energy Use'!$E6+'Retail Rates'!E$6*(1-'Device Energy Use'!$E6))</f>
        <v>166.45153650599917</v>
      </c>
      <c r="F6" s="11">
        <f>+'Device Energy Use'!$D6*('Retail Rates'!F$5*'Device Energy Use'!$E6+'Retail Rates'!F$6*(1-'Device Energy Use'!$E6))</f>
        <v>168.61540648057715</v>
      </c>
      <c r="G6" s="11">
        <f>+'Device Energy Use'!$D6*('Retail Rates'!G$5*'Device Energy Use'!$E6+'Retail Rates'!G$6*(1-'Device Energy Use'!$E6))</f>
        <v>170.80740676482463</v>
      </c>
      <c r="H6" s="11">
        <f>+'Device Energy Use'!$D6*('Retail Rates'!H$5*'Device Energy Use'!$E6+'Retail Rates'!H$6*(1-'Device Energy Use'!$E6))</f>
        <v>173.02790305276733</v>
      </c>
      <c r="I6" s="11">
        <f>+'Device Energy Use'!$D6*('Retail Rates'!I$5*'Device Energy Use'!$E6+'Retail Rates'!I$6*(1-'Device Energy Use'!$E6))</f>
        <v>175.27726579245331</v>
      </c>
      <c r="J6" s="11">
        <f>+'Device Energy Use'!$D6*('Retail Rates'!J$5*'Device Energy Use'!$E6+'Retail Rates'!J$6*(1-'Device Energy Use'!$E6))</f>
        <v>177.55587024775519</v>
      </c>
      <c r="K6" s="11">
        <f>+'Device Energy Use'!$D6*('Retail Rates'!K$5*'Device Energy Use'!$E6+'Retail Rates'!K$6*(1-'Device Energy Use'!$E6))</f>
        <v>179.86409656097598</v>
      </c>
      <c r="L6" s="11">
        <f>+'Device Energy Use'!$D6*('Retail Rates'!L$5*'Device Energy Use'!$E6+'Retail Rates'!L$6*(1-'Device Energy Use'!$E6))</f>
        <v>182.20232981626864</v>
      </c>
      <c r="M6" s="11">
        <f>+'Device Energy Use'!$D6*('Retail Rates'!M$5*'Device Energy Use'!$E6+'Retail Rates'!M$6*(1-'Device Energy Use'!$E6))</f>
        <v>184.57096010388014</v>
      </c>
      <c r="N6" s="11">
        <f>+'Device Energy Use'!$D6*('Retail Rates'!N$5*'Device Energy Use'!$E6+'Retail Rates'!N$6*(1-'Device Energy Use'!$E6))</f>
        <v>186.97038258523057</v>
      </c>
      <c r="O6" s="11">
        <f>+'Device Energy Use'!$D6*('Retail Rates'!O$5*'Device Energy Use'!$E6+'Retail Rates'!O$6*(1-'Device Energy Use'!$E6))</f>
        <v>189.40099755883855</v>
      </c>
      <c r="P6" s="11">
        <f>+'Device Energy Use'!$D6*('Retail Rates'!P$5*'Device Energy Use'!$E6+'Retail Rates'!P$6*(1-'Device Energy Use'!$E6))</f>
        <v>191.86321052710343</v>
      </c>
      <c r="Q6" s="11">
        <f>+'Device Energy Use'!$D6*('Retail Rates'!Q$5*'Device Energy Use'!$E6+'Retail Rates'!Q$6*(1-'Device Energy Use'!$E6))</f>
        <v>194.35743226395579</v>
      </c>
      <c r="R6" s="11">
        <f>+'Device Energy Use'!$D6*('Retail Rates'!R$5*'Device Energy Use'!$E6+'Retail Rates'!R$6*(1-'Device Energy Use'!$E6))</f>
        <v>196.88407888338716</v>
      </c>
      <c r="S6" s="11">
        <f>+'Device Energy Use'!$D6*('Retail Rates'!S$5*'Device Energy Use'!$E6+'Retail Rates'!S$6*(1-'Device Energy Use'!$E6))</f>
        <v>199.44357190887118</v>
      </c>
      <c r="T6" s="11">
        <f>+'Device Energy Use'!$D6*('Retail Rates'!T$5*'Device Energy Use'!$E6+'Retail Rates'!T$6*(1-'Device Energy Use'!$E6))</f>
        <v>202.03633834368651</v>
      </c>
      <c r="U6" s="11">
        <f>+'Device Energy Use'!$D6*('Retail Rates'!U$5*'Device Energy Use'!$E6+'Retail Rates'!U$6*(1-'Device Energy Use'!$E6))</f>
        <v>204.66281074215442</v>
      </c>
      <c r="V6" s="11">
        <f>+'Device Energy Use'!$D6*('Retail Rates'!V$5*'Device Energy Use'!$E6+'Retail Rates'!V$6*(1-'Device Energy Use'!$E6))</f>
        <v>207.3234272818024</v>
      </c>
      <c r="W6" s="11">
        <f>+'Device Energy Use'!$D6*('Retail Rates'!W$5*'Device Energy Use'!$E6+'Retail Rates'!W$6*(1-'Device Energy Use'!$E6))</f>
        <v>210.01863183646583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206.05123707012828</v>
      </c>
      <c r="C7" s="11">
        <f>+'Device Energy Use'!$D7*('Retail Rates'!C$5*'Device Energy Use'!$E7+'Retail Rates'!C$6*(1-'Device Energy Use'!$E7))</f>
        <v>209.14200562618021</v>
      </c>
      <c r="D7" s="11">
        <f>+'Device Energy Use'!$D7*('Retail Rates'!D$5*'Device Energy Use'!$E7+'Retail Rates'!D$6*(1-'Device Energy Use'!$E7))</f>
        <v>212.27913571057289</v>
      </c>
      <c r="E7" s="11">
        <f>+'Device Energy Use'!$D7*('Retail Rates'!E$5*'Device Energy Use'!$E7+'Retail Rates'!E$6*(1-'Device Energy Use'!$E7))</f>
        <v>215.46332274623146</v>
      </c>
      <c r="F7" s="11">
        <f>+'Device Energy Use'!$D7*('Retail Rates'!F$5*'Device Energy Use'!$E7+'Retail Rates'!F$6*(1-'Device Energy Use'!$E7))</f>
        <v>218.69527258742491</v>
      </c>
      <c r="G7" s="11">
        <f>+'Device Energy Use'!$D7*('Retail Rates'!G$5*'Device Energy Use'!$E7+'Retail Rates'!G$6*(1-'Device Energy Use'!$E7))</f>
        <v>221.97570167623627</v>
      </c>
      <c r="H7" s="11">
        <f>+'Device Energy Use'!$D7*('Retail Rates'!H$5*'Device Energy Use'!$E7+'Retail Rates'!H$6*(1-'Device Energy Use'!$E7))</f>
        <v>225.30533720137979</v>
      </c>
      <c r="I7" s="11">
        <f>+'Device Energy Use'!$D7*('Retail Rates'!I$5*'Device Energy Use'!$E7+'Retail Rates'!I$6*(1-'Device Energy Use'!$E7))</f>
        <v>228.68491725940044</v>
      </c>
      <c r="J7" s="11">
        <f>+'Device Energy Use'!$D7*('Retail Rates'!J$5*'Device Energy Use'!$E7+'Retail Rates'!J$6*(1-'Device Energy Use'!$E7))</f>
        <v>232.11519101829143</v>
      </c>
      <c r="K7" s="11">
        <f>+'Device Energy Use'!$D7*('Retail Rates'!K$5*'Device Energy Use'!$E7+'Retail Rates'!K$6*(1-'Device Energy Use'!$E7))</f>
        <v>235.59691888356579</v>
      </c>
      <c r="L7" s="11">
        <f>+'Device Energy Use'!$D7*('Retail Rates'!L$5*'Device Energy Use'!$E7+'Retail Rates'!L$6*(1-'Device Energy Use'!$E7))</f>
        <v>239.13087266681927</v>
      </c>
      <c r="M7" s="11">
        <f>+'Device Energy Use'!$D7*('Retail Rates'!M$5*'Device Energy Use'!$E7+'Retail Rates'!M$6*(1-'Device Energy Use'!$E7))</f>
        <v>242.71783575682153</v>
      </c>
      <c r="N7" s="11">
        <f>+'Device Energy Use'!$D7*('Retail Rates'!N$5*'Device Energy Use'!$E7+'Retail Rates'!N$6*(1-'Device Energy Use'!$E7))</f>
        <v>246.35860329317381</v>
      </c>
      <c r="O7" s="11">
        <f>+'Device Energy Use'!$D7*('Retail Rates'!O$5*'Device Energy Use'!$E7+'Retail Rates'!O$6*(1-'Device Energy Use'!$E7))</f>
        <v>250.05398234257143</v>
      </c>
      <c r="P7" s="11">
        <f>+'Device Energy Use'!$D7*('Retail Rates'!P$5*'Device Energy Use'!$E7+'Retail Rates'!P$6*(1-'Device Energy Use'!$E7))</f>
        <v>253.80479207770998</v>
      </c>
      <c r="Q7" s="11">
        <f>+'Device Energy Use'!$D7*('Retail Rates'!Q$5*'Device Energy Use'!$E7+'Retail Rates'!Q$6*(1-'Device Energy Use'!$E7))</f>
        <v>257.61186395887563</v>
      </c>
      <c r="R7" s="11">
        <f>+'Device Energy Use'!$D7*('Retail Rates'!R$5*'Device Energy Use'!$E7+'Retail Rates'!R$6*(1-'Device Energy Use'!$E7))</f>
        <v>261.47604191825872</v>
      </c>
      <c r="S7" s="11">
        <f>+'Device Energy Use'!$D7*('Retail Rates'!S$5*'Device Energy Use'!$E7+'Retail Rates'!S$6*(1-'Device Energy Use'!$E7))</f>
        <v>265.3981825470326</v>
      </c>
      <c r="T7" s="11">
        <f>+'Device Energy Use'!$D7*('Retail Rates'!T$5*'Device Energy Use'!$E7+'Retail Rates'!T$6*(1-'Device Energy Use'!$E7))</f>
        <v>269.37915528523803</v>
      </c>
      <c r="U7" s="11">
        <f>+'Device Energy Use'!$D7*('Retail Rates'!U$5*'Device Energy Use'!$E7+'Retail Rates'!U$6*(1-'Device Energy Use'!$E7))</f>
        <v>273.4198426145166</v>
      </c>
      <c r="V7" s="11">
        <f>+'Device Energy Use'!$D7*('Retail Rates'!V$5*'Device Energy Use'!$E7+'Retail Rates'!V$6*(1-'Device Energy Use'!$E7))</f>
        <v>277.5211402537343</v>
      </c>
      <c r="W7" s="11">
        <f>+'Device Energy Use'!$D7*('Retail Rates'!W$5*'Device Energy Use'!$E7+'Retail Rates'!W$6*(1-'Device Energy Use'!$E7))</f>
        <v>281.68395735754029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179.67668335967133</v>
      </c>
      <c r="C8" s="11">
        <f>+'Device Energy Use'!$D8*('Retail Rates'!C$5*'Device Energy Use'!$E8+'Retail Rates'!C$6*(1-'Device Energy Use'!$E8))</f>
        <v>182.37183361006637</v>
      </c>
      <c r="D8" s="11">
        <f>+'Device Energy Use'!$D8*('Retail Rates'!D$5*'Device Energy Use'!$E8+'Retail Rates'!D$6*(1-'Device Energy Use'!$E8))</f>
        <v>185.10741111421737</v>
      </c>
      <c r="E8" s="11">
        <f>+'Device Energy Use'!$D8*('Retail Rates'!E$5*'Device Energy Use'!$E8+'Retail Rates'!E$6*(1-'Device Energy Use'!$E8))</f>
        <v>187.88402228093059</v>
      </c>
      <c r="F8" s="11">
        <f>+'Device Energy Use'!$D8*('Retail Rates'!F$5*'Device Energy Use'!$E8+'Retail Rates'!F$6*(1-'Device Energy Use'!$E8))</f>
        <v>190.70228261514455</v>
      </c>
      <c r="G8" s="11">
        <f>+'Device Energy Use'!$D8*('Retail Rates'!G$5*'Device Energy Use'!$E8+'Retail Rates'!G$6*(1-'Device Energy Use'!$E8))</f>
        <v>193.5628168543717</v>
      </c>
      <c r="H8" s="11">
        <f>+'Device Energy Use'!$D8*('Retail Rates'!H$5*'Device Energy Use'!$E8+'Retail Rates'!H$6*(1-'Device Energy Use'!$E8))</f>
        <v>196.46625910718726</v>
      </c>
      <c r="I8" s="11">
        <f>+'Device Energy Use'!$D8*('Retail Rates'!I$5*'Device Energy Use'!$E8+'Retail Rates'!I$6*(1-'Device Energy Use'!$E8))</f>
        <v>199.41325299379503</v>
      </c>
      <c r="J8" s="11">
        <f>+'Device Energy Use'!$D8*('Retail Rates'!J$5*'Device Energy Use'!$E8+'Retail Rates'!J$6*(1-'Device Energy Use'!$E8))</f>
        <v>202.40445178870195</v>
      </c>
      <c r="K8" s="11">
        <f>+'Device Energy Use'!$D8*('Retail Rates'!K$5*'Device Energy Use'!$E8+'Retail Rates'!K$6*(1-'Device Energy Use'!$E8))</f>
        <v>205.44051856553247</v>
      </c>
      <c r="L8" s="11">
        <f>+'Device Energy Use'!$D8*('Retail Rates'!L$5*'Device Energy Use'!$E8+'Retail Rates'!L$6*(1-'Device Energy Use'!$E8))</f>
        <v>208.52212634401545</v>
      </c>
      <c r="M8" s="11">
        <f>+'Device Energy Use'!$D8*('Retail Rates'!M$5*'Device Energy Use'!$E8+'Retail Rates'!M$6*(1-'Device Energy Use'!$E8))</f>
        <v>211.64995823917565</v>
      </c>
      <c r="N8" s="11">
        <f>+'Device Energy Use'!$D8*('Retail Rates'!N$5*'Device Energy Use'!$E8+'Retail Rates'!N$6*(1-'Device Energy Use'!$E8))</f>
        <v>214.82470761276326</v>
      </c>
      <c r="O8" s="11">
        <f>+'Device Energy Use'!$D8*('Retail Rates'!O$5*'Device Energy Use'!$E8+'Retail Rates'!O$6*(1-'Device Energy Use'!$E8))</f>
        <v>218.04707822695468</v>
      </c>
      <c r="P8" s="11">
        <f>+'Device Energy Use'!$D8*('Retail Rates'!P$5*'Device Energy Use'!$E8+'Retail Rates'!P$6*(1-'Device Energy Use'!$E8))</f>
        <v>221.31778440035899</v>
      </c>
      <c r="Q8" s="11">
        <f>+'Device Energy Use'!$D8*('Retail Rates'!Q$5*'Device Energy Use'!$E8+'Retail Rates'!Q$6*(1-'Device Energy Use'!$E8))</f>
        <v>224.63755116636437</v>
      </c>
      <c r="R8" s="11">
        <f>+'Device Energy Use'!$D8*('Retail Rates'!R$5*'Device Energy Use'!$E8+'Retail Rates'!R$6*(1-'Device Energy Use'!$E8))</f>
        <v>228.00711443385984</v>
      </c>
      <c r="S8" s="11">
        <f>+'Device Energy Use'!$D8*('Retail Rates'!S$5*'Device Energy Use'!$E8+'Retail Rates'!S$6*(1-'Device Energy Use'!$E8))</f>
        <v>231.4272211503677</v>
      </c>
      <c r="T8" s="11">
        <f>+'Device Energy Use'!$D8*('Retail Rates'!T$5*'Device Energy Use'!$E8+'Retail Rates'!T$6*(1-'Device Energy Use'!$E8))</f>
        <v>234.89862946762321</v>
      </c>
      <c r="U8" s="11">
        <f>+'Device Energy Use'!$D8*('Retail Rates'!U$5*'Device Energy Use'!$E8+'Retail Rates'!U$6*(1-'Device Energy Use'!$E8))</f>
        <v>238.42210890963753</v>
      </c>
      <c r="V8" s="11">
        <f>+'Device Energy Use'!$D8*('Retail Rates'!V$5*'Device Energy Use'!$E8+'Retail Rates'!V$6*(1-'Device Energy Use'!$E8))</f>
        <v>241.99844054328207</v>
      </c>
      <c r="W8" s="11">
        <f>+'Device Energy Use'!$D8*('Retail Rates'!W$5*'Device Energy Use'!$E8+'Retail Rates'!W$6*(1-'Device Energy Use'!$E8))</f>
        <v>245.62841715143128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187.23706363275082</v>
      </c>
      <c r="C9" s="11">
        <f>+'Device Energy Use'!$D9*('Retail Rates'!C$5*'Device Energy Use'!$E9+'Retail Rates'!C$6*(1-'Device Energy Use'!$E9))</f>
        <v>190.04561958724207</v>
      </c>
      <c r="D9" s="11">
        <f>+'Device Energy Use'!$D9*('Retail Rates'!D$5*'Device Energy Use'!$E9+'Retail Rates'!D$6*(1-'Device Energy Use'!$E9))</f>
        <v>192.89630388105067</v>
      </c>
      <c r="E9" s="11">
        <f>+'Device Energy Use'!$D9*('Retail Rates'!E$5*'Device Energy Use'!$E9+'Retail Rates'!E$6*(1-'Device Energy Use'!$E9))</f>
        <v>195.78974843926642</v>
      </c>
      <c r="F9" s="11">
        <f>+'Device Energy Use'!$D9*('Retail Rates'!F$5*'Device Energy Use'!$E9+'Retail Rates'!F$6*(1-'Device Energy Use'!$E9))</f>
        <v>198.7265946658554</v>
      </c>
      <c r="G9" s="11">
        <f>+'Device Energy Use'!$D9*('Retail Rates'!G$5*'Device Energy Use'!$E9+'Retail Rates'!G$6*(1-'Device Energy Use'!$E9))</f>
        <v>201.70749358584322</v>
      </c>
      <c r="H9" s="11">
        <f>+'Device Energy Use'!$D9*('Retail Rates'!H$5*'Device Energy Use'!$E9+'Retail Rates'!H$6*(1-'Device Energy Use'!$E9))</f>
        <v>204.73310598963084</v>
      </c>
      <c r="I9" s="11">
        <f>+'Device Energy Use'!$D9*('Retail Rates'!I$5*'Device Energy Use'!$E9+'Retail Rates'!I$6*(1-'Device Energy Use'!$E9))</f>
        <v>207.80410257947528</v>
      </c>
      <c r="J9" s="11">
        <f>+'Device Energy Use'!$D9*('Retail Rates'!J$5*'Device Energy Use'!$E9+'Retail Rates'!J$6*(1-'Device Energy Use'!$E9))</f>
        <v>210.92116411816738</v>
      </c>
      <c r="K9" s="11">
        <f>+'Device Energy Use'!$D9*('Retail Rates'!K$5*'Device Energy Use'!$E9+'Retail Rates'!K$6*(1-'Device Energy Use'!$E9))</f>
        <v>214.08498157993989</v>
      </c>
      <c r="L9" s="11">
        <f>+'Device Energy Use'!$D9*('Retail Rates'!L$5*'Device Energy Use'!$E9+'Retail Rates'!L$6*(1-'Device Energy Use'!$E9))</f>
        <v>217.29625630363896</v>
      </c>
      <c r="M9" s="11">
        <f>+'Device Energy Use'!$D9*('Retail Rates'!M$5*'Device Energy Use'!$E9+'Retail Rates'!M$6*(1-'Device Energy Use'!$E9))</f>
        <v>220.55570014819352</v>
      </c>
      <c r="N9" s="11">
        <f>+'Device Energy Use'!$D9*('Retail Rates'!N$5*'Device Energy Use'!$E9+'Retail Rates'!N$6*(1-'Device Energy Use'!$E9))</f>
        <v>223.86403565041641</v>
      </c>
      <c r="O9" s="11">
        <f>+'Device Energy Use'!$D9*('Retail Rates'!O$5*'Device Energy Use'!$E9+'Retail Rates'!O$6*(1-'Device Energy Use'!$E9))</f>
        <v>227.22199618517266</v>
      </c>
      <c r="P9" s="11">
        <f>+'Device Energy Use'!$D9*('Retail Rates'!P$5*'Device Energy Use'!$E9+'Retail Rates'!P$6*(1-'Device Energy Use'!$E9))</f>
        <v>230.63032612795021</v>
      </c>
      <c r="Q9" s="11">
        <f>+'Device Energy Use'!$D9*('Retail Rates'!Q$5*'Device Energy Use'!$E9+'Retail Rates'!Q$6*(1-'Device Energy Use'!$E9))</f>
        <v>234.08978101986946</v>
      </c>
      <c r="R9" s="11">
        <f>+'Device Energy Use'!$D9*('Retail Rates'!R$5*'Device Energy Use'!$E9+'Retail Rates'!R$6*(1-'Device Energy Use'!$E9))</f>
        <v>237.60112773516749</v>
      </c>
      <c r="S9" s="11">
        <f>+'Device Energy Use'!$D9*('Retail Rates'!S$5*'Device Energy Use'!$E9+'Retail Rates'!S$6*(1-'Device Energy Use'!$E9))</f>
        <v>241.16514465119496</v>
      </c>
      <c r="T9" s="11">
        <f>+'Device Energy Use'!$D9*('Retail Rates'!T$5*'Device Energy Use'!$E9+'Retail Rates'!T$6*(1-'Device Energy Use'!$E9))</f>
        <v>244.78262182096287</v>
      </c>
      <c r="U9" s="11">
        <f>+'Device Energy Use'!$D9*('Retail Rates'!U$5*'Device Energy Use'!$E9+'Retail Rates'!U$6*(1-'Device Energy Use'!$E9))</f>
        <v>248.45436114827731</v>
      </c>
      <c r="V9" s="11">
        <f>+'Device Energy Use'!$D9*('Retail Rates'!V$5*'Device Energy Use'!$E9+'Retail Rates'!V$6*(1-'Device Energy Use'!$E9))</f>
        <v>252.18117656550146</v>
      </c>
      <c r="W9" s="11">
        <f>+'Device Energy Use'!$D9*('Retail Rates'!W$5*'Device Energy Use'!$E9+'Retail Rates'!W$6*(1-'Device Energy Use'!$E9))</f>
        <v>255.96389421398396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11" ht="23.25" customHeight="1">
      <c r="A3" s="26" t="s">
        <v>83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7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7">
        <f>'Input Assumptions'!B28</f>
        <v>1830.0598920349698</v>
      </c>
      <c r="C6" s="6">
        <f>'Input Assumptions'!C28</f>
        <v>0</v>
      </c>
      <c r="D6" s="6">
        <f>'Input Assumptions'!B28*3412/1000000+'Input Assumptions'!C28</f>
        <v>6.2441643516233176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7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69"/>
      <c r="J7" s="2"/>
    </row>
    <row r="8" spans="1:11">
      <c r="A8" s="2" t="str">
        <f>'Input Assumptions'!D48</f>
        <v>Instant Gas</v>
      </c>
      <c r="B8" s="57">
        <f>'Input Assumptions'!B30</f>
        <v>0</v>
      </c>
      <c r="C8" s="6">
        <f>'Input Assumptions'!C30</f>
        <v>15.126217143193161</v>
      </c>
      <c r="D8" s="6">
        <f>'Input Assumptions'!B30*3412/1000000+'Input Assumptions'!C30</f>
        <v>15.126217143193161</v>
      </c>
      <c r="E8" s="5">
        <f>'Input Assumptions'!E30</f>
        <v>0</v>
      </c>
      <c r="G8" s="169"/>
      <c r="J8" s="2"/>
    </row>
    <row r="9" spans="1:11">
      <c r="A9" s="2" t="str">
        <f>'Input Assumptions'!D49</f>
        <v>Condensing Gas</v>
      </c>
      <c r="B9" s="57">
        <f>'Input Assumptions'!B31</f>
        <v>0</v>
      </c>
      <c r="C9" s="6">
        <f>'Input Assumptions'!C31</f>
        <v>15.762693460305449</v>
      </c>
      <c r="D9" s="6">
        <f>'Input Assumptions'!B31*3412/1000000+'Input Assumptions'!C31</f>
        <v>15.762693460305449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2" spans="1:5" ht="18.75">
      <c r="A2" s="144"/>
    </row>
    <row r="3" spans="1:5" ht="23.25" customHeight="1">
      <c r="A3" s="26" t="s">
        <v>82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134</v>
      </c>
      <c r="E4" s="17" t="s">
        <v>20</v>
      </c>
    </row>
    <row r="5" spans="1:5">
      <c r="A5" s="2" t="str">
        <f>'Input Assumptions'!D45</f>
        <v>Electric Resistance</v>
      </c>
      <c r="B5" s="61">
        <f>'Input Assumptions'!B36</f>
        <v>590</v>
      </c>
      <c r="C5" s="102" t="str">
        <f>'Input Assumptions'!C36</f>
        <v>2008$</v>
      </c>
      <c r="D5" s="62">
        <f>Inflation!AB5/Inflation!X5</f>
        <v>1.0627615062761504</v>
      </c>
      <c r="E5" s="60">
        <f>B5*D5</f>
        <v>627.02928870292874</v>
      </c>
    </row>
    <row r="6" spans="1:5">
      <c r="A6" s="2" t="str">
        <f>'Input Assumptions'!D46</f>
        <v>HPWH</v>
      </c>
      <c r="B6" s="61">
        <f>'Input Assumptions'!B37</f>
        <v>1621</v>
      </c>
      <c r="C6" s="102" t="str">
        <f>'Input Assumptions'!C37</f>
        <v>2011$</v>
      </c>
      <c r="D6" s="62">
        <f>Inflation!AB5/Inflation!AA5</f>
        <v>1.0177579455423003</v>
      </c>
      <c r="E6" s="60">
        <f>B6*D6</f>
        <v>1649.7856297240687</v>
      </c>
    </row>
    <row r="7" spans="1:5">
      <c r="A7" s="2" t="str">
        <f>'Input Assumptions'!D47</f>
        <v>Gas Tank</v>
      </c>
      <c r="B7" s="61">
        <f>'Input Assumptions'!B38</f>
        <v>785</v>
      </c>
      <c r="C7" s="102" t="str">
        <f>'Input Assumptions'!C38</f>
        <v>2013$</v>
      </c>
      <c r="D7" s="62">
        <f>Inflation!$AB$5/Inflation!$AC$5</f>
        <v>0.98250549450549451</v>
      </c>
      <c r="E7" s="60">
        <f>B7*D7</f>
        <v>771.26681318681324</v>
      </c>
    </row>
    <row r="8" spans="1:5">
      <c r="A8" s="2" t="str">
        <f>'Input Assumptions'!D48</f>
        <v>Instant Gas</v>
      </c>
      <c r="B8" s="61">
        <f>'Input Assumptions'!B39</f>
        <v>3760</v>
      </c>
      <c r="C8" s="102" t="str">
        <f>'Input Assumptions'!C39</f>
        <v>2013$</v>
      </c>
      <c r="D8" s="62">
        <f>Inflation!$AB$5/Inflation!$AC$5</f>
        <v>0.98250549450549451</v>
      </c>
      <c r="E8" s="60">
        <f>B8*D8</f>
        <v>3694.2206593406595</v>
      </c>
    </row>
    <row r="9" spans="1:5">
      <c r="A9" s="2" t="str">
        <f>'Input Assumptions'!D49</f>
        <v>Condensing Gas</v>
      </c>
      <c r="B9" s="61">
        <f>'Input Assumptions'!B40</f>
        <v>2084.4625924555244</v>
      </c>
      <c r="C9" s="102" t="str">
        <f>'Input Assumptions'!C40</f>
        <v>2006$</v>
      </c>
      <c r="D9" s="62">
        <f>Inflation!$AB$5/Inflation!$V$5</f>
        <v>1.1175999999999999</v>
      </c>
      <c r="E9" s="60">
        <f>B9*D9</f>
        <v>2329.595393328294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  <c r="B1" s="136"/>
      <c r="C1" s="135"/>
      <c r="D1" s="135"/>
      <c r="E1" s="135"/>
      <c r="F1" s="135"/>
      <c r="G1" s="135"/>
      <c r="H1" s="135"/>
      <c r="I1" s="135"/>
      <c r="J1" s="135"/>
    </row>
    <row r="2" spans="1:10" ht="18.75">
      <c r="A2" s="144"/>
      <c r="B2" s="136"/>
      <c r="C2" s="135"/>
      <c r="D2" s="135"/>
      <c r="E2" s="135"/>
      <c r="F2" s="135"/>
      <c r="G2" s="135"/>
      <c r="H2" s="135"/>
      <c r="I2" s="135"/>
      <c r="J2" s="135"/>
    </row>
    <row r="3" spans="1:10" ht="23.25" customHeight="1">
      <c r="A3" s="26" t="s">
        <v>84</v>
      </c>
    </row>
    <row r="4" spans="1:10" s="19" customFormat="1" ht="47.25">
      <c r="A4" s="137" t="s">
        <v>133</v>
      </c>
      <c r="B4" s="143" t="str">
        <f>'Input Assumptions'!D26</f>
        <v>O&amp;M Cost (2006$/ device/Yr)</v>
      </c>
      <c r="C4" s="143" t="s">
        <v>64</v>
      </c>
      <c r="D4" s="143" t="s">
        <v>21</v>
      </c>
    </row>
    <row r="5" spans="1:10">
      <c r="A5" s="2" t="str">
        <f>'Input Assumptions'!D45</f>
        <v>Electric Resistance</v>
      </c>
      <c r="B5" s="60">
        <f>'Input Assumptions'!D27</f>
        <v>4.0147653217481896</v>
      </c>
      <c r="C5" s="62">
        <f>Inflation!$AB$5/Inflation!$V$5</f>
        <v>1.1175999999999999</v>
      </c>
      <c r="D5" s="60">
        <f>B5*C5</f>
        <v>4.4869017235857767</v>
      </c>
    </row>
    <row r="6" spans="1:10">
      <c r="A6" s="2" t="str">
        <f>'Input Assumptions'!D46</f>
        <v>HPWH</v>
      </c>
      <c r="B6" s="60">
        <f>'Input Assumptions'!D28</f>
        <v>8.8912994251335906</v>
      </c>
      <c r="C6" s="62">
        <f>Inflation!$AB$5/Inflation!$V$5</f>
        <v>1.1175999999999999</v>
      </c>
      <c r="D6" s="60">
        <f>B6*C6</f>
        <v>9.9369162375292994</v>
      </c>
    </row>
    <row r="7" spans="1:10">
      <c r="A7" s="2" t="str">
        <f>'Input Assumptions'!D47</f>
        <v>Gas Tank</v>
      </c>
      <c r="B7" s="60">
        <f>'Input Assumptions'!D29</f>
        <v>12.364813725618941</v>
      </c>
      <c r="C7" s="62">
        <f>Inflation!$AB$5/Inflation!$V$5</f>
        <v>1.1175999999999999</v>
      </c>
      <c r="D7" s="60">
        <f>B7*C7</f>
        <v>13.818915819751727</v>
      </c>
    </row>
    <row r="8" spans="1:10">
      <c r="A8" s="2" t="str">
        <f>'Input Assumptions'!D48</f>
        <v>Instant Gas</v>
      </c>
      <c r="B8" s="60">
        <f>'Input Assumptions'!D30</f>
        <v>66.879220980384858</v>
      </c>
      <c r="C8" s="62">
        <f>Inflation!$AB$5/Inflation!$V$5</f>
        <v>1.1175999999999999</v>
      </c>
      <c r="D8" s="60">
        <f>B8*C8</f>
        <v>74.744217367678118</v>
      </c>
    </row>
    <row r="9" spans="1:10">
      <c r="A9" s="2" t="str">
        <f>'Input Assumptions'!D49</f>
        <v>Condensing Gas</v>
      </c>
      <c r="B9" s="60">
        <f>'Input Assumptions'!D31</f>
        <v>14.794662287278264</v>
      </c>
      <c r="C9" s="62">
        <f>Inflation!$AB$5/Inflation!$V$5</f>
        <v>1.1175999999999999</v>
      </c>
      <c r="D9" s="60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A42" sqref="A42"/>
    </sheetView>
  </sheetViews>
  <sheetFormatPr defaultColWidth="9.140625" defaultRowHeight="15.75"/>
  <cols>
    <col min="1" max="1" width="45.285156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10">
      <c r="A3" s="25" t="s">
        <v>65</v>
      </c>
      <c r="J3" s="44"/>
    </row>
    <row r="4" spans="1:10">
      <c r="A4" s="171" t="s">
        <v>86</v>
      </c>
      <c r="C4" s="12"/>
    </row>
    <row r="5" spans="1:10">
      <c r="A5" s="172" t="s">
        <v>85</v>
      </c>
    </row>
    <row r="6" spans="1:10">
      <c r="A6" s="76"/>
    </row>
    <row r="7" spans="1:10">
      <c r="A7" s="12" t="s">
        <v>132</v>
      </c>
    </row>
    <row r="8" spans="1:10">
      <c r="A8" s="65" t="s">
        <v>37</v>
      </c>
      <c r="B8" s="70" t="s">
        <v>36</v>
      </c>
      <c r="C8" s="106" t="s">
        <v>49</v>
      </c>
      <c r="D8" s="81"/>
      <c r="E8" s="81"/>
      <c r="F8" s="81"/>
      <c r="G8" s="92"/>
    </row>
    <row r="9" spans="1:10">
      <c r="A9" s="66" t="s">
        <v>15</v>
      </c>
      <c r="B9" s="71" t="s">
        <v>170</v>
      </c>
      <c r="C9" s="44"/>
      <c r="D9" s="44"/>
      <c r="E9" s="44"/>
      <c r="F9" s="44"/>
      <c r="G9" s="67"/>
    </row>
    <row r="10" spans="1:10">
      <c r="A10" s="66" t="s">
        <v>89</v>
      </c>
      <c r="B10" s="71" t="s">
        <v>7</v>
      </c>
      <c r="C10" s="44"/>
      <c r="D10" s="44"/>
      <c r="E10" s="44"/>
      <c r="F10" s="44"/>
      <c r="G10" s="67"/>
    </row>
    <row r="11" spans="1:10">
      <c r="A11" s="66" t="s">
        <v>69</v>
      </c>
      <c r="B11" s="71" t="s">
        <v>8</v>
      </c>
      <c r="C11" s="44"/>
      <c r="D11" s="44"/>
      <c r="E11" s="44"/>
      <c r="F11" s="44"/>
      <c r="G11" s="67"/>
    </row>
    <row r="12" spans="1:10">
      <c r="A12" s="66" t="s">
        <v>70</v>
      </c>
      <c r="B12" s="71" t="s">
        <v>164</v>
      </c>
      <c r="C12" s="44"/>
      <c r="E12" s="44"/>
      <c r="F12" s="44"/>
      <c r="G12" s="67"/>
    </row>
    <row r="13" spans="1:10">
      <c r="A13" s="66" t="s">
        <v>171</v>
      </c>
      <c r="B13" s="97">
        <v>57532</v>
      </c>
      <c r="C13" s="59" t="s">
        <v>118</v>
      </c>
      <c r="D13" s="44"/>
      <c r="E13" s="44"/>
      <c r="F13" s="44"/>
      <c r="G13" s="67"/>
    </row>
    <row r="14" spans="1:10">
      <c r="A14" s="66" t="s">
        <v>42</v>
      </c>
      <c r="B14" s="72">
        <v>14</v>
      </c>
      <c r="C14" s="44" t="s">
        <v>90</v>
      </c>
      <c r="D14" s="44"/>
      <c r="E14" s="44"/>
      <c r="F14" s="44"/>
      <c r="G14" s="67"/>
    </row>
    <row r="15" spans="1:10">
      <c r="A15" s="68" t="s">
        <v>48</v>
      </c>
      <c r="B15" s="98">
        <v>0.04</v>
      </c>
      <c r="C15" s="44" t="s">
        <v>66</v>
      </c>
      <c r="D15" s="44"/>
      <c r="E15" s="44"/>
      <c r="F15" s="44"/>
      <c r="G15" s="67"/>
    </row>
    <row r="16" spans="1:10">
      <c r="A16" s="68" t="s">
        <v>59</v>
      </c>
      <c r="B16" s="117">
        <v>0.1</v>
      </c>
      <c r="C16" s="44" t="s">
        <v>60</v>
      </c>
      <c r="D16" s="44"/>
      <c r="E16" s="44"/>
      <c r="F16" s="44"/>
      <c r="G16" s="67"/>
    </row>
    <row r="17" spans="1:12">
      <c r="A17" s="68" t="s">
        <v>119</v>
      </c>
      <c r="B17" s="72">
        <v>6470</v>
      </c>
      <c r="C17" s="44" t="s">
        <v>120</v>
      </c>
      <c r="D17" s="44"/>
      <c r="E17" s="44"/>
      <c r="F17" s="44"/>
      <c r="G17" s="67"/>
    </row>
    <row r="18" spans="1:12">
      <c r="A18" s="68" t="s">
        <v>143</v>
      </c>
      <c r="B18" s="72">
        <v>3.4119999999999999</v>
      </c>
      <c r="C18" s="44"/>
      <c r="D18" s="44"/>
      <c r="E18" s="44"/>
      <c r="F18" s="44"/>
      <c r="G18" s="67"/>
    </row>
    <row r="19" spans="1:12">
      <c r="A19" s="66" t="s">
        <v>38</v>
      </c>
      <c r="B19" s="72">
        <v>-2.2999999999999998</v>
      </c>
      <c r="C19" s="44"/>
      <c r="D19" s="44"/>
      <c r="E19" s="44"/>
      <c r="F19" s="44"/>
      <c r="G19" s="67"/>
    </row>
    <row r="20" spans="1:12">
      <c r="A20" s="154" t="s">
        <v>92</v>
      </c>
      <c r="B20" s="118" t="s">
        <v>93</v>
      </c>
      <c r="C20" s="41"/>
      <c r="D20" s="41"/>
      <c r="E20" s="41"/>
      <c r="F20" s="41"/>
      <c r="G20" s="69"/>
    </row>
    <row r="21" spans="1:12">
      <c r="A21" s="75" t="s">
        <v>71</v>
      </c>
    </row>
    <row r="22" spans="1:12">
      <c r="A22" s="28" t="s">
        <v>28</v>
      </c>
    </row>
    <row r="23" spans="1:12">
      <c r="A23" s="30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Washington, Gas FAF, Starting with Electric Resistance &gt;55 Gallons</v>
      </c>
    </row>
    <row r="26" spans="1:12" ht="47.25">
      <c r="A26" s="88" t="s">
        <v>0</v>
      </c>
      <c r="B26" s="88" t="s">
        <v>131</v>
      </c>
      <c r="C26" s="88" t="s">
        <v>130</v>
      </c>
      <c r="D26" s="88" t="s">
        <v>129</v>
      </c>
      <c r="E26" s="88" t="s">
        <v>17</v>
      </c>
      <c r="F26" s="88" t="s">
        <v>49</v>
      </c>
      <c r="G26" s="81"/>
      <c r="H26" s="81"/>
      <c r="I26" s="81"/>
      <c r="J26" s="81"/>
      <c r="K26" s="81"/>
      <c r="L26" s="92"/>
    </row>
    <row r="27" spans="1:12">
      <c r="A27" s="2" t="s">
        <v>8</v>
      </c>
      <c r="B27" s="174">
        <v>3355.4343604471896</v>
      </c>
      <c r="C27" s="175">
        <v>0</v>
      </c>
      <c r="D27" s="176">
        <v>4.0147653217481896</v>
      </c>
      <c r="E27" s="177">
        <v>1</v>
      </c>
      <c r="F27" s="59" t="s">
        <v>58</v>
      </c>
      <c r="G27" s="44"/>
      <c r="H27" s="44"/>
      <c r="I27" s="44"/>
      <c r="J27" s="44"/>
      <c r="K27" s="44"/>
      <c r="L27" s="67"/>
    </row>
    <row r="28" spans="1:12">
      <c r="A28" s="2" t="s">
        <v>11</v>
      </c>
      <c r="B28" s="173">
        <v>1830.0598920349698</v>
      </c>
      <c r="C28" s="112">
        <v>0</v>
      </c>
      <c r="D28" s="113">
        <v>8.8912994251335906</v>
      </c>
      <c r="E28" s="114">
        <v>1</v>
      </c>
      <c r="F28" s="59" t="s">
        <v>58</v>
      </c>
      <c r="G28" s="44"/>
      <c r="H28" s="44"/>
      <c r="I28" s="44"/>
      <c r="J28" s="44"/>
      <c r="K28" s="44"/>
      <c r="L28" s="67"/>
    </row>
    <row r="29" spans="1:12">
      <c r="A29" s="2" t="s">
        <v>12</v>
      </c>
      <c r="B29" s="174">
        <v>0</v>
      </c>
      <c r="C29" s="175">
        <v>17.346578845220922</v>
      </c>
      <c r="D29" s="176">
        <v>12.364813725618941</v>
      </c>
      <c r="E29" s="177">
        <v>0</v>
      </c>
      <c r="F29" s="59" t="s">
        <v>58</v>
      </c>
      <c r="G29" s="44"/>
      <c r="H29" s="44"/>
      <c r="I29" s="44"/>
      <c r="J29" s="44"/>
      <c r="K29" s="44"/>
      <c r="L29" s="67"/>
    </row>
    <row r="30" spans="1:12">
      <c r="A30" s="2" t="s">
        <v>13</v>
      </c>
      <c r="B30" s="111">
        <v>0</v>
      </c>
      <c r="C30" s="112">
        <v>15.126217143193161</v>
      </c>
      <c r="D30" s="113">
        <v>66.879220980384858</v>
      </c>
      <c r="E30" s="114">
        <v>0</v>
      </c>
      <c r="F30" s="59" t="s">
        <v>58</v>
      </c>
      <c r="G30" s="44"/>
      <c r="H30" s="44"/>
      <c r="I30" s="44"/>
      <c r="J30" s="44"/>
      <c r="K30" s="44"/>
      <c r="L30" s="67"/>
    </row>
    <row r="31" spans="1:12">
      <c r="A31" s="78" t="s">
        <v>14</v>
      </c>
      <c r="B31" s="115">
        <v>0</v>
      </c>
      <c r="C31" s="112">
        <v>15.762693460305449</v>
      </c>
      <c r="D31" s="113">
        <v>14.794662287278264</v>
      </c>
      <c r="E31" s="116">
        <v>0</v>
      </c>
      <c r="F31" s="105" t="s">
        <v>58</v>
      </c>
      <c r="G31" s="41"/>
      <c r="H31" s="41"/>
      <c r="I31" s="41"/>
      <c r="J31" s="41"/>
      <c r="K31" s="41"/>
      <c r="L31" s="69"/>
    </row>
    <row r="32" spans="1:12">
      <c r="A32" s="178" t="s">
        <v>165</v>
      </c>
      <c r="B32" s="174"/>
      <c r="C32" s="175"/>
      <c r="D32" s="176"/>
      <c r="E32" s="177"/>
      <c r="F32" s="59"/>
      <c r="G32" s="44"/>
      <c r="H32" s="44"/>
      <c r="I32" s="44"/>
      <c r="J32" s="44"/>
      <c r="K32" s="44"/>
      <c r="L32" s="44"/>
    </row>
    <row r="33" spans="1:1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58"/>
      <c r="L33" s="77"/>
    </row>
    <row r="34" spans="1:12">
      <c r="A34" s="12" t="str">
        <f>CONCATENATE("Capital Cost by Water Heater Type - ",State,", ", SpaceHeat,", Starting with ",StartWH," ",TankSize)</f>
        <v>Capital Cost by Water Heater Type - Washington, Gas FAF, Starting with Electric Resistance &gt;55 Gallons</v>
      </c>
      <c r="B34" s="77"/>
      <c r="C34" s="77"/>
      <c r="D34" s="5"/>
      <c r="E34" s="2"/>
      <c r="F34" s="2"/>
      <c r="G34" s="77"/>
      <c r="H34" s="77"/>
      <c r="I34" s="77"/>
      <c r="J34" s="77"/>
      <c r="K34" s="77"/>
      <c r="L34" s="77"/>
    </row>
    <row r="35" spans="1:12" ht="31.5">
      <c r="A35" s="103" t="s">
        <v>0</v>
      </c>
      <c r="B35" s="103" t="s">
        <v>128</v>
      </c>
      <c r="C35" s="103" t="s">
        <v>63</v>
      </c>
      <c r="D35" s="104" t="s">
        <v>49</v>
      </c>
      <c r="E35" s="104"/>
      <c r="F35" s="104"/>
      <c r="G35" s="104"/>
      <c r="H35" s="104"/>
      <c r="I35" s="104"/>
      <c r="J35" s="104"/>
      <c r="K35" s="104"/>
      <c r="L35" s="104"/>
    </row>
    <row r="36" spans="1:12">
      <c r="A36" s="2" t="s">
        <v>8</v>
      </c>
      <c r="B36" s="107">
        <v>590</v>
      </c>
      <c r="C36" s="108" t="s">
        <v>53</v>
      </c>
      <c r="D36" s="54" t="s">
        <v>54</v>
      </c>
    </row>
    <row r="37" spans="1:12">
      <c r="A37" s="2" t="s">
        <v>11</v>
      </c>
      <c r="B37" s="107">
        <v>1621</v>
      </c>
      <c r="C37" s="108" t="s">
        <v>52</v>
      </c>
      <c r="D37" s="54" t="s">
        <v>55</v>
      </c>
    </row>
    <row r="38" spans="1:12">
      <c r="A38" s="2" t="s">
        <v>12</v>
      </c>
      <c r="B38" s="107">
        <v>785</v>
      </c>
      <c r="C38" s="108" t="s">
        <v>51</v>
      </c>
      <c r="D38" s="54" t="s">
        <v>56</v>
      </c>
    </row>
    <row r="39" spans="1:12">
      <c r="A39" s="2" t="s">
        <v>13</v>
      </c>
      <c r="B39" s="107">
        <v>3760</v>
      </c>
      <c r="C39" s="108" t="s">
        <v>51</v>
      </c>
      <c r="D39" s="54" t="s">
        <v>56</v>
      </c>
    </row>
    <row r="40" spans="1:12">
      <c r="A40" s="41" t="s">
        <v>14</v>
      </c>
      <c r="B40" s="109">
        <v>2084.4625924555244</v>
      </c>
      <c r="C40" s="110" t="s">
        <v>57</v>
      </c>
      <c r="D40" s="105" t="s">
        <v>50</v>
      </c>
      <c r="E40" s="41"/>
      <c r="F40" s="41"/>
      <c r="G40" s="41"/>
      <c r="H40" s="41"/>
      <c r="I40" s="41"/>
      <c r="J40" s="41"/>
      <c r="K40" s="41"/>
      <c r="L40" s="41"/>
    </row>
    <row r="41" spans="1:12">
      <c r="A41" s="44"/>
      <c r="B41" s="107"/>
      <c r="C41" s="140"/>
      <c r="D41" s="59"/>
      <c r="E41" s="44"/>
      <c r="F41" s="44"/>
      <c r="G41" s="44"/>
      <c r="H41" s="44"/>
      <c r="I41" s="44"/>
      <c r="J41" s="44"/>
      <c r="K41" s="44"/>
      <c r="L41" s="44"/>
    </row>
    <row r="43" spans="1:12" s="16" customFormat="1">
      <c r="A43" s="64" t="s">
        <v>26</v>
      </c>
    </row>
    <row r="44" spans="1:12" s="16" customFormat="1" ht="31.5">
      <c r="A44" s="138" t="s">
        <v>1</v>
      </c>
      <c r="B44" s="139" t="s">
        <v>2</v>
      </c>
      <c r="C44" s="139" t="s">
        <v>3</v>
      </c>
      <c r="D44" s="139" t="s">
        <v>4</v>
      </c>
      <c r="E44" s="139" t="s">
        <v>5</v>
      </c>
      <c r="F44" s="139" t="s">
        <v>6</v>
      </c>
      <c r="G44" s="139" t="s">
        <v>22</v>
      </c>
      <c r="H44" s="139" t="s">
        <v>23</v>
      </c>
    </row>
    <row r="45" spans="1:12" s="16" customFormat="1">
      <c r="A45" s="127">
        <v>5112121</v>
      </c>
      <c r="B45" s="100" t="s">
        <v>7</v>
      </c>
      <c r="C45" s="100" t="s">
        <v>8</v>
      </c>
      <c r="D45" s="100" t="s">
        <v>8</v>
      </c>
      <c r="E45" s="100" t="s">
        <v>9</v>
      </c>
      <c r="F45" s="100" t="s">
        <v>10</v>
      </c>
      <c r="G45" s="100" t="s">
        <v>24</v>
      </c>
      <c r="H45" s="100" t="s">
        <v>25</v>
      </c>
    </row>
    <row r="46" spans="1:12" s="16" customFormat="1">
      <c r="A46" s="127">
        <v>5112121</v>
      </c>
      <c r="B46" s="100" t="s">
        <v>7</v>
      </c>
      <c r="C46" s="100" t="s">
        <v>8</v>
      </c>
      <c r="D46" s="100" t="s">
        <v>11</v>
      </c>
      <c r="E46" s="100" t="s">
        <v>9</v>
      </c>
      <c r="F46" s="100" t="s">
        <v>10</v>
      </c>
      <c r="G46" s="100" t="s">
        <v>24</v>
      </c>
      <c r="H46" s="100" t="s">
        <v>25</v>
      </c>
    </row>
    <row r="47" spans="1:12" s="16" customFormat="1">
      <c r="A47" s="127">
        <v>5112121</v>
      </c>
      <c r="B47" s="100" t="s">
        <v>7</v>
      </c>
      <c r="C47" s="100" t="s">
        <v>8</v>
      </c>
      <c r="D47" s="100" t="s">
        <v>12</v>
      </c>
      <c r="E47" s="100" t="s">
        <v>9</v>
      </c>
      <c r="F47" s="100" t="s">
        <v>10</v>
      </c>
      <c r="G47" s="100" t="s">
        <v>24</v>
      </c>
      <c r="H47" s="100" t="s">
        <v>25</v>
      </c>
    </row>
    <row r="48" spans="1:12" s="16" customFormat="1">
      <c r="A48" s="127">
        <v>5112121</v>
      </c>
      <c r="B48" s="100" t="s">
        <v>7</v>
      </c>
      <c r="C48" s="100" t="s">
        <v>8</v>
      </c>
      <c r="D48" s="100" t="s">
        <v>13</v>
      </c>
      <c r="E48" s="100" t="s">
        <v>9</v>
      </c>
      <c r="F48" s="100" t="s">
        <v>10</v>
      </c>
      <c r="G48" s="100" t="s">
        <v>24</v>
      </c>
      <c r="H48" s="100" t="s">
        <v>25</v>
      </c>
    </row>
    <row r="49" spans="1:8" s="16" customFormat="1">
      <c r="A49" s="127">
        <v>5112121</v>
      </c>
      <c r="B49" s="100" t="s">
        <v>7</v>
      </c>
      <c r="C49" s="100" t="s">
        <v>8</v>
      </c>
      <c r="D49" s="100" t="s">
        <v>14</v>
      </c>
      <c r="E49" s="100" t="s">
        <v>9</v>
      </c>
      <c r="F49" s="100" t="s">
        <v>10</v>
      </c>
      <c r="G49" s="100" t="s">
        <v>24</v>
      </c>
      <c r="H49" s="100" t="s">
        <v>25</v>
      </c>
    </row>
    <row r="50" spans="1:8" s="16" customFormat="1">
      <c r="A50" s="73" t="s">
        <v>29</v>
      </c>
    </row>
    <row r="51" spans="1:8" s="16" customFormat="1"/>
  </sheetData>
  <conditionalFormatting sqref="B28">
    <cfRule type="expression" dxfId="23" priority="22">
      <formula>AND($D27="Electric Resistance",$H27="MF")</formula>
    </cfRule>
    <cfRule type="expression" dxfId="22" priority="23">
      <formula>$D28="HPWH"</formula>
    </cfRule>
    <cfRule type="expression" dxfId="21" priority="24">
      <formula>AND($D28="Electric Resistance",$H28="SF")</formula>
    </cfRule>
  </conditionalFormatting>
  <conditionalFormatting sqref="C28">
    <cfRule type="expression" dxfId="20" priority="19">
      <formula>AND($D27="Electric Resistance",$H27="MF")</formula>
    </cfRule>
    <cfRule type="expression" dxfId="19" priority="20">
      <formula>$D28="HPWH"</formula>
    </cfRule>
    <cfRule type="expression" dxfId="18" priority="21">
      <formula>AND($D28="Electric Resistance",$H28="SF")</formula>
    </cfRule>
  </conditionalFormatting>
  <conditionalFormatting sqref="C30">
    <cfRule type="expression" dxfId="17" priority="16">
      <formula>AND($D29="Electric Resistance",$H29="MF")</formula>
    </cfRule>
    <cfRule type="expression" dxfId="16" priority="17">
      <formula>$D30="HPWH"</formula>
    </cfRule>
    <cfRule type="expression" dxfId="15" priority="18">
      <formula>AND($D30="Electric Resistance",$H30="SF")</formula>
    </cfRule>
  </conditionalFormatting>
  <conditionalFormatting sqref="C31">
    <cfRule type="expression" dxfId="14" priority="13">
      <formula>AND($D30="Electric Resistance",$H30="MF")</formula>
    </cfRule>
    <cfRule type="expression" dxfId="13" priority="14">
      <formula>$D31="HPWH"</formula>
    </cfRule>
    <cfRule type="expression" dxfId="12" priority="15">
      <formula>AND($D31="Electric Resistance",$H31="SF")</formula>
    </cfRule>
  </conditionalFormatting>
  <conditionalFormatting sqref="D28">
    <cfRule type="expression" dxfId="11" priority="10">
      <formula>AND($D27="Electric Resistance",$H27="MF")</formula>
    </cfRule>
    <cfRule type="expression" dxfId="10" priority="11">
      <formula>$D28="HPWH"</formula>
    </cfRule>
    <cfRule type="expression" dxfId="9" priority="12">
      <formula>AND($D28="Electric Resistance",$H28="SF")</formula>
    </cfRule>
  </conditionalFormatting>
  <conditionalFormatting sqref="D31">
    <cfRule type="expression" dxfId="8" priority="7">
      <formula>AND($D30="Electric Resistance",$H30="MF")</formula>
    </cfRule>
    <cfRule type="expression" dxfId="7" priority="8">
      <formula>$D31="HPWH"</formula>
    </cfRule>
    <cfRule type="expression" dxfId="6" priority="9">
      <formula>AND($D31="Electric Resistance",$H31="SF")</formula>
    </cfRule>
  </conditionalFormatting>
  <conditionalFormatting sqref="D30">
    <cfRule type="expression" dxfId="5" priority="4">
      <formula>AND($D29="Electric Resistance",$H29="MF")</formula>
    </cfRule>
    <cfRule type="expression" dxfId="4" priority="5">
      <formula>$D30="HPWH"</formula>
    </cfRule>
    <cfRule type="expression" dxfId="3" priority="6">
      <formula>AND($D30="Electric Resistance",$H30="SF")</formula>
    </cfRule>
  </conditionalFormatting>
  <conditionalFormatting sqref="B40">
    <cfRule type="expression" dxfId="2" priority="1">
      <formula>AND($D39="Electric Resistance",$H39="MF")</formula>
    </cfRule>
    <cfRule type="expression" dxfId="1" priority="2">
      <formula>$D40="HPWH"</formula>
    </cfRule>
    <cfRule type="expression" dxfId="0" priority="3">
      <formula>AND($D40="Electric Resistance",$H40="SF")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>
      <selection activeCell="A7" sqref="A7"/>
    </sheetView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 s="9" customFormat="1" ht="22.5" customHeight="1">
      <c r="A3" s="25" t="s">
        <v>67</v>
      </c>
    </row>
    <row r="4" spans="1:23" s="9" customFormat="1" ht="15.75">
      <c r="A4" s="28" t="s">
        <v>34</v>
      </c>
    </row>
    <row r="5" spans="1:23" s="9" customFormat="1" ht="15.75">
      <c r="A5" s="29" t="s">
        <v>31</v>
      </c>
    </row>
    <row r="6" spans="1:23" s="9" customFormat="1" ht="15.75">
      <c r="A6" s="29" t="s">
        <v>32</v>
      </c>
    </row>
    <row r="7" spans="1:23" s="9" customFormat="1" ht="15.75">
      <c r="A7" s="123"/>
    </row>
    <row r="8" spans="1:23" s="9" customFormat="1" ht="15.75">
      <c r="A8" s="124" t="str">
        <f>CONCATENATE($A$3," - ",'Input Assumptions'!$B$9," ", 'Input Assumptions'!$B$10," Space Heat, ", 'Input Assumptions'!$B$11," ", 'Input Assumptions'!$B$12)</f>
        <v>Non-Price Factor Assumptions ($/$) - Washington Gas FAF Space Heat, Electric Resistance &gt;55 Gallons</v>
      </c>
    </row>
    <row r="9" spans="1:23" s="23" customFormat="1" ht="15.75">
      <c r="A9" s="141" t="str">
        <f>+'Device Energy Use'!A4</f>
        <v>Water Heat Ending</v>
      </c>
      <c r="B9" s="142">
        <v>2014</v>
      </c>
      <c r="C9" s="142">
        <v>2015</v>
      </c>
      <c r="D9" s="142">
        <v>2016</v>
      </c>
      <c r="E9" s="142">
        <v>2017</v>
      </c>
      <c r="F9" s="142">
        <v>2018</v>
      </c>
      <c r="G9" s="142">
        <v>2019</v>
      </c>
      <c r="H9" s="142">
        <v>2020</v>
      </c>
      <c r="I9" s="142">
        <v>2021</v>
      </c>
      <c r="J9" s="142">
        <v>2022</v>
      </c>
      <c r="K9" s="142">
        <v>2023</v>
      </c>
      <c r="L9" s="142">
        <v>2024</v>
      </c>
      <c r="M9" s="142">
        <v>2025</v>
      </c>
      <c r="N9" s="142">
        <v>2026</v>
      </c>
      <c r="O9" s="142">
        <v>2027</v>
      </c>
      <c r="P9" s="142">
        <v>2028</v>
      </c>
      <c r="Q9" s="142">
        <v>2029</v>
      </c>
      <c r="R9" s="142">
        <v>2030</v>
      </c>
      <c r="S9" s="142">
        <v>2031</v>
      </c>
      <c r="T9" s="142">
        <v>2032</v>
      </c>
      <c r="U9" s="142">
        <v>2033</v>
      </c>
      <c r="V9" s="142">
        <v>2034</v>
      </c>
      <c r="W9" s="142">
        <v>2035</v>
      </c>
    </row>
    <row r="10" spans="1:23" s="9" customFormat="1" ht="15.75">
      <c r="A10" s="9" t="str">
        <f>+'Device Energy Use'!A5</f>
        <v>Electric Resistance</v>
      </c>
      <c r="B10" s="179">
        <v>10</v>
      </c>
      <c r="C10" s="179">
        <v>-10</v>
      </c>
      <c r="D10" s="179">
        <f>C10</f>
        <v>-10</v>
      </c>
      <c r="E10" s="179">
        <f t="shared" ref="E10:W10" si="0">D10</f>
        <v>-10</v>
      </c>
      <c r="F10" s="179">
        <f t="shared" si="0"/>
        <v>-10</v>
      </c>
      <c r="G10" s="179">
        <f t="shared" si="0"/>
        <v>-10</v>
      </c>
      <c r="H10" s="179">
        <f t="shared" si="0"/>
        <v>-10</v>
      </c>
      <c r="I10" s="179">
        <f t="shared" si="0"/>
        <v>-10</v>
      </c>
      <c r="J10" s="179">
        <f t="shared" si="0"/>
        <v>-10</v>
      </c>
      <c r="K10" s="179">
        <f t="shared" si="0"/>
        <v>-10</v>
      </c>
      <c r="L10" s="179">
        <f t="shared" si="0"/>
        <v>-10</v>
      </c>
      <c r="M10" s="179">
        <f t="shared" si="0"/>
        <v>-10</v>
      </c>
      <c r="N10" s="179">
        <f t="shared" si="0"/>
        <v>-10</v>
      </c>
      <c r="O10" s="179">
        <f t="shared" si="0"/>
        <v>-10</v>
      </c>
      <c r="P10" s="179">
        <f t="shared" si="0"/>
        <v>-10</v>
      </c>
      <c r="Q10" s="179">
        <f t="shared" si="0"/>
        <v>-10</v>
      </c>
      <c r="R10" s="179">
        <f t="shared" si="0"/>
        <v>-10</v>
      </c>
      <c r="S10" s="179">
        <f t="shared" si="0"/>
        <v>-10</v>
      </c>
      <c r="T10" s="179">
        <f t="shared" si="0"/>
        <v>-10</v>
      </c>
      <c r="U10" s="179">
        <f t="shared" si="0"/>
        <v>-10</v>
      </c>
      <c r="V10" s="179">
        <f t="shared" si="0"/>
        <v>-10</v>
      </c>
      <c r="W10" s="179">
        <f t="shared" si="0"/>
        <v>-10</v>
      </c>
    </row>
    <row r="11" spans="1:23" s="9" customFormat="1" ht="15.75">
      <c r="A11" s="9" t="str">
        <f>+'Device Energy Use'!A6</f>
        <v>HPWH</v>
      </c>
      <c r="B11" s="179">
        <v>0</v>
      </c>
      <c r="C11" s="179">
        <f t="shared" ref="C11:W11" si="1">B11*$I$16</f>
        <v>0</v>
      </c>
      <c r="D11" s="179">
        <f t="shared" si="1"/>
        <v>0</v>
      </c>
      <c r="E11" s="179">
        <f t="shared" si="1"/>
        <v>0</v>
      </c>
      <c r="F11" s="179">
        <f t="shared" si="1"/>
        <v>0</v>
      </c>
      <c r="G11" s="179">
        <f t="shared" si="1"/>
        <v>0</v>
      </c>
      <c r="H11" s="179">
        <f t="shared" si="1"/>
        <v>0</v>
      </c>
      <c r="I11" s="179">
        <f t="shared" si="1"/>
        <v>0</v>
      </c>
      <c r="J11" s="179">
        <f t="shared" si="1"/>
        <v>0</v>
      </c>
      <c r="K11" s="179">
        <f t="shared" si="1"/>
        <v>0</v>
      </c>
      <c r="L11" s="179">
        <f t="shared" si="1"/>
        <v>0</v>
      </c>
      <c r="M11" s="179">
        <f t="shared" si="1"/>
        <v>0</v>
      </c>
      <c r="N11" s="179">
        <f t="shared" si="1"/>
        <v>0</v>
      </c>
      <c r="O11" s="179">
        <f t="shared" si="1"/>
        <v>0</v>
      </c>
      <c r="P11" s="179">
        <f t="shared" si="1"/>
        <v>0</v>
      </c>
      <c r="Q11" s="179">
        <f t="shared" si="1"/>
        <v>0</v>
      </c>
      <c r="R11" s="179">
        <f t="shared" si="1"/>
        <v>0</v>
      </c>
      <c r="S11" s="179">
        <f t="shared" si="1"/>
        <v>0</v>
      </c>
      <c r="T11" s="179">
        <f t="shared" si="1"/>
        <v>0</v>
      </c>
      <c r="U11" s="179">
        <f t="shared" si="1"/>
        <v>0</v>
      </c>
      <c r="V11" s="179">
        <f t="shared" si="1"/>
        <v>0</v>
      </c>
      <c r="W11" s="179">
        <f t="shared" si="1"/>
        <v>0</v>
      </c>
    </row>
    <row r="12" spans="1:23" s="9" customFormat="1" ht="15.75">
      <c r="A12" s="9" t="str">
        <f>+'Device Energy Use'!A7</f>
        <v>Gas Tank</v>
      </c>
      <c r="B12" s="179">
        <v>-10</v>
      </c>
      <c r="C12" s="179">
        <f t="shared" ref="C12:W12" si="2">B12</f>
        <v>-10</v>
      </c>
      <c r="D12" s="179">
        <f t="shared" si="2"/>
        <v>-10</v>
      </c>
      <c r="E12" s="179">
        <f t="shared" si="2"/>
        <v>-10</v>
      </c>
      <c r="F12" s="179">
        <f t="shared" si="2"/>
        <v>-10</v>
      </c>
      <c r="G12" s="179">
        <f t="shared" si="2"/>
        <v>-10</v>
      </c>
      <c r="H12" s="179">
        <f t="shared" si="2"/>
        <v>-10</v>
      </c>
      <c r="I12" s="179">
        <f t="shared" si="2"/>
        <v>-10</v>
      </c>
      <c r="J12" s="179">
        <f t="shared" si="2"/>
        <v>-10</v>
      </c>
      <c r="K12" s="179">
        <f t="shared" si="2"/>
        <v>-10</v>
      </c>
      <c r="L12" s="179">
        <f t="shared" si="2"/>
        <v>-10</v>
      </c>
      <c r="M12" s="179">
        <f t="shared" si="2"/>
        <v>-10</v>
      </c>
      <c r="N12" s="179">
        <f t="shared" si="2"/>
        <v>-10</v>
      </c>
      <c r="O12" s="179">
        <f t="shared" si="2"/>
        <v>-10</v>
      </c>
      <c r="P12" s="179">
        <f t="shared" si="2"/>
        <v>-10</v>
      </c>
      <c r="Q12" s="179">
        <f t="shared" si="2"/>
        <v>-10</v>
      </c>
      <c r="R12" s="179">
        <f t="shared" si="2"/>
        <v>-10</v>
      </c>
      <c r="S12" s="179">
        <f t="shared" si="2"/>
        <v>-10</v>
      </c>
      <c r="T12" s="179">
        <f t="shared" si="2"/>
        <v>-10</v>
      </c>
      <c r="U12" s="179">
        <f t="shared" si="2"/>
        <v>-10</v>
      </c>
      <c r="V12" s="179">
        <f t="shared" si="2"/>
        <v>-10</v>
      </c>
      <c r="W12" s="179">
        <f t="shared" si="2"/>
        <v>-10</v>
      </c>
    </row>
    <row r="13" spans="1:23" s="9" customFormat="1" ht="15.75">
      <c r="A13" s="9" t="str">
        <f>+'Device Energy Use'!A8</f>
        <v>Instant Gas</v>
      </c>
      <c r="B13" s="179">
        <v>0</v>
      </c>
      <c r="C13" s="179">
        <f t="shared" ref="C13:W13" si="3">B13*$I$16</f>
        <v>0</v>
      </c>
      <c r="D13" s="179">
        <f t="shared" si="3"/>
        <v>0</v>
      </c>
      <c r="E13" s="179">
        <f t="shared" si="3"/>
        <v>0</v>
      </c>
      <c r="F13" s="179">
        <f t="shared" si="3"/>
        <v>0</v>
      </c>
      <c r="G13" s="179">
        <f t="shared" si="3"/>
        <v>0</v>
      </c>
      <c r="H13" s="179">
        <f t="shared" si="3"/>
        <v>0</v>
      </c>
      <c r="I13" s="179">
        <f t="shared" si="3"/>
        <v>0</v>
      </c>
      <c r="J13" s="179">
        <f t="shared" si="3"/>
        <v>0</v>
      </c>
      <c r="K13" s="179">
        <f t="shared" si="3"/>
        <v>0</v>
      </c>
      <c r="L13" s="179">
        <f t="shared" si="3"/>
        <v>0</v>
      </c>
      <c r="M13" s="179">
        <f t="shared" si="3"/>
        <v>0</v>
      </c>
      <c r="N13" s="179">
        <f t="shared" si="3"/>
        <v>0</v>
      </c>
      <c r="O13" s="179">
        <f t="shared" si="3"/>
        <v>0</v>
      </c>
      <c r="P13" s="179">
        <f t="shared" si="3"/>
        <v>0</v>
      </c>
      <c r="Q13" s="179">
        <f t="shared" si="3"/>
        <v>0</v>
      </c>
      <c r="R13" s="179">
        <f t="shared" si="3"/>
        <v>0</v>
      </c>
      <c r="S13" s="179">
        <f t="shared" si="3"/>
        <v>0</v>
      </c>
      <c r="T13" s="179">
        <f t="shared" si="3"/>
        <v>0</v>
      </c>
      <c r="U13" s="179">
        <f t="shared" si="3"/>
        <v>0</v>
      </c>
      <c r="V13" s="179">
        <f t="shared" si="3"/>
        <v>0</v>
      </c>
      <c r="W13" s="179">
        <f t="shared" si="3"/>
        <v>0</v>
      </c>
    </row>
    <row r="14" spans="1:23" s="9" customFormat="1" ht="15.75">
      <c r="A14" s="9" t="str">
        <f>+'Device Energy Use'!A9</f>
        <v>Condensing Gas</v>
      </c>
      <c r="B14" s="179">
        <v>0</v>
      </c>
      <c r="C14" s="179">
        <f t="shared" ref="C14:W14" si="4">B14*$I$16</f>
        <v>0</v>
      </c>
      <c r="D14" s="179">
        <f t="shared" si="4"/>
        <v>0</v>
      </c>
      <c r="E14" s="179">
        <f t="shared" si="4"/>
        <v>0</v>
      </c>
      <c r="F14" s="179">
        <f t="shared" si="4"/>
        <v>0</v>
      </c>
      <c r="G14" s="179">
        <f t="shared" si="4"/>
        <v>0</v>
      </c>
      <c r="H14" s="179">
        <f t="shared" si="4"/>
        <v>0</v>
      </c>
      <c r="I14" s="179">
        <f t="shared" si="4"/>
        <v>0</v>
      </c>
      <c r="J14" s="179">
        <f t="shared" si="4"/>
        <v>0</v>
      </c>
      <c r="K14" s="179">
        <f t="shared" si="4"/>
        <v>0</v>
      </c>
      <c r="L14" s="179">
        <f t="shared" si="4"/>
        <v>0</v>
      </c>
      <c r="M14" s="179">
        <f t="shared" si="4"/>
        <v>0</v>
      </c>
      <c r="N14" s="179">
        <f t="shared" si="4"/>
        <v>0</v>
      </c>
      <c r="O14" s="179">
        <f t="shared" si="4"/>
        <v>0</v>
      </c>
      <c r="P14" s="179">
        <f t="shared" si="4"/>
        <v>0</v>
      </c>
      <c r="Q14" s="179">
        <f t="shared" si="4"/>
        <v>0</v>
      </c>
      <c r="R14" s="179">
        <f t="shared" si="4"/>
        <v>0</v>
      </c>
      <c r="S14" s="179">
        <f t="shared" si="4"/>
        <v>0</v>
      </c>
      <c r="T14" s="179">
        <f t="shared" si="4"/>
        <v>0</v>
      </c>
      <c r="U14" s="179">
        <f t="shared" si="4"/>
        <v>0</v>
      </c>
      <c r="V14" s="179">
        <f t="shared" si="4"/>
        <v>0</v>
      </c>
      <c r="W14" s="179">
        <f t="shared" si="4"/>
        <v>0</v>
      </c>
    </row>
    <row r="15" spans="1:23" s="9" customFormat="1" ht="15.75"/>
    <row r="16" spans="1:23" s="9" customFormat="1" ht="15.75">
      <c r="A16" s="36" t="s">
        <v>169</v>
      </c>
      <c r="I16" s="35">
        <v>1</v>
      </c>
    </row>
    <row r="17" spans="1:23" s="9" customFormat="1" ht="15.75">
      <c r="A17" s="31"/>
    </row>
    <row r="18" spans="1:23" s="9" customFormat="1" ht="15.75">
      <c r="A18" s="124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Washington Gas FAF Space Heat, Electric Resistance &gt;55 Gallons</v>
      </c>
    </row>
    <row r="19" spans="1:23" s="9" customFormat="1" ht="15.75">
      <c r="A19" s="141" t="str">
        <f t="shared" ref="A19:W19" si="5">A9</f>
        <v>Water Heat Ending</v>
      </c>
      <c r="B19" s="142">
        <f t="shared" si="5"/>
        <v>2014</v>
      </c>
      <c r="C19" s="142">
        <f t="shared" si="5"/>
        <v>2015</v>
      </c>
      <c r="D19" s="142">
        <f t="shared" si="5"/>
        <v>2016</v>
      </c>
      <c r="E19" s="142">
        <f t="shared" si="5"/>
        <v>2017</v>
      </c>
      <c r="F19" s="142">
        <f t="shared" si="5"/>
        <v>2018</v>
      </c>
      <c r="G19" s="142">
        <f t="shared" si="5"/>
        <v>2019</v>
      </c>
      <c r="H19" s="142">
        <f t="shared" si="5"/>
        <v>2020</v>
      </c>
      <c r="I19" s="142">
        <f t="shared" si="5"/>
        <v>2021</v>
      </c>
      <c r="J19" s="142">
        <f t="shared" si="5"/>
        <v>2022</v>
      </c>
      <c r="K19" s="142">
        <f t="shared" si="5"/>
        <v>2023</v>
      </c>
      <c r="L19" s="142">
        <f t="shared" si="5"/>
        <v>2024</v>
      </c>
      <c r="M19" s="142">
        <f t="shared" si="5"/>
        <v>2025</v>
      </c>
      <c r="N19" s="142">
        <f t="shared" si="5"/>
        <v>2026</v>
      </c>
      <c r="O19" s="142">
        <f t="shared" si="5"/>
        <v>2027</v>
      </c>
      <c r="P19" s="142">
        <f t="shared" si="5"/>
        <v>2028</v>
      </c>
      <c r="Q19" s="142">
        <f t="shared" si="5"/>
        <v>2029</v>
      </c>
      <c r="R19" s="142">
        <f t="shared" si="5"/>
        <v>2030</v>
      </c>
      <c r="S19" s="142">
        <f t="shared" si="5"/>
        <v>2031</v>
      </c>
      <c r="T19" s="142">
        <f t="shared" si="5"/>
        <v>2032</v>
      </c>
      <c r="U19" s="142">
        <f t="shared" si="5"/>
        <v>2033</v>
      </c>
      <c r="V19" s="142">
        <f t="shared" si="5"/>
        <v>2034</v>
      </c>
      <c r="W19" s="142">
        <f t="shared" si="5"/>
        <v>2035</v>
      </c>
    </row>
    <row r="20" spans="1:23" s="9" customFormat="1" ht="15.75">
      <c r="A20" s="10" t="str">
        <f>A10</f>
        <v>Electric Resistance</v>
      </c>
      <c r="B20" s="125">
        <f>EXP(B10)</f>
        <v>22026.465794806718</v>
      </c>
      <c r="C20" s="125">
        <f>EXP(C10)</f>
        <v>4.5399929762484854E-5</v>
      </c>
      <c r="D20" s="125">
        <f t="shared" ref="D20:W24" si="6">EXP(D10)</f>
        <v>4.5399929762484854E-5</v>
      </c>
      <c r="E20" s="125">
        <f t="shared" si="6"/>
        <v>4.5399929762484854E-5</v>
      </c>
      <c r="F20" s="125">
        <f t="shared" si="6"/>
        <v>4.5399929762484854E-5</v>
      </c>
      <c r="G20" s="125">
        <f t="shared" si="6"/>
        <v>4.5399929762484854E-5</v>
      </c>
      <c r="H20" s="125">
        <f t="shared" si="6"/>
        <v>4.5399929762484854E-5</v>
      </c>
      <c r="I20" s="125">
        <f t="shared" si="6"/>
        <v>4.5399929762484854E-5</v>
      </c>
      <c r="J20" s="125">
        <f t="shared" si="6"/>
        <v>4.5399929762484854E-5</v>
      </c>
      <c r="K20" s="125">
        <f t="shared" si="6"/>
        <v>4.5399929762484854E-5</v>
      </c>
      <c r="L20" s="125">
        <f t="shared" si="6"/>
        <v>4.5399929762484854E-5</v>
      </c>
      <c r="M20" s="125">
        <f t="shared" si="6"/>
        <v>4.5399929762484854E-5</v>
      </c>
      <c r="N20" s="125">
        <f t="shared" si="6"/>
        <v>4.5399929762484854E-5</v>
      </c>
      <c r="O20" s="125">
        <f t="shared" si="6"/>
        <v>4.5399929762484854E-5</v>
      </c>
      <c r="P20" s="125">
        <f t="shared" si="6"/>
        <v>4.5399929762484854E-5</v>
      </c>
      <c r="Q20" s="125">
        <f t="shared" si="6"/>
        <v>4.5399929762484854E-5</v>
      </c>
      <c r="R20" s="125">
        <f t="shared" si="6"/>
        <v>4.5399929762484854E-5</v>
      </c>
      <c r="S20" s="125">
        <f t="shared" si="6"/>
        <v>4.5399929762484854E-5</v>
      </c>
      <c r="T20" s="125">
        <f t="shared" si="6"/>
        <v>4.5399929762484854E-5</v>
      </c>
      <c r="U20" s="125">
        <f t="shared" si="6"/>
        <v>4.5399929762484854E-5</v>
      </c>
      <c r="V20" s="125">
        <f t="shared" si="6"/>
        <v>4.5399929762484854E-5</v>
      </c>
      <c r="W20" s="125">
        <f t="shared" si="6"/>
        <v>4.5399929762484854E-5</v>
      </c>
    </row>
    <row r="21" spans="1:23" s="9" customFormat="1" ht="15.75">
      <c r="A21" s="10" t="str">
        <f>A11</f>
        <v>HPWH</v>
      </c>
      <c r="B21" s="125">
        <f>EXP(B11)</f>
        <v>1</v>
      </c>
      <c r="C21" s="125">
        <f t="shared" ref="C21:R24" si="7">EXP(C11)</f>
        <v>1</v>
      </c>
      <c r="D21" s="125">
        <f t="shared" si="7"/>
        <v>1</v>
      </c>
      <c r="E21" s="125">
        <f t="shared" si="7"/>
        <v>1</v>
      </c>
      <c r="F21" s="125">
        <f t="shared" si="7"/>
        <v>1</v>
      </c>
      <c r="G21" s="125">
        <f t="shared" si="7"/>
        <v>1</v>
      </c>
      <c r="H21" s="125">
        <f t="shared" si="7"/>
        <v>1</v>
      </c>
      <c r="I21" s="125">
        <f t="shared" si="7"/>
        <v>1</v>
      </c>
      <c r="J21" s="125">
        <f t="shared" si="7"/>
        <v>1</v>
      </c>
      <c r="K21" s="125">
        <f t="shared" si="7"/>
        <v>1</v>
      </c>
      <c r="L21" s="125">
        <f t="shared" si="7"/>
        <v>1</v>
      </c>
      <c r="M21" s="125">
        <f t="shared" si="7"/>
        <v>1</v>
      </c>
      <c r="N21" s="125">
        <f t="shared" si="7"/>
        <v>1</v>
      </c>
      <c r="O21" s="125">
        <f t="shared" si="7"/>
        <v>1</v>
      </c>
      <c r="P21" s="125">
        <f t="shared" si="7"/>
        <v>1</v>
      </c>
      <c r="Q21" s="125">
        <f t="shared" si="7"/>
        <v>1</v>
      </c>
      <c r="R21" s="125">
        <f t="shared" si="7"/>
        <v>1</v>
      </c>
      <c r="S21" s="125">
        <f t="shared" si="6"/>
        <v>1</v>
      </c>
      <c r="T21" s="125">
        <f t="shared" si="6"/>
        <v>1</v>
      </c>
      <c r="U21" s="125">
        <f t="shared" si="6"/>
        <v>1</v>
      </c>
      <c r="V21" s="125">
        <f t="shared" si="6"/>
        <v>1</v>
      </c>
      <c r="W21" s="125">
        <f t="shared" si="6"/>
        <v>1</v>
      </c>
    </row>
    <row r="22" spans="1:23" ht="15.75">
      <c r="A22" s="10" t="str">
        <f>A12</f>
        <v>Gas Tank</v>
      </c>
      <c r="B22" s="125">
        <f t="shared" ref="B22:B24" si="8">EXP(B12)</f>
        <v>4.5399929762484854E-5</v>
      </c>
      <c r="C22" s="125">
        <f t="shared" si="7"/>
        <v>4.5399929762484854E-5</v>
      </c>
      <c r="D22" s="125">
        <f t="shared" si="6"/>
        <v>4.5399929762484854E-5</v>
      </c>
      <c r="E22" s="125">
        <f t="shared" si="6"/>
        <v>4.5399929762484854E-5</v>
      </c>
      <c r="F22" s="125">
        <f t="shared" si="6"/>
        <v>4.5399929762484854E-5</v>
      </c>
      <c r="G22" s="125">
        <f t="shared" si="6"/>
        <v>4.5399929762484854E-5</v>
      </c>
      <c r="H22" s="125">
        <f t="shared" si="6"/>
        <v>4.5399929762484854E-5</v>
      </c>
      <c r="I22" s="125">
        <f t="shared" si="6"/>
        <v>4.5399929762484854E-5</v>
      </c>
      <c r="J22" s="125">
        <f t="shared" si="6"/>
        <v>4.5399929762484854E-5</v>
      </c>
      <c r="K22" s="125">
        <f t="shared" si="6"/>
        <v>4.5399929762484854E-5</v>
      </c>
      <c r="L22" s="125">
        <f t="shared" si="6"/>
        <v>4.5399929762484854E-5</v>
      </c>
      <c r="M22" s="125">
        <f t="shared" si="6"/>
        <v>4.5399929762484854E-5</v>
      </c>
      <c r="N22" s="125">
        <f t="shared" si="6"/>
        <v>4.5399929762484854E-5</v>
      </c>
      <c r="O22" s="125">
        <f t="shared" si="6"/>
        <v>4.5399929762484854E-5</v>
      </c>
      <c r="P22" s="125">
        <f t="shared" si="6"/>
        <v>4.5399929762484854E-5</v>
      </c>
      <c r="Q22" s="125">
        <f t="shared" si="6"/>
        <v>4.5399929762484854E-5</v>
      </c>
      <c r="R22" s="125">
        <f t="shared" si="6"/>
        <v>4.5399929762484854E-5</v>
      </c>
      <c r="S22" s="125">
        <f t="shared" si="6"/>
        <v>4.5399929762484854E-5</v>
      </c>
      <c r="T22" s="125">
        <f t="shared" si="6"/>
        <v>4.5399929762484854E-5</v>
      </c>
      <c r="U22" s="125">
        <f t="shared" si="6"/>
        <v>4.5399929762484854E-5</v>
      </c>
      <c r="V22" s="125">
        <f t="shared" si="6"/>
        <v>4.5399929762484854E-5</v>
      </c>
      <c r="W22" s="125">
        <f t="shared" si="6"/>
        <v>4.5399929762484854E-5</v>
      </c>
    </row>
    <row r="23" spans="1:23" ht="15.75">
      <c r="A23" s="10" t="str">
        <f>A13</f>
        <v>Instant Gas</v>
      </c>
      <c r="B23" s="125">
        <f t="shared" si="8"/>
        <v>1</v>
      </c>
      <c r="C23" s="125">
        <f t="shared" si="7"/>
        <v>1</v>
      </c>
      <c r="D23" s="125">
        <f t="shared" si="6"/>
        <v>1</v>
      </c>
      <c r="E23" s="125">
        <f t="shared" si="6"/>
        <v>1</v>
      </c>
      <c r="F23" s="125">
        <f t="shared" si="6"/>
        <v>1</v>
      </c>
      <c r="G23" s="125">
        <f t="shared" si="6"/>
        <v>1</v>
      </c>
      <c r="H23" s="125">
        <f t="shared" si="6"/>
        <v>1</v>
      </c>
      <c r="I23" s="125">
        <f t="shared" si="6"/>
        <v>1</v>
      </c>
      <c r="J23" s="125">
        <f t="shared" si="6"/>
        <v>1</v>
      </c>
      <c r="K23" s="125">
        <f t="shared" si="6"/>
        <v>1</v>
      </c>
      <c r="L23" s="125">
        <f t="shared" si="6"/>
        <v>1</v>
      </c>
      <c r="M23" s="125">
        <f t="shared" si="6"/>
        <v>1</v>
      </c>
      <c r="N23" s="125">
        <f t="shared" si="6"/>
        <v>1</v>
      </c>
      <c r="O23" s="125">
        <f t="shared" si="6"/>
        <v>1</v>
      </c>
      <c r="P23" s="125">
        <f t="shared" si="6"/>
        <v>1</v>
      </c>
      <c r="Q23" s="125">
        <f t="shared" si="6"/>
        <v>1</v>
      </c>
      <c r="R23" s="125">
        <f t="shared" si="6"/>
        <v>1</v>
      </c>
      <c r="S23" s="125">
        <f t="shared" si="6"/>
        <v>1</v>
      </c>
      <c r="T23" s="125">
        <f t="shared" si="6"/>
        <v>1</v>
      </c>
      <c r="U23" s="125">
        <f t="shared" si="6"/>
        <v>1</v>
      </c>
      <c r="V23" s="125">
        <f t="shared" si="6"/>
        <v>1</v>
      </c>
      <c r="W23" s="125">
        <f t="shared" si="6"/>
        <v>1</v>
      </c>
    </row>
    <row r="24" spans="1:23" ht="15.75">
      <c r="A24" s="10" t="str">
        <f>A14</f>
        <v>Condensing Gas</v>
      </c>
      <c r="B24" s="125">
        <f t="shared" si="8"/>
        <v>1</v>
      </c>
      <c r="C24" s="125">
        <f t="shared" si="7"/>
        <v>1</v>
      </c>
      <c r="D24" s="125">
        <f t="shared" si="6"/>
        <v>1</v>
      </c>
      <c r="E24" s="125">
        <f t="shared" si="6"/>
        <v>1</v>
      </c>
      <c r="F24" s="125">
        <f t="shared" si="6"/>
        <v>1</v>
      </c>
      <c r="G24" s="125">
        <f t="shared" si="6"/>
        <v>1</v>
      </c>
      <c r="H24" s="125">
        <f t="shared" si="6"/>
        <v>1</v>
      </c>
      <c r="I24" s="125">
        <f t="shared" si="6"/>
        <v>1</v>
      </c>
      <c r="J24" s="125">
        <f t="shared" si="6"/>
        <v>1</v>
      </c>
      <c r="K24" s="125">
        <f t="shared" si="6"/>
        <v>1</v>
      </c>
      <c r="L24" s="125">
        <f t="shared" si="6"/>
        <v>1</v>
      </c>
      <c r="M24" s="125">
        <f t="shared" si="6"/>
        <v>1</v>
      </c>
      <c r="N24" s="125">
        <f t="shared" si="6"/>
        <v>1</v>
      </c>
      <c r="O24" s="125">
        <f t="shared" si="6"/>
        <v>1</v>
      </c>
      <c r="P24" s="125">
        <f t="shared" si="6"/>
        <v>1</v>
      </c>
      <c r="Q24" s="125">
        <f t="shared" si="6"/>
        <v>1</v>
      </c>
      <c r="R24" s="125">
        <f t="shared" si="6"/>
        <v>1</v>
      </c>
      <c r="S24" s="125">
        <f t="shared" si="6"/>
        <v>1</v>
      </c>
      <c r="T24" s="125">
        <f t="shared" si="6"/>
        <v>1</v>
      </c>
      <c r="U24" s="125">
        <f t="shared" si="6"/>
        <v>1</v>
      </c>
      <c r="V24" s="125">
        <f t="shared" si="6"/>
        <v>1</v>
      </c>
      <c r="W24" s="125">
        <f t="shared" si="6"/>
        <v>1</v>
      </c>
    </row>
    <row r="25" spans="1:23" ht="15.75">
      <c r="A25" s="10"/>
    </row>
    <row r="26" spans="1:23" s="9" customFormat="1" ht="15.75">
      <c r="A26" s="36" t="s">
        <v>33</v>
      </c>
    </row>
    <row r="27" spans="1:23" s="9" customFormat="1" ht="15.75">
      <c r="A27" s="34" t="s">
        <v>166</v>
      </c>
    </row>
    <row r="28" spans="1:23" s="9" customFormat="1" ht="15.75">
      <c r="A28" s="34" t="s">
        <v>167</v>
      </c>
    </row>
    <row r="29" spans="1:23" s="9" customFormat="1" ht="15.75">
      <c r="A29" s="34" t="s">
        <v>168</v>
      </c>
    </row>
    <row r="30" spans="1:23" s="9" customFormat="1" ht="15.75">
      <c r="A30" s="34"/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workbookViewId="0">
      <selection activeCell="E17" sqref="E17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7" ht="26.25" customHeight="1">
      <c r="A3" s="25" t="str">
        <f>CONCATENATE('Input Assumptions'!B9," Retail Rates (2012$/mmBtu)")</f>
        <v>Washington Retail Rates (2012$/mmBtu)</v>
      </c>
    </row>
    <row r="4" spans="1:27">
      <c r="B4" s="180">
        <v>2014</v>
      </c>
      <c r="C4" s="180">
        <v>2015</v>
      </c>
      <c r="D4" s="180">
        <v>2016</v>
      </c>
      <c r="E4" s="180">
        <v>2017</v>
      </c>
      <c r="F4" s="180">
        <v>2018</v>
      </c>
      <c r="G4" s="180">
        <v>2019</v>
      </c>
      <c r="H4" s="180">
        <v>2020</v>
      </c>
      <c r="I4" s="180">
        <v>2021</v>
      </c>
      <c r="J4" s="180">
        <v>2022</v>
      </c>
      <c r="K4" s="180">
        <v>2023</v>
      </c>
      <c r="L4" s="180">
        <v>2024</v>
      </c>
      <c r="M4" s="180">
        <v>2025</v>
      </c>
      <c r="N4" s="180">
        <v>2026</v>
      </c>
      <c r="O4" s="180">
        <v>2027</v>
      </c>
      <c r="P4" s="180">
        <v>2028</v>
      </c>
      <c r="Q4" s="180">
        <v>2029</v>
      </c>
      <c r="R4" s="180">
        <v>2030</v>
      </c>
      <c r="S4" s="180">
        <v>2031</v>
      </c>
      <c r="T4" s="180">
        <v>2032</v>
      </c>
      <c r="U4" s="180">
        <v>2033</v>
      </c>
      <c r="V4" s="180">
        <v>2034</v>
      </c>
      <c r="W4" s="180">
        <v>2035</v>
      </c>
    </row>
    <row r="5" spans="1:27">
      <c r="A5" s="9" t="s">
        <v>18</v>
      </c>
      <c r="B5" s="63">
        <v>25.643963309999993</v>
      </c>
      <c r="C5" s="63">
        <v>25.977334833029989</v>
      </c>
      <c r="D5" s="63">
        <v>26.315040185859377</v>
      </c>
      <c r="E5" s="63">
        <v>26.657135708275547</v>
      </c>
      <c r="F5" s="63">
        <v>27.003678472483127</v>
      </c>
      <c r="G5" s="63">
        <v>27.354726292625404</v>
      </c>
      <c r="H5" s="63">
        <v>27.710337734429533</v>
      </c>
      <c r="I5" s="63">
        <v>28.070572124977115</v>
      </c>
      <c r="J5" s="63">
        <v>28.435489562601816</v>
      </c>
      <c r="K5" s="63">
        <v>28.805150926915637</v>
      </c>
      <c r="L5" s="63">
        <v>29.179617888965538</v>
      </c>
      <c r="M5" s="63">
        <v>29.558952921522089</v>
      </c>
      <c r="N5" s="63">
        <v>29.943219309501874</v>
      </c>
      <c r="O5" s="63">
        <v>30.332481160525397</v>
      </c>
      <c r="P5" s="63">
        <v>30.726803415612224</v>
      </c>
      <c r="Q5" s="63">
        <v>31.126251860015181</v>
      </c>
      <c r="R5" s="63">
        <v>31.530893134195374</v>
      </c>
      <c r="S5" s="63">
        <v>31.940794744939911</v>
      </c>
      <c r="T5" s="63">
        <v>32.356025076624128</v>
      </c>
      <c r="U5" s="63">
        <v>32.776653402620241</v>
      </c>
      <c r="V5" s="63">
        <v>33.2027498968543</v>
      </c>
      <c r="W5" s="63">
        <v>33.634385645513404</v>
      </c>
      <c r="X5" s="10"/>
      <c r="Y5" s="10"/>
      <c r="Z5" s="10"/>
      <c r="AA5" s="10"/>
    </row>
    <row r="6" spans="1:27">
      <c r="A6" s="9" t="s">
        <v>19</v>
      </c>
      <c r="B6" s="63">
        <v>11.878494249999996</v>
      </c>
      <c r="C6" s="63">
        <v>12.056671663749995</v>
      </c>
      <c r="D6" s="63">
        <v>12.237521738706244</v>
      </c>
      <c r="E6" s="63">
        <v>12.421084564786836</v>
      </c>
      <c r="F6" s="63">
        <v>12.607400833258637</v>
      </c>
      <c r="G6" s="63">
        <v>12.796511845757516</v>
      </c>
      <c r="H6" s="63">
        <v>12.988459523443877</v>
      </c>
      <c r="I6" s="63">
        <v>13.183286416295534</v>
      </c>
      <c r="J6" s="63">
        <v>13.381035712539965</v>
      </c>
      <c r="K6" s="63">
        <v>13.581751248228064</v>
      </c>
      <c r="L6" s="63">
        <v>13.785477516951484</v>
      </c>
      <c r="M6" s="63">
        <v>13.992259679705755</v>
      </c>
      <c r="N6" s="63">
        <v>14.20214357490134</v>
      </c>
      <c r="O6" s="63">
        <v>14.41517572852486</v>
      </c>
      <c r="P6" s="63">
        <v>14.631403364452732</v>
      </c>
      <c r="Q6" s="63">
        <v>14.850874414919522</v>
      </c>
      <c r="R6" s="63">
        <v>15.073637531143314</v>
      </c>
      <c r="S6" s="63">
        <v>15.299742094110462</v>
      </c>
      <c r="T6" s="63">
        <v>15.529238225522118</v>
      </c>
      <c r="U6" s="63">
        <v>15.762176798904948</v>
      </c>
      <c r="V6" s="63">
        <v>15.998609450888521</v>
      </c>
      <c r="W6" s="63">
        <v>16.238588592651848</v>
      </c>
      <c r="X6" s="11"/>
      <c r="Y6" s="11"/>
      <c r="Z6" s="11"/>
      <c r="AA6" s="11"/>
    </row>
    <row r="8" spans="1:27">
      <c r="A8" s="28" t="s">
        <v>68</v>
      </c>
    </row>
    <row r="9" spans="1:27">
      <c r="A9" s="76" t="s">
        <v>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tabSelected="1" workbookViewId="0">
      <selection activeCell="D18" sqref="D18"/>
    </sheetView>
  </sheetViews>
  <sheetFormatPr defaultColWidth="9.140625" defaultRowHeight="15.75"/>
  <cols>
    <col min="1" max="1" width="25.7109375" style="9" customWidth="1"/>
    <col min="2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3">
      <c r="A3" s="12" t="s">
        <v>121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123</v>
      </c>
      <c r="B5" s="63">
        <v>4.3899999999999997</v>
      </c>
      <c r="C5" s="63">
        <v>4.2699999999999996</v>
      </c>
      <c r="D5" s="63">
        <v>4.2699999999999996</v>
      </c>
      <c r="E5" s="63">
        <v>4.32</v>
      </c>
      <c r="F5" s="63">
        <v>4.3899999999999997</v>
      </c>
      <c r="G5" s="63">
        <v>4.47</v>
      </c>
      <c r="H5" s="63">
        <v>4.66</v>
      </c>
      <c r="I5" s="63">
        <v>4.75</v>
      </c>
      <c r="J5" s="63">
        <v>4.8499999999999996</v>
      </c>
      <c r="K5" s="63">
        <v>4.95</v>
      </c>
      <c r="L5" s="63">
        <v>5.04</v>
      </c>
      <c r="M5" s="63">
        <v>5.27</v>
      </c>
      <c r="N5" s="63">
        <v>5.4</v>
      </c>
      <c r="O5" s="63">
        <v>5.53</v>
      </c>
      <c r="P5" s="63">
        <v>5.67</v>
      </c>
      <c r="Q5" s="63">
        <v>5.81</v>
      </c>
      <c r="R5" s="63">
        <v>6.06</v>
      </c>
      <c r="S5" s="63">
        <v>6.21</v>
      </c>
      <c r="T5" s="63">
        <v>6.36</v>
      </c>
      <c r="U5" s="63">
        <v>6.52</v>
      </c>
      <c r="V5" s="63">
        <v>6.69</v>
      </c>
      <c r="W5" s="63">
        <v>6.85</v>
      </c>
    </row>
    <row r="7" spans="1:23">
      <c r="A7" s="28" t="s">
        <v>122</v>
      </c>
    </row>
    <row r="8" spans="1:23">
      <c r="A8" s="28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51">
      <c r="A3" s="25" t="s">
        <v>153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61</v>
      </c>
      <c r="B5" s="99">
        <v>0.64119999999999999</v>
      </c>
      <c r="C5" s="99">
        <v>0.65359999999999996</v>
      </c>
      <c r="D5" s="99">
        <v>0.67</v>
      </c>
      <c r="E5" s="99">
        <v>0.68910000000000005</v>
      </c>
      <c r="F5" s="99">
        <v>0.71</v>
      </c>
      <c r="G5" s="99">
        <v>0.73029999999999995</v>
      </c>
      <c r="H5" s="99">
        <v>0.74450000000000005</v>
      </c>
      <c r="I5" s="99">
        <v>0.75929999999999997</v>
      </c>
      <c r="J5" s="99">
        <v>0.77359999999999995</v>
      </c>
      <c r="K5" s="99">
        <v>0.78790000000000004</v>
      </c>
      <c r="L5" s="99">
        <v>0.80169999999999997</v>
      </c>
      <c r="M5" s="99">
        <v>0.81420000000000003</v>
      </c>
      <c r="N5" s="99">
        <v>0.82279999999999998</v>
      </c>
      <c r="O5" s="99">
        <v>0.83430000000000004</v>
      </c>
      <c r="P5" s="99">
        <v>0.85209999999999997</v>
      </c>
      <c r="Q5" s="99">
        <v>0.87250000000000005</v>
      </c>
      <c r="R5" s="99">
        <v>0.8881</v>
      </c>
      <c r="S5" s="99">
        <v>0.90780000000000005</v>
      </c>
      <c r="T5" s="99">
        <v>0.93559999999999999</v>
      </c>
      <c r="U5" s="99">
        <v>0.96870000000000001</v>
      </c>
      <c r="V5" s="99">
        <v>1</v>
      </c>
      <c r="W5" s="99">
        <v>1.0289999999999999</v>
      </c>
      <c r="X5" s="99">
        <v>1.0516000000000001</v>
      </c>
      <c r="Y5" s="99">
        <v>1.0609999999999999</v>
      </c>
      <c r="Z5" s="99">
        <v>1.0751999999999999</v>
      </c>
      <c r="AA5" s="99">
        <v>1.0981000000000001</v>
      </c>
      <c r="AB5" s="99">
        <v>1.1175999999999999</v>
      </c>
      <c r="AC5" s="99">
        <v>1.1375</v>
      </c>
      <c r="AD5" s="99">
        <v>1.1549</v>
      </c>
      <c r="AE5" s="99">
        <v>1.1735</v>
      </c>
      <c r="AF5" s="99">
        <v>1.1930000000000001</v>
      </c>
      <c r="AG5" s="99">
        <v>1.2121</v>
      </c>
      <c r="AH5" s="99">
        <v>1.2324999999999999</v>
      </c>
      <c r="AI5" s="99">
        <v>1.2525999999999999</v>
      </c>
      <c r="AJ5" s="99">
        <v>1.2734000000000001</v>
      </c>
      <c r="AK5" s="99">
        <v>1.2952999999999999</v>
      </c>
      <c r="AL5" s="99">
        <v>1.3178000000000001</v>
      </c>
      <c r="AM5" s="99">
        <v>1.3408</v>
      </c>
      <c r="AN5" s="99">
        <v>1.3636999999999999</v>
      </c>
      <c r="AO5" s="99">
        <v>1.387</v>
      </c>
      <c r="AP5" s="99">
        <v>1.4109</v>
      </c>
      <c r="AQ5" s="99">
        <v>1.4353</v>
      </c>
      <c r="AR5" s="99">
        <v>1.4602999999999999</v>
      </c>
      <c r="AS5" s="99">
        <v>1.4864999999999999</v>
      </c>
      <c r="AT5" s="99">
        <v>1.5133000000000001</v>
      </c>
      <c r="AU5" s="99">
        <v>1.5411999999999999</v>
      </c>
      <c r="AV5" s="99">
        <v>1.5692999999999999</v>
      </c>
      <c r="AW5" s="99">
        <v>1.5978000000000001</v>
      </c>
      <c r="AX5" s="99">
        <v>1.627</v>
      </c>
      <c r="AY5" s="99">
        <v>1.6566000000000001</v>
      </c>
    </row>
    <row r="7" spans="1:51">
      <c r="A7" s="28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>
      <selection activeCell="A2" sqref="A2"/>
    </sheetView>
  </sheetViews>
  <sheetFormatPr defaultColWidth="9.140625"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2" spans="1:23">
      <c r="G2" s="128"/>
    </row>
    <row r="3" spans="1:23">
      <c r="A3" s="12" t="s">
        <v>127</v>
      </c>
      <c r="G3" s="128"/>
    </row>
    <row r="4" spans="1:23" ht="31.5">
      <c r="A4" s="65" t="s">
        <v>157</v>
      </c>
      <c r="B4" s="134" t="s">
        <v>126</v>
      </c>
    </row>
    <row r="5" spans="1:23">
      <c r="A5" s="168" t="s">
        <v>154</v>
      </c>
      <c r="B5" s="131">
        <f>'Consumer Cost'!B7</f>
        <v>36.551426624300973</v>
      </c>
    </row>
    <row r="6" spans="1:23">
      <c r="A6" s="167" t="s">
        <v>155</v>
      </c>
      <c r="B6" s="132">
        <f>'Utility Cost'!B4</f>
        <v>-10.305747881642596</v>
      </c>
    </row>
    <row r="7" spans="1:23">
      <c r="A7" s="56" t="s">
        <v>156</v>
      </c>
      <c r="B7" s="132">
        <f>NPV(DiscountRate,B14:W14)</f>
        <v>26.245678742658416</v>
      </c>
    </row>
    <row r="8" spans="1:23">
      <c r="B8" s="128"/>
    </row>
    <row r="9" spans="1:23">
      <c r="B9" s="128"/>
    </row>
    <row r="10" spans="1:23">
      <c r="A10" s="12" t="s">
        <v>152</v>
      </c>
      <c r="B10" s="128"/>
    </row>
    <row r="11" spans="1:23">
      <c r="A11" s="104"/>
      <c r="B11" s="162">
        <f>'Utility Cost'!B7</f>
        <v>2014</v>
      </c>
      <c r="C11" s="162">
        <f>'Utility Cost'!C7</f>
        <v>2015</v>
      </c>
      <c r="D11" s="162">
        <f>'Utility Cost'!D7</f>
        <v>2016</v>
      </c>
      <c r="E11" s="162">
        <f>'Utility Cost'!E7</f>
        <v>2017</v>
      </c>
      <c r="F11" s="162">
        <f>'Utility Cost'!F7</f>
        <v>2018</v>
      </c>
      <c r="G11" s="162">
        <f>'Utility Cost'!G7</f>
        <v>2019</v>
      </c>
      <c r="H11" s="162">
        <f>'Utility Cost'!H7</f>
        <v>2020</v>
      </c>
      <c r="I11" s="162">
        <f>'Utility Cost'!I7</f>
        <v>2021</v>
      </c>
      <c r="J11" s="162">
        <f>'Utility Cost'!J7</f>
        <v>2022</v>
      </c>
      <c r="K11" s="162">
        <f>'Utility Cost'!K7</f>
        <v>2023</v>
      </c>
      <c r="L11" s="162">
        <f>'Utility Cost'!L7</f>
        <v>2024</v>
      </c>
      <c r="M11" s="162">
        <f>'Utility Cost'!M7</f>
        <v>2025</v>
      </c>
      <c r="N11" s="162">
        <f>'Utility Cost'!N7</f>
        <v>2026</v>
      </c>
      <c r="O11" s="162">
        <f>'Utility Cost'!O7</f>
        <v>2027</v>
      </c>
      <c r="P11" s="162">
        <f>'Utility Cost'!P7</f>
        <v>2028</v>
      </c>
      <c r="Q11" s="162">
        <f>'Utility Cost'!Q7</f>
        <v>2029</v>
      </c>
      <c r="R11" s="162">
        <f>'Utility Cost'!R7</f>
        <v>2030</v>
      </c>
      <c r="S11" s="162">
        <f>'Utility Cost'!S7</f>
        <v>2031</v>
      </c>
      <c r="T11" s="162">
        <f>'Utility Cost'!T7</f>
        <v>2032</v>
      </c>
      <c r="U11" s="162">
        <f>'Utility Cost'!U7</f>
        <v>2033</v>
      </c>
      <c r="V11" s="162">
        <f>'Utility Cost'!V7</f>
        <v>2034</v>
      </c>
      <c r="W11" s="162">
        <f>'Utility Cost'!W7</f>
        <v>2035</v>
      </c>
    </row>
    <row r="12" spans="1:23">
      <c r="A12" s="9" t="s">
        <v>150</v>
      </c>
      <c r="B12" s="156">
        <f>'Utility Cost'!B10</f>
        <v>0</v>
      </c>
      <c r="C12" s="156">
        <f>'Utility Cost'!C10</f>
        <v>-9.128274856092726E-2</v>
      </c>
      <c r="D12" s="156">
        <f>'Utility Cost'!D10</f>
        <v>-0.1760945874897818</v>
      </c>
      <c r="E12" s="156">
        <f>'Utility Cost'!E10</f>
        <v>-0.25788152249903845</v>
      </c>
      <c r="F12" s="156">
        <f>'Utility Cost'!F10</f>
        <v>-0.33733874355614091</v>
      </c>
      <c r="G12" s="156">
        <f>'Utility Cost'!G10</f>
        <v>-0.41471011724840512</v>
      </c>
      <c r="H12" s="156">
        <f>'Utility Cost'!H10</f>
        <v>-0.50133492267160629</v>
      </c>
      <c r="I12" s="156">
        <f>'Utility Cost'!I10</f>
        <v>-0.57637310622176852</v>
      </c>
      <c r="J12" s="156">
        <f>'Utility Cost'!J10</f>
        <v>-0.65052172518256901</v>
      </c>
      <c r="K12" s="156">
        <f>'Utility Cost'!K10</f>
        <v>-0.72275587463891389</v>
      </c>
      <c r="L12" s="156">
        <f>'Utility Cost'!L10</f>
        <v>-0.79155862760680262</v>
      </c>
      <c r="M12" s="156">
        <f>'Utility Cost'!M10</f>
        <v>-0.88177570358036739</v>
      </c>
      <c r="N12" s="156">
        <f>'Utility Cost'!N10</f>
        <v>-0.9550465151523112</v>
      </c>
      <c r="O12" s="156">
        <f>'Utility Cost'!O10</f>
        <v>-1.0270788228276895</v>
      </c>
      <c r="P12" s="156">
        <f>'Utility Cost'!P10</f>
        <v>-1.0998205160805201</v>
      </c>
      <c r="Q12" s="156">
        <f>'Utility Cost'!Q10</f>
        <v>-1.1714983751080204</v>
      </c>
      <c r="R12" s="156">
        <f>'Utility Cost'!R10</f>
        <v>-1.2650772051640808</v>
      </c>
      <c r="S12" s="156">
        <f>'Utility Cost'!S10</f>
        <v>-1.3375189298504031</v>
      </c>
      <c r="T12" s="156">
        <f>'Utility Cost'!T10</f>
        <v>-1.4089874931417643</v>
      </c>
      <c r="U12" s="156">
        <f>'Utility Cost'!U10</f>
        <v>-1.4817607717631069</v>
      </c>
      <c r="V12" s="156">
        <f>'Utility Cost'!V10</f>
        <v>-1.5560077793203748</v>
      </c>
      <c r="W12" s="156">
        <f>'Utility Cost'!W10</f>
        <v>-1.6271278468734243</v>
      </c>
    </row>
    <row r="13" spans="1:23">
      <c r="A13" s="41" t="s">
        <v>149</v>
      </c>
      <c r="B13" s="161">
        <f>-('Consumer Cost'!B49-'Consumer Cost'!B12)</f>
        <v>0</v>
      </c>
      <c r="C13" s="161">
        <f>-('Consumer Cost'!C49-'Consumer Cost'!C12)</f>
        <v>2.0730731512995675</v>
      </c>
      <c r="D13" s="161">
        <f>-('Consumer Cost'!D49-'Consumer Cost'!D12)</f>
        <v>2.1630321980190104</v>
      </c>
      <c r="E13" s="161">
        <f>-('Consumer Cost'!E49-'Consumer Cost'!E12)</f>
        <v>2.2494167225488582</v>
      </c>
      <c r="F13" s="161">
        <f>-('Consumer Cost'!F49-'Consumer Cost'!F12)</f>
        <v>2.332475190248946</v>
      </c>
      <c r="G13" s="161">
        <f>-('Consumer Cost'!G49-'Consumer Cost'!G12)</f>
        <v>2.412440901922146</v>
      </c>
      <c r="H13" s="161">
        <f>-('Consumer Cost'!H49-'Consumer Cost'!H12)</f>
        <v>2.4895329854945913</v>
      </c>
      <c r="I13" s="161">
        <f>-('Consumer Cost'!I49-'Consumer Cost'!I12)</f>
        <v>2.5639573216663543</v>
      </c>
      <c r="J13" s="161">
        <f>-('Consumer Cost'!J49-'Consumer Cost'!J12)</f>
        <v>2.6359074080437743</v>
      </c>
      <c r="K13" s="161">
        <f>-('Consumer Cost'!K49-'Consumer Cost'!K12)</f>
        <v>2.7055651659503503</v>
      </c>
      <c r="L13" s="161">
        <f>-('Consumer Cost'!L49-'Consumer Cost'!L12)</f>
        <v>2.7731016938215838</v>
      </c>
      <c r="M13" s="161">
        <f>-('Consumer Cost'!M49-'Consumer Cost'!M12)</f>
        <v>2.8386779708178551</v>
      </c>
      <c r="N13" s="161">
        <f>-('Consumer Cost'!N49-'Consumer Cost'!N12)</f>
        <v>2.9024455140370193</v>
      </c>
      <c r="O13" s="161">
        <f>-('Consumer Cost'!O49-'Consumer Cost'!O12)</f>
        <v>2.9645469924744887</v>
      </c>
      <c r="P13" s="161">
        <f>-('Consumer Cost'!P49-'Consumer Cost'!P12)</f>
        <v>3.025116800660463</v>
      </c>
      <c r="Q13" s="161">
        <f>-('Consumer Cost'!Q49-'Consumer Cost'!Q12)</f>
        <v>3.0842815947013484</v>
      </c>
      <c r="R13" s="161">
        <f>-('Consumer Cost'!R49-'Consumer Cost'!R12)</f>
        <v>3.1421607932643703</v>
      </c>
      <c r="S13" s="161">
        <f>-('Consumer Cost'!S49-'Consumer Cost'!S12)</f>
        <v>3.1988670458691324</v>
      </c>
      <c r="T13" s="161">
        <f>-('Consumer Cost'!T49-'Consumer Cost'!T12)</f>
        <v>3.2545066706869505</v>
      </c>
      <c r="U13" s="161">
        <f>-('Consumer Cost'!U49-'Consumer Cost'!U12)</f>
        <v>3.3091800638977631</v>
      </c>
      <c r="V13" s="161">
        <f>-('Consumer Cost'!V49-'Consumer Cost'!V12)</f>
        <v>3.3629820825131951</v>
      </c>
      <c r="W13" s="161">
        <f>-('Consumer Cost'!W49-'Consumer Cost'!W12)</f>
        <v>3.4160024024436737</v>
      </c>
    </row>
    <row r="14" spans="1:23">
      <c r="A14" s="9" t="s">
        <v>151</v>
      </c>
      <c r="B14" s="156">
        <f>B12+B13</f>
        <v>0</v>
      </c>
      <c r="C14" s="156">
        <f t="shared" ref="C14:W14" si="0">C12+C13</f>
        <v>1.9817904027386402</v>
      </c>
      <c r="D14" s="156">
        <f t="shared" si="0"/>
        <v>1.9869376105292287</v>
      </c>
      <c r="E14" s="156">
        <f t="shared" si="0"/>
        <v>1.9915352000498197</v>
      </c>
      <c r="F14" s="156">
        <f t="shared" si="0"/>
        <v>1.995136446692805</v>
      </c>
      <c r="G14" s="156">
        <f t="shared" si="0"/>
        <v>1.9977307846737409</v>
      </c>
      <c r="H14" s="156">
        <f t="shared" si="0"/>
        <v>1.9881980628229852</v>
      </c>
      <c r="I14" s="156">
        <f t="shared" si="0"/>
        <v>1.9875842154445857</v>
      </c>
      <c r="J14" s="156">
        <f t="shared" si="0"/>
        <v>1.9853856828612053</v>
      </c>
      <c r="K14" s="156">
        <f t="shared" si="0"/>
        <v>1.9828092913114364</v>
      </c>
      <c r="L14" s="156">
        <f t="shared" si="0"/>
        <v>1.981543066214781</v>
      </c>
      <c r="M14" s="156">
        <f t="shared" si="0"/>
        <v>1.9569022672374876</v>
      </c>
      <c r="N14" s="156">
        <f t="shared" si="0"/>
        <v>1.947398998884708</v>
      </c>
      <c r="O14" s="156">
        <f t="shared" si="0"/>
        <v>1.9374681696467992</v>
      </c>
      <c r="P14" s="156">
        <f t="shared" si="0"/>
        <v>1.9252962845799428</v>
      </c>
      <c r="Q14" s="156">
        <f t="shared" si="0"/>
        <v>1.9127832195933281</v>
      </c>
      <c r="R14" s="156">
        <f t="shared" si="0"/>
        <v>1.8770835881002894</v>
      </c>
      <c r="S14" s="156">
        <f t="shared" si="0"/>
        <v>1.8613481160187293</v>
      </c>
      <c r="T14" s="156">
        <f t="shared" si="0"/>
        <v>1.8455191775451862</v>
      </c>
      <c r="U14" s="156">
        <f t="shared" si="0"/>
        <v>1.8274192921346561</v>
      </c>
      <c r="V14" s="156">
        <f t="shared" si="0"/>
        <v>1.8069743031928203</v>
      </c>
      <c r="W14" s="156">
        <f t="shared" si="0"/>
        <v>1.7888745555702494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>
      <selection activeCell="A2" sqref="A2"/>
    </sheetView>
  </sheetViews>
  <sheetFormatPr defaultColWidth="9.140625"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5" t="str">
        <f>CONCATENATE("Segment:  ",State,", Single Family, ", SpaceHeat, ", ", TankSize,", ", StartWH, " is starting water heater")</f>
        <v>Segment:  Washington, Single Family, Gas FAF, &gt;55 Gallons, Electric Resistance is starting water heater</v>
      </c>
    </row>
    <row r="3" spans="1:25" ht="31.5">
      <c r="A3" s="152"/>
      <c r="B3" s="134" t="s">
        <v>140</v>
      </c>
    </row>
    <row r="4" spans="1:25">
      <c r="A4" s="151" t="s">
        <v>139</v>
      </c>
      <c r="B4" s="153">
        <f>NPV(DiscountRate,B10:W10)</f>
        <v>-10.305747881642596</v>
      </c>
      <c r="D4" s="44"/>
      <c r="E4" s="44"/>
      <c r="F4" s="44"/>
      <c r="G4" s="44"/>
      <c r="H4" s="121"/>
      <c r="I4" s="44"/>
      <c r="J4" s="44"/>
      <c r="K4" s="44"/>
    </row>
    <row r="6" spans="1:25">
      <c r="A6" s="12" t="s">
        <v>136</v>
      </c>
    </row>
    <row r="7" spans="1:25">
      <c r="A7" s="152"/>
      <c r="B7" s="81">
        <f>'Net Reduction in Gas'!B10</f>
        <v>2014</v>
      </c>
      <c r="C7" s="81">
        <f>'Net Reduction in Gas'!C10</f>
        <v>2015</v>
      </c>
      <c r="D7" s="81">
        <f>'Net Reduction in Gas'!D10</f>
        <v>2016</v>
      </c>
      <c r="E7" s="81">
        <f>'Net Reduction in Gas'!E10</f>
        <v>2017</v>
      </c>
      <c r="F7" s="81">
        <f>'Net Reduction in Gas'!F10</f>
        <v>2018</v>
      </c>
      <c r="G7" s="81">
        <f>'Net Reduction in Gas'!G10</f>
        <v>2019</v>
      </c>
      <c r="H7" s="81">
        <f>'Net Reduction in Gas'!H10</f>
        <v>2020</v>
      </c>
      <c r="I7" s="81">
        <f>'Net Reduction in Gas'!I10</f>
        <v>2021</v>
      </c>
      <c r="J7" s="81">
        <f>'Net Reduction in Gas'!J10</f>
        <v>2022</v>
      </c>
      <c r="K7" s="81">
        <f>'Net Reduction in Gas'!K10</f>
        <v>2023</v>
      </c>
      <c r="L7" s="81">
        <f>'Net Reduction in Gas'!L10</f>
        <v>2024</v>
      </c>
      <c r="M7" s="81">
        <f>'Net Reduction in Gas'!M10</f>
        <v>2025</v>
      </c>
      <c r="N7" s="81">
        <f>'Net Reduction in Gas'!N10</f>
        <v>2026</v>
      </c>
      <c r="O7" s="81">
        <f>'Net Reduction in Gas'!O10</f>
        <v>2027</v>
      </c>
      <c r="P7" s="81">
        <f>'Net Reduction in Gas'!P10</f>
        <v>2028</v>
      </c>
      <c r="Q7" s="81">
        <f>'Net Reduction in Gas'!Q10</f>
        <v>2029</v>
      </c>
      <c r="R7" s="81">
        <f>'Net Reduction in Gas'!R10</f>
        <v>2030</v>
      </c>
      <c r="S7" s="81">
        <f>'Net Reduction in Gas'!S10</f>
        <v>2031</v>
      </c>
      <c r="T7" s="81">
        <f>'Net Reduction in Gas'!T10</f>
        <v>2032</v>
      </c>
      <c r="U7" s="81">
        <f>'Net Reduction in Gas'!U10</f>
        <v>2033</v>
      </c>
      <c r="V7" s="81">
        <f>'Net Reduction in Gas'!V10</f>
        <v>2034</v>
      </c>
      <c r="W7" s="92">
        <f>'Net Reduction in Gas'!W10</f>
        <v>2035</v>
      </c>
    </row>
    <row r="8" spans="1:25">
      <c r="A8" s="66" t="s">
        <v>162</v>
      </c>
      <c r="B8" s="130">
        <f>'Net Reduction in Gas'!B13</f>
        <v>0</v>
      </c>
      <c r="C8" s="130">
        <f>'Net Reduction in Gas'!C13</f>
        <v>-2.1377692871411537E-2</v>
      </c>
      <c r="D8" s="130">
        <f>'Net Reduction in Gas'!D13</f>
        <v>-4.1239950231799022E-2</v>
      </c>
      <c r="E8" s="130">
        <f>'Net Reduction in Gas'!E13</f>
        <v>-5.9694796874777419E-2</v>
      </c>
      <c r="F8" s="130">
        <f>'Net Reduction in Gas'!F13</f>
        <v>-7.6842538395476293E-2</v>
      </c>
      <c r="G8" s="130">
        <f>'Net Reduction in Gas'!G13</f>
        <v>-9.277631258353583E-2</v>
      </c>
      <c r="H8" s="130">
        <f>'Net Reduction in Gas'!H13</f>
        <v>-0.10758260143167517</v>
      </c>
      <c r="I8" s="130">
        <f>'Net Reduction in Gas'!I13</f>
        <v>-0.12134170657300389</v>
      </c>
      <c r="J8" s="130">
        <f>'Net Reduction in Gas'!J13</f>
        <v>-0.13412819075929258</v>
      </c>
      <c r="K8" s="130">
        <f>'Net Reduction in Gas'!K13</f>
        <v>-0.14601128780584119</v>
      </c>
      <c r="L8" s="130">
        <f>'Net Reduction in Gas'!L13</f>
        <v>-0.15705528325531798</v>
      </c>
      <c r="M8" s="130">
        <f>'Net Reduction in Gas'!M13</f>
        <v>-0.16731986785206213</v>
      </c>
      <c r="N8" s="130">
        <f>'Net Reduction in Gas'!N13</f>
        <v>-0.17686046576894651</v>
      </c>
      <c r="O8" s="130">
        <f>'Net Reduction in Gas'!O13</f>
        <v>-0.18572853939017892</v>
      </c>
      <c r="P8" s="130">
        <f>'Net Reduction in Gas'!P13</f>
        <v>-0.19397187232460672</v>
      </c>
      <c r="Q8" s="130">
        <f>'Net Reduction in Gas'!Q13</f>
        <v>-0.20163483220447856</v>
      </c>
      <c r="R8" s="130">
        <f>'Net Reduction in Gas'!R13</f>
        <v>-0.2087586147135447</v>
      </c>
      <c r="S8" s="130">
        <f>'Net Reduction in Gas'!S13</f>
        <v>-0.21538147018525011</v>
      </c>
      <c r="T8" s="130">
        <f>'Net Reduction in Gas'!T13</f>
        <v>-0.22153891401600065</v>
      </c>
      <c r="U8" s="130">
        <f>'Net Reduction in Gas'!U13</f>
        <v>-0.22726392204955628</v>
      </c>
      <c r="V8" s="130">
        <f>'Net Reduction in Gas'!V13</f>
        <v>-0.2325871120060351</v>
      </c>
      <c r="W8" s="130">
        <f>'Net Reduction in Gas'!W13</f>
        <v>-0.23753691195232474</v>
      </c>
      <c r="X8" s="128"/>
    </row>
    <row r="9" spans="1:25">
      <c r="A9" s="66" t="s">
        <v>137</v>
      </c>
      <c r="B9" s="44">
        <f>'Wholesale Price'!B5</f>
        <v>4.3899999999999997</v>
      </c>
      <c r="C9" s="44">
        <f>'Wholesale Price'!C5</f>
        <v>4.2699999999999996</v>
      </c>
      <c r="D9" s="44">
        <f>'Wholesale Price'!D5</f>
        <v>4.2699999999999996</v>
      </c>
      <c r="E9" s="44">
        <f>'Wholesale Price'!E5</f>
        <v>4.32</v>
      </c>
      <c r="F9" s="44">
        <f>'Wholesale Price'!F5</f>
        <v>4.3899999999999997</v>
      </c>
      <c r="G9" s="44">
        <f>'Wholesale Price'!G5</f>
        <v>4.47</v>
      </c>
      <c r="H9" s="44">
        <f>'Wholesale Price'!H5</f>
        <v>4.66</v>
      </c>
      <c r="I9" s="44">
        <f>'Wholesale Price'!I5</f>
        <v>4.75</v>
      </c>
      <c r="J9" s="44">
        <f>'Wholesale Price'!J5</f>
        <v>4.8499999999999996</v>
      </c>
      <c r="K9" s="44">
        <f>'Wholesale Price'!K5</f>
        <v>4.95</v>
      </c>
      <c r="L9" s="44">
        <f>'Wholesale Price'!L5</f>
        <v>5.04</v>
      </c>
      <c r="M9" s="44">
        <f>'Wholesale Price'!M5</f>
        <v>5.27</v>
      </c>
      <c r="N9" s="44">
        <f>'Wholesale Price'!N5</f>
        <v>5.4</v>
      </c>
      <c r="O9" s="44">
        <f>'Wholesale Price'!O5</f>
        <v>5.53</v>
      </c>
      <c r="P9" s="44">
        <f>'Wholesale Price'!P5</f>
        <v>5.67</v>
      </c>
      <c r="Q9" s="44">
        <f>'Wholesale Price'!Q5</f>
        <v>5.81</v>
      </c>
      <c r="R9" s="44">
        <f>'Wholesale Price'!R5</f>
        <v>6.06</v>
      </c>
      <c r="S9" s="44">
        <f>'Wholesale Price'!S5</f>
        <v>6.21</v>
      </c>
      <c r="T9" s="44">
        <f>'Wholesale Price'!T5</f>
        <v>6.36</v>
      </c>
      <c r="U9" s="44">
        <f>'Wholesale Price'!U5</f>
        <v>6.52</v>
      </c>
      <c r="V9" s="44">
        <f>'Wholesale Price'!V5</f>
        <v>6.69</v>
      </c>
      <c r="W9" s="44">
        <f>'Wholesale Price'!W5</f>
        <v>6.85</v>
      </c>
      <c r="X9" s="44"/>
      <c r="Y9" s="44"/>
    </row>
    <row r="10" spans="1:25">
      <c r="A10" s="56" t="s">
        <v>138</v>
      </c>
      <c r="B10" s="155">
        <f>B8*B9</f>
        <v>0</v>
      </c>
      <c r="C10" s="155">
        <f>C8*C9</f>
        <v>-9.128274856092726E-2</v>
      </c>
      <c r="D10" s="155">
        <f t="shared" ref="D10:W10" si="0">D8*D9</f>
        <v>-0.1760945874897818</v>
      </c>
      <c r="E10" s="155">
        <f t="shared" si="0"/>
        <v>-0.25788152249903845</v>
      </c>
      <c r="F10" s="155">
        <f t="shared" si="0"/>
        <v>-0.33733874355614091</v>
      </c>
      <c r="G10" s="155">
        <f t="shared" si="0"/>
        <v>-0.41471011724840512</v>
      </c>
      <c r="H10" s="155">
        <f t="shared" si="0"/>
        <v>-0.50133492267160629</v>
      </c>
      <c r="I10" s="155">
        <f t="shared" si="0"/>
        <v>-0.57637310622176852</v>
      </c>
      <c r="J10" s="155">
        <f t="shared" si="0"/>
        <v>-0.65052172518256901</v>
      </c>
      <c r="K10" s="155">
        <f t="shared" si="0"/>
        <v>-0.72275587463891389</v>
      </c>
      <c r="L10" s="155">
        <f t="shared" si="0"/>
        <v>-0.79155862760680262</v>
      </c>
      <c r="M10" s="155">
        <f t="shared" si="0"/>
        <v>-0.88177570358036739</v>
      </c>
      <c r="N10" s="155">
        <f t="shared" si="0"/>
        <v>-0.9550465151523112</v>
      </c>
      <c r="O10" s="155">
        <f t="shared" si="0"/>
        <v>-1.0270788228276895</v>
      </c>
      <c r="P10" s="155">
        <f t="shared" si="0"/>
        <v>-1.0998205160805201</v>
      </c>
      <c r="Q10" s="155">
        <f t="shared" si="0"/>
        <v>-1.1714983751080204</v>
      </c>
      <c r="R10" s="155">
        <f t="shared" si="0"/>
        <v>-1.2650772051640808</v>
      </c>
      <c r="S10" s="155">
        <f t="shared" si="0"/>
        <v>-1.3375189298504031</v>
      </c>
      <c r="T10" s="155">
        <f t="shared" si="0"/>
        <v>-1.4089874931417643</v>
      </c>
      <c r="U10" s="155">
        <f t="shared" si="0"/>
        <v>-1.4817607717631069</v>
      </c>
      <c r="V10" s="155">
        <f t="shared" si="0"/>
        <v>-1.5560077793203748</v>
      </c>
      <c r="W10" s="155">
        <f t="shared" si="0"/>
        <v>-1.6271278468734243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2015-01-14T18:57:09Z</dcterms:modified>
</cp:coreProperties>
</file>