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120" windowWidth="13890" windowHeight="6225" activeTab="4"/>
  </bookViews>
  <sheets>
    <sheet name="Summary-Charts" sheetId="39" r:id="rId1"/>
    <sheet name="Summary-Results" sheetId="40" r:id="rId2"/>
    <sheet name="Input Assumptions" sheetId="30" r:id="rId3"/>
    <sheet name="Non-Price Factors" sheetId="45" r:id="rId4"/>
    <sheet name="Retail Rates" sheetId="16" r:id="rId5"/>
    <sheet name="Wholesale Price" sheetId="50" r:id="rId6"/>
    <sheet name="Inflation" sheetId="37" r:id="rId7"/>
    <sheet name="Total Resource Cost" sheetId="51" r:id="rId8"/>
    <sheet name="Utility Cost" sheetId="49" r:id="rId9"/>
    <sheet name="Consumer Cost" sheetId="29" r:id="rId10"/>
    <sheet name="Net Reduction in Gas" sheetId="48" r:id="rId11"/>
    <sheet name="Energy Usage" sheetId="25" r:id="rId12"/>
    <sheet name="Water Heater Stock" sheetId="21" r:id="rId13"/>
    <sheet name="Water Heaters Retired" sheetId="34" r:id="rId14"/>
    <sheet name="Water Heaters Purchased" sheetId="33" r:id="rId15"/>
    <sheet name="Average Market Share" sheetId="46" r:id="rId16"/>
    <sheet name="Marginal Market Share" sheetId="23" r:id="rId17"/>
    <sheet name="Total Allocation Weight" sheetId="32" r:id="rId18"/>
    <sheet name="Marginal Allocation Weight" sheetId="31" r:id="rId19"/>
    <sheet name="Levelized Costs" sheetId="14" r:id="rId20"/>
    <sheet name="Fuel Cost" sheetId="15" r:id="rId21"/>
    <sheet name="Device Energy Use" sheetId="4" r:id="rId22"/>
    <sheet name="Capital Cost" sheetId="42" r:id="rId23"/>
    <sheet name="O&amp;M Cost" sheetId="43" r:id="rId24"/>
  </sheet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25725" calcOnSave="0"/>
</workbook>
</file>

<file path=xl/calcChain.xml><?xml version="1.0" encoding="utf-8"?>
<calcChain xmlns="http://schemas.openxmlformats.org/spreadsheetml/2006/main">
  <c r="A1" i="30"/>
  <c r="A1" i="43" l="1"/>
  <c r="A1" i="42"/>
  <c r="A1" i="4"/>
  <c r="A1" i="15"/>
  <c r="A1" i="14"/>
  <c r="A1" i="31"/>
  <c r="A1" i="32"/>
  <c r="A1" i="23"/>
  <c r="A1" i="46"/>
  <c r="A1" i="33"/>
  <c r="A1" i="34"/>
  <c r="A1" i="21"/>
  <c r="A1" i="25"/>
  <c r="A1" i="48"/>
  <c r="A1" i="29"/>
  <c r="A1" i="49"/>
  <c r="A1" i="51"/>
  <c r="A1" i="37"/>
  <c r="A1" i="50"/>
  <c r="A1" i="16"/>
  <c r="A1" i="45"/>
  <c r="B41" i="40"/>
  <c r="B35"/>
  <c r="B27"/>
  <c r="B19"/>
  <c r="B11"/>
  <c r="B3"/>
  <c r="A1"/>
  <c r="B57" i="39"/>
  <c r="B21"/>
  <c r="B39"/>
  <c r="B3"/>
  <c r="A1"/>
  <c r="D9" i="49" l="1"/>
  <c r="E9"/>
  <c r="F9"/>
  <c r="G9"/>
  <c r="H9"/>
  <c r="I9"/>
  <c r="J9"/>
  <c r="K9"/>
  <c r="L9"/>
  <c r="M9"/>
  <c r="N9"/>
  <c r="O9"/>
  <c r="P9"/>
  <c r="Q9"/>
  <c r="R9"/>
  <c r="S9"/>
  <c r="T9"/>
  <c r="U9"/>
  <c r="V9"/>
  <c r="W9"/>
  <c r="D12" i="48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75" i="39" l="1"/>
  <c r="B45" i="40"/>
  <c r="B44"/>
  <c r="B43"/>
  <c r="W11" i="5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W4" i="48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9" i="49"/>
  <c r="C9"/>
  <c r="M7"/>
  <c r="N7"/>
  <c r="U7"/>
  <c r="V7"/>
  <c r="W7"/>
  <c r="B7"/>
  <c r="C12" i="48"/>
  <c r="B12"/>
  <c r="J10"/>
  <c r="J7" i="49" s="1"/>
  <c r="K10" i="48"/>
  <c r="K7" i="49" s="1"/>
  <c r="L10" i="48"/>
  <c r="L7" i="49" s="1"/>
  <c r="M10" i="48"/>
  <c r="N10"/>
  <c r="O10"/>
  <c r="O7" i="49" s="1"/>
  <c r="P10" i="48"/>
  <c r="P7" i="49" s="1"/>
  <c r="Q10" i="48"/>
  <c r="Q7" i="49" s="1"/>
  <c r="R10" i="48"/>
  <c r="R7" i="49" s="1"/>
  <c r="S10" i="48"/>
  <c r="S7" i="49" s="1"/>
  <c r="T10" i="48"/>
  <c r="T7" i="49" s="1"/>
  <c r="U10" i="48"/>
  <c r="V10"/>
  <c r="W10"/>
  <c r="B10"/>
  <c r="C10"/>
  <c r="C7" i="49" s="1"/>
  <c r="D10" i="48"/>
  <c r="D7" i="49" s="1"/>
  <c r="E10" i="48"/>
  <c r="E7" i="49" s="1"/>
  <c r="F10" i="48"/>
  <c r="F7" i="49" s="1"/>
  <c r="G10" i="48"/>
  <c r="G7" i="49" s="1"/>
  <c r="H10" i="48"/>
  <c r="H7" i="49" s="1"/>
  <c r="I10" i="48"/>
  <c r="I7" i="49" s="1"/>
  <c r="C16" i="34"/>
  <c r="C17"/>
  <c r="C18"/>
  <c r="C19"/>
  <c r="C7"/>
  <c r="C8"/>
  <c r="C9"/>
  <c r="C10"/>
  <c r="B6" i="21"/>
  <c r="C6" i="34" s="1"/>
  <c r="B15" i="21"/>
  <c r="C15" i="34" s="1"/>
  <c r="A25" i="30" l="1"/>
  <c r="A34"/>
  <c r="C42" i="40"/>
  <c r="D20" i="45" l="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C20"/>
  <c r="B22"/>
  <c r="B23"/>
  <c r="B24"/>
  <c r="B21"/>
  <c r="B20"/>
  <c r="A18" l="1"/>
  <c r="A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A12" i="46" l="1"/>
  <c r="A4"/>
  <c r="C14" i="45"/>
  <c r="C24" s="1"/>
  <c r="C13"/>
  <c r="C23" s="1"/>
  <c r="C12"/>
  <c r="C22" s="1"/>
  <c r="C11"/>
  <c r="C21" s="1"/>
  <c r="D14" l="1"/>
  <c r="D24" s="1"/>
  <c r="D13"/>
  <c r="D23" s="1"/>
  <c r="D12"/>
  <c r="D22" s="1"/>
  <c r="D11"/>
  <c r="D21" s="1"/>
  <c r="A9"/>
  <c r="A19" s="1"/>
  <c r="E11" l="1"/>
  <c r="E21" s="1"/>
  <c r="E12"/>
  <c r="E22" s="1"/>
  <c r="E13"/>
  <c r="E23" s="1"/>
  <c r="E14"/>
  <c r="E24" s="1"/>
  <c r="F14" l="1"/>
  <c r="F24" s="1"/>
  <c r="F13"/>
  <c r="F23" s="1"/>
  <c r="F12"/>
  <c r="F22" s="1"/>
  <c r="F11"/>
  <c r="F21" s="1"/>
  <c r="D9" i="42"/>
  <c r="C9"/>
  <c r="B9"/>
  <c r="D8"/>
  <c r="C8"/>
  <c r="B8"/>
  <c r="D7"/>
  <c r="C7"/>
  <c r="B7"/>
  <c r="D6"/>
  <c r="C6"/>
  <c r="B6"/>
  <c r="D5"/>
  <c r="C5"/>
  <c r="B5"/>
  <c r="C4"/>
  <c r="B4"/>
  <c r="C9" i="43"/>
  <c r="B9"/>
  <c r="C8"/>
  <c r="B8"/>
  <c r="C7"/>
  <c r="B7"/>
  <c r="C6"/>
  <c r="B6"/>
  <c r="D6" s="1"/>
  <c r="C5"/>
  <c r="B5"/>
  <c r="B4"/>
  <c r="B4" i="4"/>
  <c r="C4"/>
  <c r="B5"/>
  <c r="C5"/>
  <c r="B6"/>
  <c r="C6"/>
  <c r="B7"/>
  <c r="C7"/>
  <c r="B8"/>
  <c r="C8"/>
  <c r="B9"/>
  <c r="C9"/>
  <c r="D6"/>
  <c r="D7"/>
  <c r="D8"/>
  <c r="D9"/>
  <c r="D5"/>
  <c r="A9" i="43"/>
  <c r="A8"/>
  <c r="A7"/>
  <c r="A6"/>
  <c r="A5"/>
  <c r="A9" i="42"/>
  <c r="A8"/>
  <c r="A7"/>
  <c r="A6"/>
  <c r="A5"/>
  <c r="D5" i="43" l="1"/>
  <c r="B31" i="29" s="1"/>
  <c r="D9" i="43"/>
  <c r="B72" i="29" s="1"/>
  <c r="E6" i="42"/>
  <c r="B23" i="29" s="1"/>
  <c r="D8" i="43"/>
  <c r="B71" i="29" s="1"/>
  <c r="B69"/>
  <c r="B32"/>
  <c r="G11" i="45"/>
  <c r="G21" s="1"/>
  <c r="G12"/>
  <c r="G22" s="1"/>
  <c r="G13"/>
  <c r="G23" s="1"/>
  <c r="G14"/>
  <c r="G24" s="1"/>
  <c r="E8" i="42"/>
  <c r="E5"/>
  <c r="E9"/>
  <c r="D7" i="43"/>
  <c r="E7" i="42"/>
  <c r="B60" i="29" l="1"/>
  <c r="B35"/>
  <c r="B68"/>
  <c r="B34"/>
  <c r="B25"/>
  <c r="B62"/>
  <c r="B59"/>
  <c r="B22"/>
  <c r="B26"/>
  <c r="B63"/>
  <c r="B24"/>
  <c r="B61"/>
  <c r="B70"/>
  <c r="B33"/>
  <c r="H14" i="45"/>
  <c r="H24" s="1"/>
  <c r="H13"/>
  <c r="H23" s="1"/>
  <c r="H12"/>
  <c r="H22" s="1"/>
  <c r="H11"/>
  <c r="H21" s="1"/>
  <c r="E9" i="4"/>
  <c r="A9"/>
  <c r="E8"/>
  <c r="A8"/>
  <c r="E7"/>
  <c r="A7"/>
  <c r="E6"/>
  <c r="A6"/>
  <c r="E5"/>
  <c r="A5"/>
  <c r="E4"/>
  <c r="A4" i="15"/>
  <c r="A4" i="14"/>
  <c r="A4" i="31"/>
  <c r="A4" i="32"/>
  <c r="A12" i="23"/>
  <c r="A4"/>
  <c r="W13" i="33"/>
  <c r="V13"/>
  <c r="V57" i="29" s="1"/>
  <c r="V48" s="1"/>
  <c r="U13" i="33"/>
  <c r="U57" i="29" s="1"/>
  <c r="U48" s="1"/>
  <c r="T13" i="33"/>
  <c r="T57" i="29" s="1"/>
  <c r="T48" s="1"/>
  <c r="S13" i="33"/>
  <c r="S57" i="29" s="1"/>
  <c r="S48" s="1"/>
  <c r="R13" i="33"/>
  <c r="R57" i="29" s="1"/>
  <c r="R48" s="1"/>
  <c r="Q13" i="33"/>
  <c r="Q57" i="29" s="1"/>
  <c r="Q48" s="1"/>
  <c r="P13" i="33"/>
  <c r="O13"/>
  <c r="O57" i="29" s="1"/>
  <c r="O48" s="1"/>
  <c r="N13" i="33"/>
  <c r="N57" i="29" s="1"/>
  <c r="N48" s="1"/>
  <c r="M13" i="33"/>
  <c r="M57" i="29" s="1"/>
  <c r="M48" s="1"/>
  <c r="L13" i="33"/>
  <c r="L57" i="29" s="1"/>
  <c r="L48" s="1"/>
  <c r="K13" i="33"/>
  <c r="K57" i="29" s="1"/>
  <c r="K48" s="1"/>
  <c r="J13" i="33"/>
  <c r="J57" i="29" s="1"/>
  <c r="J48" s="1"/>
  <c r="I13" i="33"/>
  <c r="I57" i="29" s="1"/>
  <c r="I48" s="1"/>
  <c r="H13" i="33"/>
  <c r="G13"/>
  <c r="G57" i="29" s="1"/>
  <c r="G48" s="1"/>
  <c r="F13" i="33"/>
  <c r="F57" i="29" s="1"/>
  <c r="F48" s="1"/>
  <c r="E13" i="33"/>
  <c r="E57" i="29" s="1"/>
  <c r="E48" s="1"/>
  <c r="D13" i="33"/>
  <c r="D57" i="29" s="1"/>
  <c r="D48" s="1"/>
  <c r="C13" i="33"/>
  <c r="C57" i="29" s="1"/>
  <c r="C48" s="1"/>
  <c r="B13" i="33"/>
  <c r="B57" i="29" s="1"/>
  <c r="B48" s="1"/>
  <c r="A13" i="33"/>
  <c r="A57" i="29" s="1"/>
  <c r="A48" s="1"/>
  <c r="W4" i="33"/>
  <c r="W20" i="29" s="1"/>
  <c r="W11" s="1"/>
  <c r="V4" i="33"/>
  <c r="V20" i="29" s="1"/>
  <c r="V11" s="1"/>
  <c r="U4" i="33"/>
  <c r="U20" i="29" s="1"/>
  <c r="U11" s="1"/>
  <c r="T4" i="33"/>
  <c r="T20" i="29" s="1"/>
  <c r="T11" s="1"/>
  <c r="S4" i="33"/>
  <c r="S20" i="29" s="1"/>
  <c r="S11" s="1"/>
  <c r="R4" i="33"/>
  <c r="R20" i="29" s="1"/>
  <c r="R11" s="1"/>
  <c r="Q4" i="33"/>
  <c r="Q20" i="29" s="1"/>
  <c r="Q11" s="1"/>
  <c r="P4" i="33"/>
  <c r="P20" i="29" s="1"/>
  <c r="P11" s="1"/>
  <c r="O4" i="33"/>
  <c r="O20" i="29" s="1"/>
  <c r="O11" s="1"/>
  <c r="N4" i="33"/>
  <c r="N20" i="29" s="1"/>
  <c r="N11" s="1"/>
  <c r="M4" i="33"/>
  <c r="M20" i="29" s="1"/>
  <c r="M11" s="1"/>
  <c r="L4" i="33"/>
  <c r="L20" i="29" s="1"/>
  <c r="L11" s="1"/>
  <c r="K4" i="33"/>
  <c r="K20" i="29" s="1"/>
  <c r="K11" s="1"/>
  <c r="J4" i="33"/>
  <c r="J20" i="29" s="1"/>
  <c r="J11" s="1"/>
  <c r="I4" i="33"/>
  <c r="I20" i="29" s="1"/>
  <c r="I11" s="1"/>
  <c r="H4" i="33"/>
  <c r="H20" i="29" s="1"/>
  <c r="H11" s="1"/>
  <c r="G4" i="33"/>
  <c r="G20" i="29" s="1"/>
  <c r="G11" s="1"/>
  <c r="F4" i="33"/>
  <c r="F20" i="29" s="1"/>
  <c r="F11" s="1"/>
  <c r="E4" i="33"/>
  <c r="E20" i="29" s="1"/>
  <c r="E11" s="1"/>
  <c r="D4" i="33"/>
  <c r="D20" i="29" s="1"/>
  <c r="D11" s="1"/>
  <c r="C4" i="33"/>
  <c r="C20" i="29" s="1"/>
  <c r="C11" s="1"/>
  <c r="B4" i="33"/>
  <c r="B20" i="29" s="1"/>
  <c r="B11" s="1"/>
  <c r="A4" i="33"/>
  <c r="A20" i="29" s="1"/>
  <c r="A11" s="1"/>
  <c r="W13" i="3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A13" i="21"/>
  <c r="A66" i="29" s="1"/>
  <c r="A4" i="21"/>
  <c r="W62" i="25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W25"/>
  <c r="W75" i="29" s="1"/>
  <c r="V25" i="25"/>
  <c r="V38" i="29" s="1"/>
  <c r="U25" i="25"/>
  <c r="U75" i="29" s="1"/>
  <c r="T25" i="25"/>
  <c r="T38" i="29" s="1"/>
  <c r="S25" i="25"/>
  <c r="R25"/>
  <c r="R38" i="29" s="1"/>
  <c r="Q25" i="25"/>
  <c r="P25"/>
  <c r="O25"/>
  <c r="O75" i="29" s="1"/>
  <c r="N25" i="25"/>
  <c r="M25"/>
  <c r="L25"/>
  <c r="L75" i="29" s="1"/>
  <c r="K25" i="25"/>
  <c r="K38" i="29" s="1"/>
  <c r="J25" i="25"/>
  <c r="J75" i="29" s="1"/>
  <c r="I25" i="25"/>
  <c r="H25"/>
  <c r="G25"/>
  <c r="G75" i="29" s="1"/>
  <c r="F25" i="25"/>
  <c r="F75" i="29" s="1"/>
  <c r="E25" i="25"/>
  <c r="D25"/>
  <c r="D38" i="29" s="1"/>
  <c r="C25" i="25"/>
  <c r="B25"/>
  <c r="B75" i="29" s="1"/>
  <c r="A25" i="25"/>
  <c r="A75" i="29" s="1"/>
  <c r="W16" i="25"/>
  <c r="W4" s="1"/>
  <c r="V16"/>
  <c r="V4" s="1"/>
  <c r="U16"/>
  <c r="U4" s="1"/>
  <c r="T16"/>
  <c r="T4" s="1"/>
  <c r="S16"/>
  <c r="S4" s="1"/>
  <c r="R16"/>
  <c r="R4" s="1"/>
  <c r="Q16"/>
  <c r="Q4" s="1"/>
  <c r="P16"/>
  <c r="P4" s="1"/>
  <c r="O16"/>
  <c r="O4" s="1"/>
  <c r="N16"/>
  <c r="N4" s="1"/>
  <c r="N5" s="1"/>
  <c r="M16"/>
  <c r="M4" s="1"/>
  <c r="L16"/>
  <c r="L4" s="1"/>
  <c r="K16"/>
  <c r="K4" s="1"/>
  <c r="J16"/>
  <c r="J4" s="1"/>
  <c r="I16"/>
  <c r="I4" s="1"/>
  <c r="H16"/>
  <c r="H4" s="1"/>
  <c r="G16"/>
  <c r="G4" s="1"/>
  <c r="G5" s="1"/>
  <c r="F16"/>
  <c r="F4" s="1"/>
  <c r="E16"/>
  <c r="E4" s="1"/>
  <c r="D16"/>
  <c r="D4" s="1"/>
  <c r="C16"/>
  <c r="C4" s="1"/>
  <c r="B16"/>
  <c r="B4" s="1"/>
  <c r="A16"/>
  <c r="W66" i="29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W57"/>
  <c r="W48" s="1"/>
  <c r="P57"/>
  <c r="P48" s="1"/>
  <c r="H57"/>
  <c r="H48" s="1"/>
  <c r="A4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W4" i="15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4" i="14" s="1"/>
  <c r="B12" i="46" s="1"/>
  <c r="A3" i="16"/>
  <c r="A29" i="29" l="1"/>
  <c r="A13" i="45"/>
  <c r="A23" s="1"/>
  <c r="A8" i="46"/>
  <c r="B24" i="40" s="1"/>
  <c r="A16" i="46"/>
  <c r="B32" i="40" s="1"/>
  <c r="A12" i="45"/>
  <c r="A22" s="1"/>
  <c r="A15" i="46"/>
  <c r="B31" i="40" s="1"/>
  <c r="A7" i="46"/>
  <c r="B23" i="40" s="1"/>
  <c r="A10" i="45"/>
  <c r="A20" s="1"/>
  <c r="A13" i="46"/>
  <c r="B29" i="40" s="1"/>
  <c r="A5" i="46"/>
  <c r="B21" i="40" s="1"/>
  <c r="A11" i="45"/>
  <c r="A21" s="1"/>
  <c r="A14" i="46"/>
  <c r="B30" i="40" s="1"/>
  <c r="A6" i="46"/>
  <c r="B22" i="40" s="1"/>
  <c r="A14" i="45"/>
  <c r="A24" s="1"/>
  <c r="A9" i="46"/>
  <c r="B25" i="40" s="1"/>
  <c r="A17" i="46"/>
  <c r="B33" i="40" s="1"/>
  <c r="A21" i="25"/>
  <c r="A34" i="29" s="1"/>
  <c r="B21"/>
  <c r="A38"/>
  <c r="I11" i="45"/>
  <c r="I21" s="1"/>
  <c r="I12"/>
  <c r="I22" s="1"/>
  <c r="I13"/>
  <c r="I23" s="1"/>
  <c r="I14"/>
  <c r="I24" s="1"/>
  <c r="B4" i="31"/>
  <c r="B4" i="23" s="1"/>
  <c r="B12"/>
  <c r="L5" i="15"/>
  <c r="E5"/>
  <c r="E5" i="14" s="1"/>
  <c r="E5" i="31" s="1"/>
  <c r="M5" i="15"/>
  <c r="U5"/>
  <c r="U5" i="14" s="1"/>
  <c r="U5" i="31" s="1"/>
  <c r="V4" i="14"/>
  <c r="V4" i="31" s="1"/>
  <c r="P4" i="14"/>
  <c r="P12" i="46" s="1"/>
  <c r="I4" i="14"/>
  <c r="Q4"/>
  <c r="Q12" i="46" s="1"/>
  <c r="G4" i="14"/>
  <c r="J4"/>
  <c r="J12" i="46" s="1"/>
  <c r="R4" i="14"/>
  <c r="U4"/>
  <c r="F4"/>
  <c r="H4"/>
  <c r="M10" i="25"/>
  <c r="B38" i="29"/>
  <c r="U38"/>
  <c r="T10" i="25"/>
  <c r="B5"/>
  <c r="J38" i="29"/>
  <c r="A49" i="25"/>
  <c r="A6" i="15"/>
  <c r="A20" i="25"/>
  <c r="A33" i="29" s="1"/>
  <c r="A58" i="25"/>
  <c r="A67"/>
  <c r="I5" i="15"/>
  <c r="I5" i="14" s="1"/>
  <c r="I5" i="31" s="1"/>
  <c r="A18" i="21"/>
  <c r="A18" i="34" s="1"/>
  <c r="A7" i="21"/>
  <c r="A7" i="33" s="1"/>
  <c r="A23" i="29" s="1"/>
  <c r="A14" s="1"/>
  <c r="A8" i="23"/>
  <c r="B8" i="40" s="1"/>
  <c r="A16" i="23"/>
  <c r="A30" i="25"/>
  <c r="A43" i="29" s="1"/>
  <c r="A19" i="25"/>
  <c r="A32" i="29" s="1"/>
  <c r="A40" i="25"/>
  <c r="A9" i="21"/>
  <c r="A9" i="33" s="1"/>
  <c r="A25" i="29" s="1"/>
  <c r="A16" s="1"/>
  <c r="A15" i="23"/>
  <c r="A16" i="21"/>
  <c r="A69" i="29" s="1"/>
  <c r="J5" i="15"/>
  <c r="J5" i="14" s="1"/>
  <c r="J5" i="31" s="1"/>
  <c r="Q5" i="15"/>
  <c r="Q5" i="14" s="1"/>
  <c r="Q5" i="31" s="1"/>
  <c r="G38" i="29"/>
  <c r="F38"/>
  <c r="A28" i="25"/>
  <c r="A38"/>
  <c r="A6" i="23"/>
  <c r="A6" i="14"/>
  <c r="A56" i="25"/>
  <c r="A14" i="23"/>
  <c r="A47" i="25"/>
  <c r="R75" i="29"/>
  <c r="A65" i="25"/>
  <c r="O38" i="29"/>
  <c r="W38"/>
  <c r="V75"/>
  <c r="D5" i="15"/>
  <c r="D5" i="14" s="1"/>
  <c r="D5" i="31" s="1"/>
  <c r="U5" i="25"/>
  <c r="U10"/>
  <c r="K75" i="29"/>
  <c r="A41" i="25"/>
  <c r="L38" i="29"/>
  <c r="N4" i="14"/>
  <c r="A9"/>
  <c r="D5" i="25"/>
  <c r="F10"/>
  <c r="R5" i="15"/>
  <c r="R5" i="14" s="1"/>
  <c r="R5" i="31" s="1"/>
  <c r="R10" i="25"/>
  <c r="B5" i="15"/>
  <c r="T5"/>
  <c r="T5" i="14" s="1"/>
  <c r="T5" i="31" s="1"/>
  <c r="J5" i="25"/>
  <c r="J10"/>
  <c r="D4" i="14"/>
  <c r="L4"/>
  <c r="L12" i="46" s="1"/>
  <c r="T4" i="14"/>
  <c r="A15" i="21"/>
  <c r="A27" i="25"/>
  <c r="A18"/>
  <c r="A31" i="29" s="1"/>
  <c r="A5" i="15"/>
  <c r="A5" i="14"/>
  <c r="A5" i="23"/>
  <c r="B5" i="40" s="1"/>
  <c r="A64" i="25"/>
  <c r="A13" i="23"/>
  <c r="A46" i="25"/>
  <c r="A17" i="23"/>
  <c r="A22" i="25"/>
  <c r="A35" i="29" s="1"/>
  <c r="A10" i="21"/>
  <c r="A10" i="33" s="1"/>
  <c r="A26" i="29" s="1"/>
  <c r="A17" s="1"/>
  <c r="A19" i="21"/>
  <c r="A68" i="25"/>
  <c r="A59"/>
  <c r="A9" i="15"/>
  <c r="A9" i="23"/>
  <c r="W4" i="14"/>
  <c r="D75" i="29"/>
  <c r="R5" i="25"/>
  <c r="B10"/>
  <c r="C75" i="29"/>
  <c r="C38"/>
  <c r="S75"/>
  <c r="S38"/>
  <c r="A55" i="25"/>
  <c r="A50"/>
  <c r="F5"/>
  <c r="O4" i="14"/>
  <c r="I38" i="29"/>
  <c r="I75"/>
  <c r="A6" i="21"/>
  <c r="A6" i="33" s="1"/>
  <c r="A22" i="29" s="1"/>
  <c r="A13" s="1"/>
  <c r="A37" i="25"/>
  <c r="A7" i="23"/>
  <c r="A57" i="25"/>
  <c r="A48"/>
  <c r="A39"/>
  <c r="A29"/>
  <c r="A17" i="21"/>
  <c r="A17" i="33" s="1"/>
  <c r="A61" i="29" s="1"/>
  <c r="A52" s="1"/>
  <c r="V10" i="25"/>
  <c r="A66"/>
  <c r="T75" i="29"/>
  <c r="Q10" i="25"/>
  <c r="P75" i="29"/>
  <c r="P38"/>
  <c r="A31" i="25"/>
  <c r="M4" i="14"/>
  <c r="E4"/>
  <c r="W10" i="25"/>
  <c r="W5"/>
  <c r="G10"/>
  <c r="H75" i="29"/>
  <c r="H38"/>
  <c r="U8" i="15"/>
  <c r="U8" i="14" s="1"/>
  <c r="O8" i="15"/>
  <c r="O8" i="14" s="1"/>
  <c r="H8" i="15"/>
  <c r="H8" i="14" s="1"/>
  <c r="T8" i="15"/>
  <c r="T8" i="14" s="1"/>
  <c r="P8" i="15"/>
  <c r="P8" i="14" s="1"/>
  <c r="G8" i="15"/>
  <c r="G8" i="14" s="1"/>
  <c r="E5" i="25"/>
  <c r="E10"/>
  <c r="Q5"/>
  <c r="H10"/>
  <c r="H5"/>
  <c r="I10"/>
  <c r="I5"/>
  <c r="P5"/>
  <c r="P10"/>
  <c r="L5"/>
  <c r="L10"/>
  <c r="T5"/>
  <c r="O10"/>
  <c r="T9" i="15"/>
  <c r="T9" i="14" s="1"/>
  <c r="L9" i="15"/>
  <c r="L9" i="14" s="1"/>
  <c r="D9" i="15"/>
  <c r="D9" i="14" s="1"/>
  <c r="S9" i="15"/>
  <c r="S9" i="14" s="1"/>
  <c r="K9" i="15"/>
  <c r="K9" i="14" s="1"/>
  <c r="C9" i="15"/>
  <c r="C9" i="14" s="1"/>
  <c r="R9" i="15"/>
  <c r="R9" i="14" s="1"/>
  <c r="J9" i="15"/>
  <c r="J9" i="14" s="1"/>
  <c r="B9" i="15"/>
  <c r="W9"/>
  <c r="W9" i="14" s="1"/>
  <c r="O9" i="15"/>
  <c r="O9" i="14" s="1"/>
  <c r="G9" i="15"/>
  <c r="G9" i="14" s="1"/>
  <c r="M9" i="15"/>
  <c r="M9" i="14" s="1"/>
  <c r="I9" i="15"/>
  <c r="I9" i="14" s="1"/>
  <c r="I9" i="31" s="1"/>
  <c r="H9" i="15"/>
  <c r="H9" i="14" s="1"/>
  <c r="F9" i="15"/>
  <c r="F9" i="14" s="1"/>
  <c r="E9" i="15"/>
  <c r="E9" i="14" s="1"/>
  <c r="Q9" i="15"/>
  <c r="Q9" i="14" s="1"/>
  <c r="Q9" i="31" s="1"/>
  <c r="V9" i="15"/>
  <c r="V9" i="14" s="1"/>
  <c r="U9" i="15"/>
  <c r="U9" i="14" s="1"/>
  <c r="P9" i="15"/>
  <c r="P9" i="14" s="1"/>
  <c r="N9" i="15"/>
  <c r="N9" i="14" s="1"/>
  <c r="S10" i="25"/>
  <c r="S5"/>
  <c r="E75" i="29"/>
  <c r="E38"/>
  <c r="M38"/>
  <c r="M75"/>
  <c r="O5" i="25"/>
  <c r="C10"/>
  <c r="C5"/>
  <c r="K10"/>
  <c r="K5"/>
  <c r="D10"/>
  <c r="N38" i="29"/>
  <c r="N75"/>
  <c r="N10" i="25"/>
  <c r="V5"/>
  <c r="Q38" i="29"/>
  <c r="Q75"/>
  <c r="C4" i="14"/>
  <c r="S4"/>
  <c r="M5" i="25"/>
  <c r="K4" i="14"/>
  <c r="A8" i="15"/>
  <c r="A7"/>
  <c r="A8" i="21"/>
  <c r="S8" i="15"/>
  <c r="S8" i="14" s="1"/>
  <c r="K8" i="15"/>
  <c r="K8" i="14" s="1"/>
  <c r="C8" i="15"/>
  <c r="C8" i="14" s="1"/>
  <c r="R8" i="15"/>
  <c r="R8" i="14" s="1"/>
  <c r="J8" i="15"/>
  <c r="J8" i="14" s="1"/>
  <c r="B8" i="15"/>
  <c r="Q8"/>
  <c r="Q8" i="14" s="1"/>
  <c r="Q8" i="31" s="1"/>
  <c r="I8" i="15"/>
  <c r="I8" i="14" s="1"/>
  <c r="I8" i="31" s="1"/>
  <c r="V8" i="15"/>
  <c r="V8" i="14" s="1"/>
  <c r="N8" i="15"/>
  <c r="N8" i="14" s="1"/>
  <c r="F8" i="15"/>
  <c r="F8" i="14" s="1"/>
  <c r="M8" i="15"/>
  <c r="M8" i="14" s="1"/>
  <c r="L8" i="15"/>
  <c r="L8" i="14" s="1"/>
  <c r="A7"/>
  <c r="A8"/>
  <c r="D8" i="15"/>
  <c r="D8" i="14" s="1"/>
  <c r="W8" i="15"/>
  <c r="W8" i="14" s="1"/>
  <c r="E8" i="15"/>
  <c r="E8" i="14" s="1"/>
  <c r="P5" i="15"/>
  <c r="P5" i="14" s="1"/>
  <c r="P5" i="31" s="1"/>
  <c r="H5" i="15"/>
  <c r="H5" i="14" s="1"/>
  <c r="H5" i="31" s="1"/>
  <c r="W5" i="15"/>
  <c r="W5" i="14" s="1"/>
  <c r="W5" i="31" s="1"/>
  <c r="O5" i="15"/>
  <c r="O5" i="14" s="1"/>
  <c r="O5" i="31" s="1"/>
  <c r="G5" i="15"/>
  <c r="G5" i="14" s="1"/>
  <c r="G5" i="31" s="1"/>
  <c r="V5" i="15"/>
  <c r="V5" i="14" s="1"/>
  <c r="V5" i="31" s="1"/>
  <c r="N5" i="15"/>
  <c r="N5" i="14" s="1"/>
  <c r="N5" i="31" s="1"/>
  <c r="F5" i="15"/>
  <c r="F5" i="14" s="1"/>
  <c r="F5" i="31" s="1"/>
  <c r="S5" i="15"/>
  <c r="S5" i="14" s="1"/>
  <c r="S5" i="31" s="1"/>
  <c r="K5" i="15"/>
  <c r="K5" i="14" s="1"/>
  <c r="K5" i="31" s="1"/>
  <c r="C5" i="15"/>
  <c r="C5" i="14" s="1"/>
  <c r="C5" i="31" s="1"/>
  <c r="E8" l="1"/>
  <c r="E9"/>
  <c r="T9"/>
  <c r="T8"/>
  <c r="J8"/>
  <c r="J9"/>
  <c r="D8"/>
  <c r="R8"/>
  <c r="R9"/>
  <c r="D9"/>
  <c r="U8"/>
  <c r="U9"/>
  <c r="W8"/>
  <c r="F8"/>
  <c r="V8"/>
  <c r="C8"/>
  <c r="S8"/>
  <c r="N9"/>
  <c r="F9"/>
  <c r="G9"/>
  <c r="W9"/>
  <c r="C9"/>
  <c r="S9"/>
  <c r="P8"/>
  <c r="H8"/>
  <c r="N8"/>
  <c r="K8"/>
  <c r="P9"/>
  <c r="V9"/>
  <c r="H9"/>
  <c r="O9"/>
  <c r="K9"/>
  <c r="G8"/>
  <c r="O8"/>
  <c r="L5" i="14"/>
  <c r="L5" i="31" s="1"/>
  <c r="B8" i="14"/>
  <c r="B9"/>
  <c r="M5"/>
  <c r="M5" i="31" s="1"/>
  <c r="B5" i="14"/>
  <c r="B5" i="31" s="1"/>
  <c r="J13" i="45"/>
  <c r="J23" s="1"/>
  <c r="J14"/>
  <c r="J24" s="1"/>
  <c r="J12"/>
  <c r="J22" s="1"/>
  <c r="J11"/>
  <c r="J21" s="1"/>
  <c r="V4" i="46"/>
  <c r="U12" i="23"/>
  <c r="U12" i="46"/>
  <c r="R12" i="23"/>
  <c r="R12" i="46"/>
  <c r="O12" i="23"/>
  <c r="O12" i="46"/>
  <c r="G12" i="23"/>
  <c r="G12" i="46"/>
  <c r="M12" i="23"/>
  <c r="M12" i="46"/>
  <c r="D12" i="23"/>
  <c r="D12" i="46"/>
  <c r="S12" i="23"/>
  <c r="S12" i="46"/>
  <c r="N12" i="23"/>
  <c r="N12" i="46"/>
  <c r="C12" i="23"/>
  <c r="C12" i="46"/>
  <c r="E12" i="23"/>
  <c r="E12" i="46"/>
  <c r="I12" i="23"/>
  <c r="I12" i="46"/>
  <c r="K12" i="23"/>
  <c r="K12" i="46"/>
  <c r="W12" i="23"/>
  <c r="W12" i="46"/>
  <c r="T12" i="23"/>
  <c r="T12" i="46"/>
  <c r="H12" i="23"/>
  <c r="H12" i="46"/>
  <c r="B4"/>
  <c r="F12" i="23"/>
  <c r="F12" i="46"/>
  <c r="V12" i="23"/>
  <c r="V12" i="46"/>
  <c r="G4" i="31"/>
  <c r="U4"/>
  <c r="U4" i="23" s="1"/>
  <c r="A7" i="34"/>
  <c r="L4" i="31"/>
  <c r="L12" i="23"/>
  <c r="J4" i="31"/>
  <c r="J12" i="23"/>
  <c r="Q4" i="31"/>
  <c r="Q12" i="23"/>
  <c r="P4" i="31"/>
  <c r="P12" i="23"/>
  <c r="F4" i="31"/>
  <c r="H4"/>
  <c r="I4"/>
  <c r="R4"/>
  <c r="A16" i="34"/>
  <c r="A18" i="33"/>
  <c r="A62" i="29" s="1"/>
  <c r="A53" s="1"/>
  <c r="A71"/>
  <c r="A16" i="33"/>
  <c r="A60" i="29" s="1"/>
  <c r="A51" s="1"/>
  <c r="A70"/>
  <c r="A9" i="34"/>
  <c r="A80" i="29"/>
  <c r="B13" i="40"/>
  <c r="B14"/>
  <c r="B16"/>
  <c r="B15"/>
  <c r="B17"/>
  <c r="A5" i="32"/>
  <c r="A5" i="31" s="1"/>
  <c r="A8" i="32"/>
  <c r="A8" i="31" s="1"/>
  <c r="B4" i="32"/>
  <c r="A17" i="34"/>
  <c r="V4" i="23"/>
  <c r="A6" i="32"/>
  <c r="A6" i="31" s="1"/>
  <c r="B6" i="40"/>
  <c r="A78" i="29"/>
  <c r="A41"/>
  <c r="N4" i="31"/>
  <c r="A6" i="34"/>
  <c r="A10"/>
  <c r="A72" i="29"/>
  <c r="A19" i="34"/>
  <c r="A19" i="33"/>
  <c r="A63" i="29" s="1"/>
  <c r="A54" s="1"/>
  <c r="D4" i="31"/>
  <c r="M4"/>
  <c r="W4"/>
  <c r="A77" i="29"/>
  <c r="A40"/>
  <c r="A81"/>
  <c r="A44"/>
  <c r="O4" i="31"/>
  <c r="A9" i="32"/>
  <c r="A9" i="31" s="1"/>
  <c r="B9" i="40"/>
  <c r="A15" i="33"/>
  <c r="A59" i="29" s="1"/>
  <c r="A50" s="1"/>
  <c r="A68"/>
  <c r="A67" s="1"/>
  <c r="A15" i="34"/>
  <c r="T4" i="31"/>
  <c r="E4"/>
  <c r="A7" i="32"/>
  <c r="A7" i="31" s="1"/>
  <c r="B7" i="40"/>
  <c r="A79" i="29"/>
  <c r="A42"/>
  <c r="K4" i="31"/>
  <c r="A8" i="34"/>
  <c r="A8" i="33"/>
  <c r="A24" i="29" s="1"/>
  <c r="A15" s="1"/>
  <c r="Q6" i="15"/>
  <c r="Q6" i="14" s="1"/>
  <c r="Q6" i="31" s="1"/>
  <c r="I6" i="15"/>
  <c r="I6" i="14" s="1"/>
  <c r="I6" i="31" s="1"/>
  <c r="P6" i="15"/>
  <c r="P6" i="14" s="1"/>
  <c r="P6" i="31" s="1"/>
  <c r="H6" i="15"/>
  <c r="H6" i="14" s="1"/>
  <c r="H6" i="31" s="1"/>
  <c r="W6" i="15"/>
  <c r="W6" i="14" s="1"/>
  <c r="W6" i="31" s="1"/>
  <c r="O6" i="15"/>
  <c r="O6" i="14" s="1"/>
  <c r="O6" i="31" s="1"/>
  <c r="G6" i="15"/>
  <c r="G6" i="14" s="1"/>
  <c r="G6" i="31" s="1"/>
  <c r="T6" i="15"/>
  <c r="T6" i="14" s="1"/>
  <c r="T6" i="31" s="1"/>
  <c r="L6" i="15"/>
  <c r="L6" i="14" s="1"/>
  <c r="D6" i="15"/>
  <c r="D6" i="14" s="1"/>
  <c r="D6" i="31" s="1"/>
  <c r="S6" i="15"/>
  <c r="S6" i="14" s="1"/>
  <c r="S6" i="31" s="1"/>
  <c r="C6" i="15"/>
  <c r="C6" i="14" s="1"/>
  <c r="C6" i="31" s="1"/>
  <c r="R6" i="15"/>
  <c r="R6" i="14" s="1"/>
  <c r="R6" i="31" s="1"/>
  <c r="B6" i="15"/>
  <c r="M6"/>
  <c r="M6" i="14" s="1"/>
  <c r="M6" i="31" s="1"/>
  <c r="K6" i="15"/>
  <c r="K6" i="14" s="1"/>
  <c r="K6" i="31" s="1"/>
  <c r="J6" i="15"/>
  <c r="J6" i="14" s="1"/>
  <c r="J6" i="31" s="1"/>
  <c r="V6" i="15"/>
  <c r="V6" i="14" s="1"/>
  <c r="V6" i="31" s="1"/>
  <c r="N6" i="15"/>
  <c r="N6" i="14" s="1"/>
  <c r="N6" i="31" s="1"/>
  <c r="U6" i="15"/>
  <c r="U6" i="14" s="1"/>
  <c r="U6" i="31" s="1"/>
  <c r="F6" i="15"/>
  <c r="F6" i="14" s="1"/>
  <c r="F6" i="31" s="1"/>
  <c r="E6" i="15"/>
  <c r="E6" i="14" s="1"/>
  <c r="E6" i="31" s="1"/>
  <c r="S4"/>
  <c r="R7" i="15"/>
  <c r="R7" i="14" s="1"/>
  <c r="R7" i="31" s="1"/>
  <c r="J7" i="15"/>
  <c r="J7" i="14" s="1"/>
  <c r="J7" i="31" s="1"/>
  <c r="B7" i="15"/>
  <c r="Q7"/>
  <c r="Q7" i="14" s="1"/>
  <c r="Q7" i="31" s="1"/>
  <c r="I7" i="15"/>
  <c r="I7" i="14" s="1"/>
  <c r="I7" i="31" s="1"/>
  <c r="P7" i="15"/>
  <c r="P7" i="14" s="1"/>
  <c r="P7" i="31" s="1"/>
  <c r="H7" i="15"/>
  <c r="H7" i="14" s="1"/>
  <c r="H7" i="31" s="1"/>
  <c r="U7" i="15"/>
  <c r="U7" i="14" s="1"/>
  <c r="U7" i="31" s="1"/>
  <c r="M7" i="15"/>
  <c r="M7" i="14" s="1"/>
  <c r="E7" i="15"/>
  <c r="E7" i="14" s="1"/>
  <c r="E7" i="31" s="1"/>
  <c r="T7" i="15"/>
  <c r="T7" i="14" s="1"/>
  <c r="T7" i="31" s="1"/>
  <c r="D7" i="15"/>
  <c r="D7" i="14" s="1"/>
  <c r="D7" i="31" s="1"/>
  <c r="S7" i="15"/>
  <c r="S7" i="14" s="1"/>
  <c r="S7" i="31" s="1"/>
  <c r="C7" i="15"/>
  <c r="C7" i="14" s="1"/>
  <c r="C7" i="31" s="1"/>
  <c r="F7" i="15"/>
  <c r="F7" i="14" s="1"/>
  <c r="F7" i="31" s="1"/>
  <c r="W7" i="15"/>
  <c r="W7" i="14" s="1"/>
  <c r="W7" i="31" s="1"/>
  <c r="V7" i="15"/>
  <c r="V7" i="14" s="1"/>
  <c r="V7" i="31" s="1"/>
  <c r="L7" i="15"/>
  <c r="L7" i="14" s="1"/>
  <c r="N7" i="15"/>
  <c r="N7" i="14" s="1"/>
  <c r="N7" i="31" s="1"/>
  <c r="O7" i="15"/>
  <c r="O7" i="14" s="1"/>
  <c r="O7" i="31" s="1"/>
  <c r="K7" i="15"/>
  <c r="K7" i="14" s="1"/>
  <c r="K7" i="31" s="1"/>
  <c r="G7" i="15"/>
  <c r="G7" i="14" s="1"/>
  <c r="G7" i="31" s="1"/>
  <c r="C4"/>
  <c r="M7" l="1"/>
  <c r="L7"/>
  <c r="L6"/>
  <c r="B8"/>
  <c r="M9"/>
  <c r="M8"/>
  <c r="L8"/>
  <c r="B9"/>
  <c r="L9"/>
  <c r="B7" i="14"/>
  <c r="B7" i="31" s="1"/>
  <c r="B6" i="14"/>
  <c r="B6" i="31" s="1"/>
  <c r="K11" i="45"/>
  <c r="K21" s="1"/>
  <c r="K12"/>
  <c r="K22" s="1"/>
  <c r="K14"/>
  <c r="K13"/>
  <c r="W4" i="46"/>
  <c r="I4"/>
  <c r="Q4" i="23"/>
  <c r="Q4" i="32" s="1"/>
  <c r="Q4" i="46"/>
  <c r="J4"/>
  <c r="U4"/>
  <c r="E4"/>
  <c r="G4"/>
  <c r="K4"/>
  <c r="G4" i="23"/>
  <c r="G4" i="32" s="1"/>
  <c r="F4" i="46"/>
  <c r="L4"/>
  <c r="C4"/>
  <c r="S4"/>
  <c r="T4"/>
  <c r="H4"/>
  <c r="O4"/>
  <c r="M4"/>
  <c r="N4"/>
  <c r="P4"/>
  <c r="R4"/>
  <c r="D4"/>
  <c r="P4" i="23"/>
  <c r="L4"/>
  <c r="L4" i="32" s="1"/>
  <c r="I4" i="23"/>
  <c r="I4" i="32" s="1"/>
  <c r="R4" i="23"/>
  <c r="R4" i="32" s="1"/>
  <c r="J4" i="23"/>
  <c r="H4"/>
  <c r="H4" i="32" s="1"/>
  <c r="F4" i="23"/>
  <c r="F4" i="32" s="1"/>
  <c r="V4"/>
  <c r="U4"/>
  <c r="S4" i="23"/>
  <c r="W4"/>
  <c r="D4"/>
  <c r="E4"/>
  <c r="O4"/>
  <c r="C4"/>
  <c r="T4"/>
  <c r="M4"/>
  <c r="K4"/>
  <c r="N4"/>
  <c r="B13" i="14" l="1"/>
  <c r="K24" i="45"/>
  <c r="K23"/>
  <c r="P4" i="32"/>
  <c r="L13" i="45"/>
  <c r="L14"/>
  <c r="L12"/>
  <c r="L11"/>
  <c r="J4" i="32"/>
  <c r="I13" i="14"/>
  <c r="I16" i="23" s="1"/>
  <c r="O13" i="14"/>
  <c r="O17" i="23" s="1"/>
  <c r="R13" i="14"/>
  <c r="R15" i="23" s="1"/>
  <c r="N13" i="14"/>
  <c r="N16" i="23" s="1"/>
  <c r="H13" i="14"/>
  <c r="H17" i="23" s="1"/>
  <c r="V13" i="14"/>
  <c r="V15" i="23" s="1"/>
  <c r="W13" i="14"/>
  <c r="W16" i="23" s="1"/>
  <c r="P13" i="14"/>
  <c r="P13" i="23" s="1"/>
  <c r="C13" i="14"/>
  <c r="C15" i="23" s="1"/>
  <c r="C17" i="33" s="1"/>
  <c r="C61" i="29" s="1"/>
  <c r="T13" i="14"/>
  <c r="M13"/>
  <c r="M15" i="23" s="1"/>
  <c r="Q13" i="14"/>
  <c r="D7" i="32"/>
  <c r="D7" i="23" s="1"/>
  <c r="D13" i="14"/>
  <c r="U13"/>
  <c r="U14" i="23" s="1"/>
  <c r="S13" i="14"/>
  <c r="S15" i="23" s="1"/>
  <c r="L13" i="14"/>
  <c r="L15" i="23" s="1"/>
  <c r="F13" i="14"/>
  <c r="F14" i="23" s="1"/>
  <c r="K13" i="14"/>
  <c r="K15" i="23" s="1"/>
  <c r="J13" i="14"/>
  <c r="J14" i="23" s="1"/>
  <c r="E13" i="14"/>
  <c r="E15" i="23" s="1"/>
  <c r="F6" i="32"/>
  <c r="F6" i="23" s="1"/>
  <c r="G13" i="14"/>
  <c r="G15" i="23" s="1"/>
  <c r="E4" i="32"/>
  <c r="T4"/>
  <c r="N4"/>
  <c r="C4"/>
  <c r="D4"/>
  <c r="S4"/>
  <c r="K4"/>
  <c r="O4"/>
  <c r="W4"/>
  <c r="M4"/>
  <c r="B9"/>
  <c r="B9" i="23" s="1"/>
  <c r="B7" i="32"/>
  <c r="B7" i="23" s="1"/>
  <c r="B5" i="32"/>
  <c r="B5" i="23" s="1"/>
  <c r="B6" i="32"/>
  <c r="B6" i="23" s="1"/>
  <c r="B8" i="32"/>
  <c r="B8" i="23" s="1"/>
  <c r="L23" i="45" l="1"/>
  <c r="L21"/>
  <c r="L22"/>
  <c r="L24"/>
  <c r="M14"/>
  <c r="M11"/>
  <c r="M13"/>
  <c r="M12"/>
  <c r="C7" i="32"/>
  <c r="C7" i="23" s="1"/>
  <c r="C8" i="33" s="1"/>
  <c r="C24" i="29" s="1"/>
  <c r="C9" i="40"/>
  <c r="C5"/>
  <c r="C7"/>
  <c r="C8"/>
  <c r="C6"/>
  <c r="C17" i="23"/>
  <c r="C19" i="33" s="1"/>
  <c r="C63" i="29" s="1"/>
  <c r="C16" i="23"/>
  <c r="C18" i="33" s="1"/>
  <c r="C62" i="29" s="1"/>
  <c r="C13" i="23"/>
  <c r="C15" i="33" s="1"/>
  <c r="C59" i="29" s="1"/>
  <c r="C14" i="23"/>
  <c r="C16" i="33" s="1"/>
  <c r="C60" i="29" s="1"/>
  <c r="O14" i="23"/>
  <c r="O15"/>
  <c r="R17"/>
  <c r="P14"/>
  <c r="O13"/>
  <c r="C8" i="32"/>
  <c r="C8" i="23" s="1"/>
  <c r="C5" i="32"/>
  <c r="C5" i="23" s="1"/>
  <c r="I13"/>
  <c r="I17"/>
  <c r="I15"/>
  <c r="I14"/>
  <c r="P17"/>
  <c r="N17"/>
  <c r="R14"/>
  <c r="O16"/>
  <c r="R13"/>
  <c r="C6" i="32"/>
  <c r="C6" i="23" s="1"/>
  <c r="C7" i="33" s="1"/>
  <c r="C23" i="29" s="1"/>
  <c r="R16" i="23"/>
  <c r="C9" i="32"/>
  <c r="C9" i="23" s="1"/>
  <c r="C10" i="33" s="1"/>
  <c r="C26" i="29" s="1"/>
  <c r="N13" i="23"/>
  <c r="E8" i="32"/>
  <c r="E8" i="23" s="1"/>
  <c r="D8" i="32"/>
  <c r="D8" i="23" s="1"/>
  <c r="F15"/>
  <c r="V17"/>
  <c r="H13"/>
  <c r="D9" i="32"/>
  <c r="D9" i="23" s="1"/>
  <c r="U15"/>
  <c r="N15"/>
  <c r="H16"/>
  <c r="V13"/>
  <c r="H14"/>
  <c r="N14"/>
  <c r="H15"/>
  <c r="V16"/>
  <c r="V14"/>
  <c r="P15"/>
  <c r="P16"/>
  <c r="W15"/>
  <c r="F7" i="32"/>
  <c r="F7" i="23" s="1"/>
  <c r="D5" i="32"/>
  <c r="D5" i="23" s="1"/>
  <c r="W13"/>
  <c r="F9" i="32"/>
  <c r="F9" i="23" s="1"/>
  <c r="D6" i="32"/>
  <c r="D6" i="23" s="1"/>
  <c r="W14"/>
  <c r="W17"/>
  <c r="E5" i="32"/>
  <c r="E5" i="23" s="1"/>
  <c r="K14"/>
  <c r="E7" i="32"/>
  <c r="E7" i="23" s="1"/>
  <c r="E6" i="32"/>
  <c r="E6" i="23" s="1"/>
  <c r="E9" i="32"/>
  <c r="E9" i="23" s="1"/>
  <c r="D16"/>
  <c r="D13"/>
  <c r="D17"/>
  <c r="Q17"/>
  <c r="Q13"/>
  <c r="Q16"/>
  <c r="G17"/>
  <c r="G16"/>
  <c r="G13"/>
  <c r="K17"/>
  <c r="K16"/>
  <c r="K13"/>
  <c r="G14"/>
  <c r="T13"/>
  <c r="T17"/>
  <c r="T16"/>
  <c r="L13"/>
  <c r="L17"/>
  <c r="L16"/>
  <c r="E13"/>
  <c r="E17"/>
  <c r="E16"/>
  <c r="Q15"/>
  <c r="F13"/>
  <c r="F16"/>
  <c r="F17"/>
  <c r="S13"/>
  <c r="S17"/>
  <c r="S16"/>
  <c r="D15"/>
  <c r="T15"/>
  <c r="D14"/>
  <c r="M14"/>
  <c r="F5" i="32"/>
  <c r="F5" i="23" s="1"/>
  <c r="E14"/>
  <c r="M13"/>
  <c r="M16"/>
  <c r="M17"/>
  <c r="J16"/>
  <c r="J17"/>
  <c r="J13"/>
  <c r="L14"/>
  <c r="Q14"/>
  <c r="F8" i="32"/>
  <c r="F8" i="23" s="1"/>
  <c r="S14"/>
  <c r="U13"/>
  <c r="U17"/>
  <c r="U16"/>
  <c r="J15"/>
  <c r="T14"/>
  <c r="G8" i="32"/>
  <c r="G8" i="23" s="1"/>
  <c r="G6" i="32"/>
  <c r="G6" i="23" s="1"/>
  <c r="G5" i="32"/>
  <c r="G5" i="23" s="1"/>
  <c r="G9" i="32"/>
  <c r="G9" i="23" s="1"/>
  <c r="G7" i="32"/>
  <c r="G7" i="23" s="1"/>
  <c r="M22" i="45" l="1"/>
  <c r="M23"/>
  <c r="M21"/>
  <c r="M24"/>
  <c r="C58" i="29"/>
  <c r="N12" i="45"/>
  <c r="N13"/>
  <c r="N11"/>
  <c r="N14"/>
  <c r="C14" i="33"/>
  <c r="C6"/>
  <c r="C22" i="29" s="1"/>
  <c r="C9" i="33"/>
  <c r="C25" i="29" s="1"/>
  <c r="H9" i="32"/>
  <c r="H9" i="23" s="1"/>
  <c r="H8" i="32"/>
  <c r="H8" i="23" s="1"/>
  <c r="H6" i="32"/>
  <c r="H6" i="23" s="1"/>
  <c r="H7" i="32"/>
  <c r="H7" i="23" s="1"/>
  <c r="H5" i="32"/>
  <c r="H5" i="23" s="1"/>
  <c r="N24" i="45" l="1"/>
  <c r="N21"/>
  <c r="N23"/>
  <c r="N22"/>
  <c r="C21" i="29"/>
  <c r="O14" i="45"/>
  <c r="O11"/>
  <c r="O13"/>
  <c r="O12"/>
  <c r="C5" i="33"/>
  <c r="B14" i="34"/>
  <c r="B5"/>
  <c r="I9" i="32"/>
  <c r="I9" i="23" s="1"/>
  <c r="I6" i="32"/>
  <c r="I6" i="23" s="1"/>
  <c r="I8" i="32"/>
  <c r="I8" i="23" s="1"/>
  <c r="I7" i="32"/>
  <c r="I7" i="23" s="1"/>
  <c r="I5" i="32"/>
  <c r="I5" i="23" s="1"/>
  <c r="O22" i="45" l="1"/>
  <c r="O23"/>
  <c r="O21"/>
  <c r="O24"/>
  <c r="P12"/>
  <c r="P13"/>
  <c r="P11"/>
  <c r="P14"/>
  <c r="B58" i="29"/>
  <c r="B14" i="33"/>
  <c r="B5"/>
  <c r="J8" i="32"/>
  <c r="J8" i="23" s="1"/>
  <c r="J9" i="32"/>
  <c r="J9" i="23" s="1"/>
  <c r="J5" i="32"/>
  <c r="J5" i="23" s="1"/>
  <c r="J7" i="32"/>
  <c r="J7" i="23" s="1"/>
  <c r="J6" i="32"/>
  <c r="J6" i="23" s="1"/>
  <c r="P22" i="45" l="1"/>
  <c r="Q14"/>
  <c r="P24"/>
  <c r="Q11"/>
  <c r="P21"/>
  <c r="Q13"/>
  <c r="P23"/>
  <c r="Q12"/>
  <c r="B67" i="25"/>
  <c r="B50"/>
  <c r="B27"/>
  <c r="B77" i="29" s="1"/>
  <c r="B64" i="25"/>
  <c r="B46"/>
  <c r="B29"/>
  <c r="B48"/>
  <c r="B66"/>
  <c r="B30"/>
  <c r="B80" i="29" s="1"/>
  <c r="B28" i="25"/>
  <c r="B78" i="29" s="1"/>
  <c r="B65" i="25"/>
  <c r="B47"/>
  <c r="B49"/>
  <c r="B31"/>
  <c r="B81" i="29" s="1"/>
  <c r="B68" i="25"/>
  <c r="B14" i="21"/>
  <c r="B41" i="25"/>
  <c r="B22"/>
  <c r="B44" i="29" s="1"/>
  <c r="B17" s="1"/>
  <c r="B59" i="25"/>
  <c r="B56"/>
  <c r="B38"/>
  <c r="B19"/>
  <c r="B41" i="29" s="1"/>
  <c r="B14" s="1"/>
  <c r="B55" i="25"/>
  <c r="B37"/>
  <c r="B18"/>
  <c r="B40" i="29" s="1"/>
  <c r="B13" s="1"/>
  <c r="B5" i="21"/>
  <c r="B40" i="25"/>
  <c r="B58"/>
  <c r="B21"/>
  <c r="B43" i="29" s="1"/>
  <c r="B16" s="1"/>
  <c r="B20" i="25"/>
  <c r="B42" i="29" s="1"/>
  <c r="B15" s="1"/>
  <c r="B57" i="25"/>
  <c r="B39"/>
  <c r="K6" i="32"/>
  <c r="K6" i="23" s="1"/>
  <c r="K8" i="32"/>
  <c r="K8" i="23" s="1"/>
  <c r="K7" i="32"/>
  <c r="K7" i="23" s="1"/>
  <c r="K9" i="32"/>
  <c r="K9" i="23" s="1"/>
  <c r="K5" i="32"/>
  <c r="K5" i="23" s="1"/>
  <c r="R12" i="45" l="1"/>
  <c r="Q22"/>
  <c r="B79" i="29"/>
  <c r="B52" s="1"/>
  <c r="B14" i="46"/>
  <c r="B15"/>
  <c r="B16"/>
  <c r="B17"/>
  <c r="B13"/>
  <c r="B8"/>
  <c r="C16" i="40" s="1"/>
  <c r="B9" i="46"/>
  <c r="C17" i="40" s="1"/>
  <c r="B6" i="46"/>
  <c r="C14" i="40" s="1"/>
  <c r="B7" i="46"/>
  <c r="C15" i="40" s="1"/>
  <c r="B5" i="46"/>
  <c r="C13" i="40" s="1"/>
  <c r="R13" i="45"/>
  <c r="Q23"/>
  <c r="Q21"/>
  <c r="R11"/>
  <c r="Q24"/>
  <c r="R14"/>
  <c r="R21"/>
  <c r="C15" i="21"/>
  <c r="C16"/>
  <c r="B54" i="29"/>
  <c r="B53"/>
  <c r="B67"/>
  <c r="C14" i="34"/>
  <c r="C19" i="21"/>
  <c r="B7" i="25"/>
  <c r="B36"/>
  <c r="B63"/>
  <c r="B45"/>
  <c r="B30" i="29"/>
  <c r="B26" i="25"/>
  <c r="B51" i="29"/>
  <c r="B50"/>
  <c r="B17" i="25"/>
  <c r="B6"/>
  <c r="B54"/>
  <c r="C5" i="34"/>
  <c r="L7" i="32"/>
  <c r="L7" i="23" s="1"/>
  <c r="L6" i="32"/>
  <c r="L6" i="23" s="1"/>
  <c r="L9" i="32"/>
  <c r="L9" i="23" s="1"/>
  <c r="L8" i="32"/>
  <c r="L8" i="23" s="1"/>
  <c r="L5" i="32"/>
  <c r="L5" i="23" s="1"/>
  <c r="C69" i="29" l="1"/>
  <c r="D16" i="34"/>
  <c r="C68" i="29"/>
  <c r="D15" i="34"/>
  <c r="C72" i="29"/>
  <c r="D19" i="34"/>
  <c r="S13" i="45"/>
  <c r="S23" s="1"/>
  <c r="R23"/>
  <c r="S14"/>
  <c r="S11"/>
  <c r="S12"/>
  <c r="R22"/>
  <c r="B11" i="25"/>
  <c r="B76" i="29"/>
  <c r="R24" i="45"/>
  <c r="B12" i="25"/>
  <c r="B12" i="29"/>
  <c r="C17" i="21"/>
  <c r="C18"/>
  <c r="B49" i="29"/>
  <c r="C64" i="25"/>
  <c r="C46"/>
  <c r="C27"/>
  <c r="C77" i="29" s="1"/>
  <c r="C65" i="25"/>
  <c r="C28"/>
  <c r="C78" i="29" s="1"/>
  <c r="C47" i="25"/>
  <c r="C50"/>
  <c r="C68"/>
  <c r="C31"/>
  <c r="C81" i="29" s="1"/>
  <c r="B39"/>
  <c r="C6" i="21"/>
  <c r="C10"/>
  <c r="C9"/>
  <c r="C7"/>
  <c r="B8" i="25"/>
  <c r="C8" i="21"/>
  <c r="M6" i="32"/>
  <c r="M6" i="23" s="1"/>
  <c r="M7" i="32"/>
  <c r="M7" i="23" s="1"/>
  <c r="M9" i="32"/>
  <c r="M9" i="23" s="1"/>
  <c r="M5" i="32"/>
  <c r="M5" i="23" s="1"/>
  <c r="M8" i="32"/>
  <c r="M8" i="23" s="1"/>
  <c r="B13" i="51" l="1"/>
  <c r="B11" i="48"/>
  <c r="B13" s="1"/>
  <c r="C34" i="29"/>
  <c r="D9" i="34"/>
  <c r="C35" i="29"/>
  <c r="D10" i="34"/>
  <c r="C31" i="29"/>
  <c r="D6" i="34"/>
  <c r="C33" i="29"/>
  <c r="D8" i="34"/>
  <c r="C71" i="29"/>
  <c r="D18" i="34"/>
  <c r="C32" i="29"/>
  <c r="D7" i="34"/>
  <c r="C70" i="29"/>
  <c r="D17" i="34"/>
  <c r="T12" i="45"/>
  <c r="S22"/>
  <c r="T11"/>
  <c r="S21"/>
  <c r="T14"/>
  <c r="S24"/>
  <c r="T13"/>
  <c r="B13" i="25"/>
  <c r="B5" i="48" s="1"/>
  <c r="T21" i="45"/>
  <c r="C29" i="25"/>
  <c r="C79" i="29" s="1"/>
  <c r="C66" i="25"/>
  <c r="C49"/>
  <c r="C48"/>
  <c r="C30"/>
  <c r="C80" i="29" s="1"/>
  <c r="C67" i="25"/>
  <c r="C14" i="21"/>
  <c r="C51" i="29"/>
  <c r="C5" i="21"/>
  <c r="C7" i="46" s="1"/>
  <c r="C57" i="25"/>
  <c r="C39"/>
  <c r="C20"/>
  <c r="C42" i="29" s="1"/>
  <c r="C59" i="25"/>
  <c r="C22"/>
  <c r="C44" i="29" s="1"/>
  <c r="C41" i="25"/>
  <c r="C54" i="29"/>
  <c r="C56" i="25"/>
  <c r="C19"/>
  <c r="C41" i="29" s="1"/>
  <c r="C38" i="25"/>
  <c r="C21"/>
  <c r="C43" i="29" s="1"/>
  <c r="C40" i="25"/>
  <c r="C58"/>
  <c r="C55"/>
  <c r="C18"/>
  <c r="C40" i="29" s="1"/>
  <c r="C37" i="25"/>
  <c r="N5" i="32"/>
  <c r="N5" i="23" s="1"/>
  <c r="N7" i="32"/>
  <c r="N7" i="23" s="1"/>
  <c r="N9" i="32"/>
  <c r="N9" i="23" s="1"/>
  <c r="N6" i="32"/>
  <c r="N6" i="23" s="1"/>
  <c r="N8" i="32"/>
  <c r="N8" i="23" s="1"/>
  <c r="B8" i="49" l="1"/>
  <c r="B10" s="1"/>
  <c r="B12" i="51" s="1"/>
  <c r="B14" s="1"/>
  <c r="B6" i="48"/>
  <c r="B7" s="1"/>
  <c r="C67" i="29"/>
  <c r="C16"/>
  <c r="C17"/>
  <c r="C14"/>
  <c r="C30"/>
  <c r="C15"/>
  <c r="U13" i="45"/>
  <c r="U12"/>
  <c r="T22"/>
  <c r="U14"/>
  <c r="T23"/>
  <c r="T24"/>
  <c r="U11"/>
  <c r="U21" s="1"/>
  <c r="C76" i="29"/>
  <c r="C39"/>
  <c r="C13"/>
  <c r="C23" i="40"/>
  <c r="U23" i="45"/>
  <c r="C8" i="46"/>
  <c r="C9"/>
  <c r="C5"/>
  <c r="C6"/>
  <c r="C63" i="25"/>
  <c r="C14" i="46"/>
  <c r="C30" i="40" s="1"/>
  <c r="C13" i="46"/>
  <c r="C29" i="40" s="1"/>
  <c r="C17" i="46"/>
  <c r="C33" i="40" s="1"/>
  <c r="C16" i="46"/>
  <c r="C32" i="40" s="1"/>
  <c r="C15" i="46"/>
  <c r="C31" i="40" s="1"/>
  <c r="D15" i="33"/>
  <c r="D59" i="29" s="1"/>
  <c r="D18" i="33"/>
  <c r="D62" i="29" s="1"/>
  <c r="C52"/>
  <c r="D16" i="33"/>
  <c r="D60" i="29" s="1"/>
  <c r="D14" i="34"/>
  <c r="D17" i="33"/>
  <c r="D61" i="29" s="1"/>
  <c r="D19" i="33"/>
  <c r="D63" i="29" s="1"/>
  <c r="C26" i="25"/>
  <c r="C45"/>
  <c r="C53" i="29"/>
  <c r="C7" i="25"/>
  <c r="C36"/>
  <c r="C54"/>
  <c r="C17"/>
  <c r="C6"/>
  <c r="D6" i="33"/>
  <c r="D22" i="29" s="1"/>
  <c r="D10" i="33"/>
  <c r="D26" i="29" s="1"/>
  <c r="D9" i="33"/>
  <c r="D25" i="29" s="1"/>
  <c r="D8" i="33"/>
  <c r="D24" i="29" s="1"/>
  <c r="D7" i="33"/>
  <c r="D23" i="29" s="1"/>
  <c r="C50"/>
  <c r="D5" i="34"/>
  <c r="O5" i="32"/>
  <c r="O5" i="23" s="1"/>
  <c r="O9" i="32"/>
  <c r="O9" i="23" s="1"/>
  <c r="O7" i="32"/>
  <c r="O7" i="23" s="1"/>
  <c r="O8" i="32"/>
  <c r="O8" i="23" s="1"/>
  <c r="O6" i="32"/>
  <c r="O6" i="23" s="1"/>
  <c r="V14" i="45" l="1"/>
  <c r="U24"/>
  <c r="V12"/>
  <c r="U22"/>
  <c r="V11"/>
  <c r="V13"/>
  <c r="C11" i="25"/>
  <c r="D58" i="29"/>
  <c r="D21"/>
  <c r="C24" i="40"/>
  <c r="C25"/>
  <c r="C22"/>
  <c r="C21"/>
  <c r="C12" i="25"/>
  <c r="V24" i="45"/>
  <c r="V23"/>
  <c r="D15" i="21"/>
  <c r="E15" i="34" s="1"/>
  <c r="D18" i="21"/>
  <c r="E18" i="34" s="1"/>
  <c r="D16" i="21"/>
  <c r="D19"/>
  <c r="D14" i="33"/>
  <c r="D17" i="21"/>
  <c r="C12" i="29"/>
  <c r="C49"/>
  <c r="D8" i="21"/>
  <c r="D9"/>
  <c r="C8" i="25"/>
  <c r="C11" i="48" s="1"/>
  <c r="C13" s="1"/>
  <c r="D10" i="21"/>
  <c r="D7"/>
  <c r="D6"/>
  <c r="D5" i="33"/>
  <c r="P5" i="32"/>
  <c r="P5" i="23" s="1"/>
  <c r="P9" i="32"/>
  <c r="P9" i="23" s="1"/>
  <c r="P8" i="32"/>
  <c r="P8" i="23" s="1"/>
  <c r="P6" i="32"/>
  <c r="P6" i="23" s="1"/>
  <c r="P7" i="32"/>
  <c r="P7" i="23" s="1"/>
  <c r="C6" i="48" l="1"/>
  <c r="C8" i="49"/>
  <c r="C10" s="1"/>
  <c r="C13" i="51"/>
  <c r="D34" i="29"/>
  <c r="E9" i="34"/>
  <c r="D33" i="29"/>
  <c r="E8" i="34"/>
  <c r="D31" i="29"/>
  <c r="E6" i="34"/>
  <c r="D32" i="29"/>
  <c r="E7" i="34"/>
  <c r="D35" i="29"/>
  <c r="E10" i="34"/>
  <c r="D70" i="29"/>
  <c r="E17" i="34"/>
  <c r="D72" i="29"/>
  <c r="E19" i="34"/>
  <c r="D69" i="29"/>
  <c r="E16" i="34"/>
  <c r="W11" i="45"/>
  <c r="V21"/>
  <c r="W12"/>
  <c r="V22"/>
  <c r="W13"/>
  <c r="W14"/>
  <c r="C13" i="25"/>
  <c r="C5" i="48" s="1"/>
  <c r="C37" i="40" s="1"/>
  <c r="D49" i="25"/>
  <c r="D71" i="29"/>
  <c r="D64" i="25"/>
  <c r="D68" i="29"/>
  <c r="D27" i="25"/>
  <c r="D77" i="29" s="1"/>
  <c r="D46" i="25"/>
  <c r="W24" i="45"/>
  <c r="W21"/>
  <c r="D30" i="25"/>
  <c r="D80" i="29" s="1"/>
  <c r="D67" i="25"/>
  <c r="D47"/>
  <c r="D28"/>
  <c r="D78" i="29" s="1"/>
  <c r="D65" i="25"/>
  <c r="D29"/>
  <c r="D79" i="29" s="1"/>
  <c r="D31" i="25"/>
  <c r="D81" i="29" s="1"/>
  <c r="D50" i="25"/>
  <c r="D68"/>
  <c r="D66"/>
  <c r="D14" i="21"/>
  <c r="D13" i="46" s="1"/>
  <c r="D48" i="25"/>
  <c r="D56"/>
  <c r="D19"/>
  <c r="D41" i="29" s="1"/>
  <c r="D38" i="25"/>
  <c r="D22"/>
  <c r="D44" i="29" s="1"/>
  <c r="D59" i="25"/>
  <c r="D41"/>
  <c r="D20"/>
  <c r="D42" i="29" s="1"/>
  <c r="D57" i="25"/>
  <c r="D39"/>
  <c r="D55"/>
  <c r="D37"/>
  <c r="D18"/>
  <c r="D40" i="29" s="1"/>
  <c r="D5" i="21"/>
  <c r="D9" i="46" s="1"/>
  <c r="D21" i="25"/>
  <c r="D43" i="29" s="1"/>
  <c r="D40" i="25"/>
  <c r="D58"/>
  <c r="Q5" i="32"/>
  <c r="Q5" i="23" s="1"/>
  <c r="Q9" i="32"/>
  <c r="Q9" i="23" s="1"/>
  <c r="Q6" i="32"/>
  <c r="Q6" i="23" s="1"/>
  <c r="Q7" i="32"/>
  <c r="Q7" i="23" s="1"/>
  <c r="Q8" i="32"/>
  <c r="Q8" i="23" s="1"/>
  <c r="D14" i="29" l="1"/>
  <c r="D17"/>
  <c r="D16"/>
  <c r="D15"/>
  <c r="D30"/>
  <c r="D13"/>
  <c r="W22" i="45"/>
  <c r="W23"/>
  <c r="D67" i="29"/>
  <c r="D76"/>
  <c r="D39"/>
  <c r="D52"/>
  <c r="D5" i="46"/>
  <c r="D54" i="29"/>
  <c r="D16" i="46"/>
  <c r="D7"/>
  <c r="D53" i="29"/>
  <c r="D15" i="46"/>
  <c r="D6"/>
  <c r="D8"/>
  <c r="D51" i="29"/>
  <c r="D17" i="46"/>
  <c r="D14"/>
  <c r="E16" i="33"/>
  <c r="E60" i="29" s="1"/>
  <c r="D45" i="25"/>
  <c r="D26"/>
  <c r="D63"/>
  <c r="E17" i="33"/>
  <c r="E61" i="29" s="1"/>
  <c r="E15" i="33"/>
  <c r="E59" i="29" s="1"/>
  <c r="D7" i="25"/>
  <c r="E19" i="33"/>
  <c r="E63" i="29" s="1"/>
  <c r="E14" i="34"/>
  <c r="E18" i="33"/>
  <c r="E62" i="29" s="1"/>
  <c r="D36" i="25"/>
  <c r="D54"/>
  <c r="D17"/>
  <c r="D6"/>
  <c r="E10" i="33"/>
  <c r="E26" i="29" s="1"/>
  <c r="E9" i="33"/>
  <c r="E25" i="29" s="1"/>
  <c r="E8" i="33"/>
  <c r="E24" i="29" s="1"/>
  <c r="E7" i="33"/>
  <c r="E23" i="29" s="1"/>
  <c r="E5" i="34"/>
  <c r="E6" i="33"/>
  <c r="E22" i="29" s="1"/>
  <c r="D50"/>
  <c r="R5" i="32"/>
  <c r="R5" i="23" s="1"/>
  <c r="R8" i="32"/>
  <c r="R8" i="23" s="1"/>
  <c r="R7" i="32"/>
  <c r="R7" i="23" s="1"/>
  <c r="R9" i="32"/>
  <c r="R9" i="23" s="1"/>
  <c r="R6" i="32"/>
  <c r="R6" i="23" s="1"/>
  <c r="C7" i="48" l="1"/>
  <c r="C39" i="40" s="1"/>
  <c r="C38"/>
  <c r="C12" i="51"/>
  <c r="C14" s="1"/>
  <c r="D11" i="25"/>
  <c r="E58" i="29"/>
  <c r="E21"/>
  <c r="D12" i="25"/>
  <c r="D12" i="29"/>
  <c r="D49"/>
  <c r="E16" i="21"/>
  <c r="E17"/>
  <c r="E15"/>
  <c r="E19"/>
  <c r="E18"/>
  <c r="E14" i="33"/>
  <c r="E6" i="21"/>
  <c r="D8" i="25"/>
  <c r="D11" i="48" s="1"/>
  <c r="D13" s="1"/>
  <c r="E9" i="21"/>
  <c r="E5" i="33"/>
  <c r="E7" i="21"/>
  <c r="E10"/>
  <c r="E8"/>
  <c r="S9" i="32"/>
  <c r="S9" i="23" s="1"/>
  <c r="S7" i="32"/>
  <c r="S7" i="23" s="1"/>
  <c r="S5" i="32"/>
  <c r="S5" i="23" s="1"/>
  <c r="S8" i="32"/>
  <c r="S8" i="23" s="1"/>
  <c r="S6" i="32"/>
  <c r="S6" i="23" s="1"/>
  <c r="D8" i="49" l="1"/>
  <c r="D10" s="1"/>
  <c r="D6" i="48"/>
  <c r="D13" i="51"/>
  <c r="E71" i="29"/>
  <c r="F18" i="34"/>
  <c r="E72" i="29"/>
  <c r="F19" i="34"/>
  <c r="E68" i="29"/>
  <c r="F15" i="34"/>
  <c r="E70" i="29"/>
  <c r="F17" i="34"/>
  <c r="E69" i="29"/>
  <c r="F16" i="34"/>
  <c r="E31" i="29"/>
  <c r="F6" i="34"/>
  <c r="E33" i="29"/>
  <c r="F8" i="34"/>
  <c r="E35" i="29"/>
  <c r="F10" i="34"/>
  <c r="E32" i="29"/>
  <c r="F7" i="34"/>
  <c r="E34" i="29"/>
  <c r="F9" i="34"/>
  <c r="D13" i="25"/>
  <c r="D5" i="48" s="1"/>
  <c r="E47" i="25"/>
  <c r="E65"/>
  <c r="E28"/>
  <c r="E78" i="29" s="1"/>
  <c r="E29" i="25"/>
  <c r="E79" i="29" s="1"/>
  <c r="E30" i="25"/>
  <c r="E80" i="29" s="1"/>
  <c r="E48" i="25"/>
  <c r="E66"/>
  <c r="E49"/>
  <c r="E67"/>
  <c r="E64"/>
  <c r="E46"/>
  <c r="E27"/>
  <c r="E77" i="29" s="1"/>
  <c r="E31" i="25"/>
  <c r="E81" i="29" s="1"/>
  <c r="E50" i="25"/>
  <c r="E68"/>
  <c r="E14" i="21"/>
  <c r="E16" i="46" s="1"/>
  <c r="E37" i="25"/>
  <c r="E18"/>
  <c r="E40" i="29" s="1"/>
  <c r="E55" i="25"/>
  <c r="E58"/>
  <c r="E5" i="21"/>
  <c r="E5" i="46" s="1"/>
  <c r="E21" i="25"/>
  <c r="E43" i="29" s="1"/>
  <c r="E40" i="25"/>
  <c r="E22"/>
  <c r="E44" i="29" s="1"/>
  <c r="E41" i="25"/>
  <c r="E59"/>
  <c r="E38"/>
  <c r="E56"/>
  <c r="E19"/>
  <c r="E41" i="29" s="1"/>
  <c r="E20" i="25"/>
  <c r="E42" i="29" s="1"/>
  <c r="E39" i="25"/>
  <c r="E57"/>
  <c r="T8" i="32"/>
  <c r="T8" i="23" s="1"/>
  <c r="T5" i="32"/>
  <c r="T5" i="23" s="1"/>
  <c r="T6" i="32"/>
  <c r="T6" i="23" s="1"/>
  <c r="T9" i="32"/>
  <c r="T9" i="23" s="1"/>
  <c r="T7" i="32"/>
  <c r="T7" i="23" s="1"/>
  <c r="D7" i="48" l="1"/>
  <c r="E13" i="29"/>
  <c r="E16"/>
  <c r="E67"/>
  <c r="E17"/>
  <c r="E30"/>
  <c r="E14"/>
  <c r="E15"/>
  <c r="E76"/>
  <c r="E39"/>
  <c r="E54"/>
  <c r="E6" i="46"/>
  <c r="E53" i="29"/>
  <c r="E9" i="46"/>
  <c r="E7"/>
  <c r="E52" i="29"/>
  <c r="E8" i="46"/>
  <c r="E14"/>
  <c r="E51" i="29"/>
  <c r="E15" i="46"/>
  <c r="E13"/>
  <c r="E17"/>
  <c r="E45" i="25"/>
  <c r="F18" i="33"/>
  <c r="F62" i="29" s="1"/>
  <c r="F19" i="33"/>
  <c r="F63" i="29" s="1"/>
  <c r="F17" i="33"/>
  <c r="F61" i="29" s="1"/>
  <c r="E63" i="25"/>
  <c r="F16" i="33"/>
  <c r="F60" i="29" s="1"/>
  <c r="F14" i="34"/>
  <c r="F15" i="33"/>
  <c r="F59" i="29" s="1"/>
  <c r="E7" i="25"/>
  <c r="E26"/>
  <c r="F10" i="33"/>
  <c r="F26" i="29" s="1"/>
  <c r="E36" i="25"/>
  <c r="E54"/>
  <c r="F6" i="33"/>
  <c r="F22" i="29" s="1"/>
  <c r="F5" i="34"/>
  <c r="E17" i="25"/>
  <c r="F9" i="33"/>
  <c r="F25" i="29" s="1"/>
  <c r="F7" i="33"/>
  <c r="F23" i="29" s="1"/>
  <c r="F8" i="33"/>
  <c r="F24" i="29" s="1"/>
  <c r="E6" i="25"/>
  <c r="E50" i="29"/>
  <c r="U9" i="32"/>
  <c r="U9" i="23" s="1"/>
  <c r="U6" i="32"/>
  <c r="U6" i="23" s="1"/>
  <c r="U8" i="32"/>
  <c r="U8" i="23" s="1"/>
  <c r="U5" i="32"/>
  <c r="U5" i="23" s="1"/>
  <c r="U7" i="32"/>
  <c r="U7" i="23" s="1"/>
  <c r="D12" i="51" l="1"/>
  <c r="D14" s="1"/>
  <c r="E11" i="25"/>
  <c r="F58" i="29"/>
  <c r="F21"/>
  <c r="E12" i="25"/>
  <c r="E49" i="29"/>
  <c r="E12"/>
  <c r="F18" i="21"/>
  <c r="G18" i="34" s="1"/>
  <c r="F16" i="21"/>
  <c r="F15"/>
  <c r="F19"/>
  <c r="F17"/>
  <c r="F14" i="33"/>
  <c r="F10" i="21"/>
  <c r="F9"/>
  <c r="F5" i="33"/>
  <c r="F8" i="21"/>
  <c r="E8" i="25"/>
  <c r="E11" i="48" s="1"/>
  <c r="E13" s="1"/>
  <c r="F7" i="21"/>
  <c r="F6"/>
  <c r="V6" i="32"/>
  <c r="V6" i="23" s="1"/>
  <c r="V8" i="32"/>
  <c r="V8" i="23" s="1"/>
  <c r="V7" i="32"/>
  <c r="V7" i="23" s="1"/>
  <c r="V5" i="32"/>
  <c r="V5" i="23" s="1"/>
  <c r="V9" i="32"/>
  <c r="V9" i="23" s="1"/>
  <c r="E6" i="48" l="1"/>
  <c r="E8" i="49"/>
  <c r="E10" s="1"/>
  <c r="E13" i="51"/>
  <c r="F70" i="29"/>
  <c r="G17" i="34"/>
  <c r="F72" i="29"/>
  <c r="G19" i="34"/>
  <c r="F68" i="29"/>
  <c r="G15" i="34"/>
  <c r="F69" i="29"/>
  <c r="G16" i="34"/>
  <c r="F35" i="29"/>
  <c r="G10" i="34"/>
  <c r="F31" i="29"/>
  <c r="G6" i="34"/>
  <c r="F32" i="29"/>
  <c r="G7" i="34"/>
  <c r="F33" i="29"/>
  <c r="G8" i="34"/>
  <c r="F34" i="29"/>
  <c r="G9" i="34"/>
  <c r="E13" i="25"/>
  <c r="E5" i="48" s="1"/>
  <c r="F49" i="25"/>
  <c r="F71" i="29"/>
  <c r="F67" i="25"/>
  <c r="F28"/>
  <c r="F78" i="29" s="1"/>
  <c r="F47" i="25"/>
  <c r="F30"/>
  <c r="F80" i="29" s="1"/>
  <c r="F65" i="25"/>
  <c r="F27"/>
  <c r="F77" i="29" s="1"/>
  <c r="F64" i="25"/>
  <c r="F46"/>
  <c r="F50"/>
  <c r="F14" i="21"/>
  <c r="F15" i="46" s="1"/>
  <c r="F31" i="25"/>
  <c r="F81" i="29" s="1"/>
  <c r="F68" i="25"/>
  <c r="F29"/>
  <c r="F79" i="29" s="1"/>
  <c r="F48" i="25"/>
  <c r="F66"/>
  <c r="F41"/>
  <c r="F22"/>
  <c r="F44" i="29" s="1"/>
  <c r="F59" i="25"/>
  <c r="F38"/>
  <c r="F58"/>
  <c r="F21"/>
  <c r="F43" i="29" s="1"/>
  <c r="F40" i="25"/>
  <c r="F56"/>
  <c r="F18"/>
  <c r="F40" i="29" s="1"/>
  <c r="F55" i="25"/>
  <c r="F5" i="21"/>
  <c r="F5" i="46" s="1"/>
  <c r="F37" i="25"/>
  <c r="F19"/>
  <c r="F41" i="29" s="1"/>
  <c r="F20" i="25"/>
  <c r="F42" i="29" s="1"/>
  <c r="F39" i="25"/>
  <c r="F57"/>
  <c r="W9" i="32"/>
  <c r="W9" i="23" s="1"/>
  <c r="W8" i="32"/>
  <c r="W8" i="23" s="1"/>
  <c r="W6" i="32"/>
  <c r="W6" i="23" s="1"/>
  <c r="W7" i="32"/>
  <c r="W7" i="23" s="1"/>
  <c r="W5" i="32"/>
  <c r="W5" i="23" s="1"/>
  <c r="E7" i="48" l="1"/>
  <c r="F16" i="29"/>
  <c r="E12" i="51"/>
  <c r="E14" s="1"/>
  <c r="F17" i="29"/>
  <c r="F15"/>
  <c r="F30"/>
  <c r="F67"/>
  <c r="F14"/>
  <c r="F76"/>
  <c r="F39"/>
  <c r="F13"/>
  <c r="F14" i="46"/>
  <c r="F51" i="29"/>
  <c r="F17" i="46"/>
  <c r="F7"/>
  <c r="F53" i="29"/>
  <c r="F9" i="46"/>
  <c r="F6"/>
  <c r="F52" i="29"/>
  <c r="F13" i="46"/>
  <c r="F8"/>
  <c r="F54" i="29"/>
  <c r="F16" i="46"/>
  <c r="G14" i="34"/>
  <c r="F63" i="25"/>
  <c r="F45"/>
  <c r="G17" i="33"/>
  <c r="G61" i="29" s="1"/>
  <c r="G16" i="33"/>
  <c r="G60" i="29" s="1"/>
  <c r="G18" i="33"/>
  <c r="G62" i="29" s="1"/>
  <c r="G19" i="33"/>
  <c r="G63" i="29" s="1"/>
  <c r="G15" i="33"/>
  <c r="G59" i="29" s="1"/>
  <c r="F26" i="25"/>
  <c r="F7"/>
  <c r="G5" i="34"/>
  <c r="D7" i="40"/>
  <c r="D6"/>
  <c r="E5"/>
  <c r="D8"/>
  <c r="D9"/>
  <c r="D5"/>
  <c r="E8"/>
  <c r="E7"/>
  <c r="E6"/>
  <c r="E9"/>
  <c r="G9" i="33"/>
  <c r="G25" i="29" s="1"/>
  <c r="F36" i="25"/>
  <c r="G8" i="33"/>
  <c r="G24" i="29" s="1"/>
  <c r="G6" i="33"/>
  <c r="G22" i="29" s="1"/>
  <c r="F17" i="25"/>
  <c r="G7" i="33"/>
  <c r="G23" i="29" s="1"/>
  <c r="G10" i="33"/>
  <c r="G26" i="29" s="1"/>
  <c r="F6" i="25"/>
  <c r="F54"/>
  <c r="F50" i="29"/>
  <c r="F11" i="25" l="1"/>
  <c r="G58" i="29"/>
  <c r="G21"/>
  <c r="F12" i="25"/>
  <c r="F49" i="29"/>
  <c r="G16" i="21"/>
  <c r="G17"/>
  <c r="G19"/>
  <c r="G14" i="33"/>
  <c r="G18" i="21"/>
  <c r="G15"/>
  <c r="F8" i="40"/>
  <c r="F9"/>
  <c r="F12" i="29"/>
  <c r="F5" i="40"/>
  <c r="F6"/>
  <c r="F7"/>
  <c r="G6" i="21"/>
  <c r="G8"/>
  <c r="G9"/>
  <c r="G10"/>
  <c r="G7"/>
  <c r="F8" i="25"/>
  <c r="F11" i="48" s="1"/>
  <c r="F13" s="1"/>
  <c r="G5" i="33"/>
  <c r="F6" i="48" l="1"/>
  <c r="F8" i="49"/>
  <c r="F10" s="1"/>
  <c r="F13" i="51"/>
  <c r="G68" i="29"/>
  <c r="H15" i="34"/>
  <c r="G71" i="29"/>
  <c r="H18" i="34"/>
  <c r="G72" i="29"/>
  <c r="H19" i="34"/>
  <c r="G70" i="29"/>
  <c r="H17" i="34"/>
  <c r="G69" i="29"/>
  <c r="H16" i="34"/>
  <c r="G35" i="29"/>
  <c r="H10" i="34"/>
  <c r="G34" i="29"/>
  <c r="H9" i="34"/>
  <c r="G33" i="29"/>
  <c r="H8" i="34"/>
  <c r="G31" i="29"/>
  <c r="H6" i="34"/>
  <c r="G32" i="29"/>
  <c r="H7" i="34"/>
  <c r="F13" i="25"/>
  <c r="F5" i="48" s="1"/>
  <c r="G21" i="25"/>
  <c r="G43" i="29" s="1"/>
  <c r="G28" i="25"/>
  <c r="G78" i="29" s="1"/>
  <c r="G47" i="25"/>
  <c r="G65"/>
  <c r="G67"/>
  <c r="G29"/>
  <c r="G79" i="29" s="1"/>
  <c r="G66" i="25"/>
  <c r="G30"/>
  <c r="G80" i="29" s="1"/>
  <c r="G49" i="25"/>
  <c r="G48"/>
  <c r="G68"/>
  <c r="G64"/>
  <c r="G31"/>
  <c r="G81" i="29" s="1"/>
  <c r="G50" i="25"/>
  <c r="G27"/>
  <c r="G77" i="29" s="1"/>
  <c r="G46" i="25"/>
  <c r="G14" i="21"/>
  <c r="G17" i="46" s="1"/>
  <c r="G40" i="25"/>
  <c r="G58"/>
  <c r="G39"/>
  <c r="G18"/>
  <c r="G40" i="29" s="1"/>
  <c r="G22" i="25"/>
  <c r="G44" i="29" s="1"/>
  <c r="G37" i="25"/>
  <c r="G57"/>
  <c r="G20"/>
  <c r="G42" i="29" s="1"/>
  <c r="G55" i="25"/>
  <c r="G56"/>
  <c r="G41"/>
  <c r="G59"/>
  <c r="G5" i="21"/>
  <c r="G7" i="46" s="1"/>
  <c r="G19" i="25"/>
  <c r="G41" i="29" s="1"/>
  <c r="G38" i="25"/>
  <c r="F7" i="48" l="1"/>
  <c r="G67" i="29"/>
  <c r="G17"/>
  <c r="G16"/>
  <c r="G30"/>
  <c r="G13"/>
  <c r="G15"/>
  <c r="G76"/>
  <c r="G39"/>
  <c r="G14"/>
  <c r="G53"/>
  <c r="G16" i="46"/>
  <c r="G6"/>
  <c r="G15"/>
  <c r="G9"/>
  <c r="G13"/>
  <c r="G5"/>
  <c r="G54" i="29"/>
  <c r="G52"/>
  <c r="G8" i="46"/>
  <c r="G51" i="29"/>
  <c r="G14" i="46"/>
  <c r="G63" i="25"/>
  <c r="G26"/>
  <c r="H14" i="34"/>
  <c r="G45" i="25"/>
  <c r="H16" i="33"/>
  <c r="H60" i="29" s="1"/>
  <c r="H15" i="33"/>
  <c r="H19"/>
  <c r="H63" i="29" s="1"/>
  <c r="H18" i="33"/>
  <c r="H62" i="29" s="1"/>
  <c r="G7" i="25"/>
  <c r="H17" i="33"/>
  <c r="H61" i="29" s="1"/>
  <c r="G54" i="25"/>
  <c r="H9" i="33"/>
  <c r="H25" i="29" s="1"/>
  <c r="H5" i="34"/>
  <c r="G36" i="25"/>
  <c r="G17"/>
  <c r="G6"/>
  <c r="H8" i="33"/>
  <c r="H24" i="29" s="1"/>
  <c r="H7" i="33"/>
  <c r="H23" i="29" s="1"/>
  <c r="H6" i="33"/>
  <c r="H22" i="29" s="1"/>
  <c r="H10" i="33"/>
  <c r="H26" i="29" s="1"/>
  <c r="G50"/>
  <c r="F12" i="51" l="1"/>
  <c r="F14" s="1"/>
  <c r="G11" i="25"/>
  <c r="H15" i="21"/>
  <c r="H59" i="29"/>
  <c r="H58" s="1"/>
  <c r="H21"/>
  <c r="G12" i="25"/>
  <c r="G49" i="29"/>
  <c r="H16" i="21"/>
  <c r="H19"/>
  <c r="H17"/>
  <c r="H14" i="33"/>
  <c r="H18" i="21"/>
  <c r="G12" i="29"/>
  <c r="H9" i="21"/>
  <c r="H5" i="33"/>
  <c r="H6" i="21"/>
  <c r="H10"/>
  <c r="H7"/>
  <c r="H8"/>
  <c r="G8" i="25"/>
  <c r="G11" i="48" s="1"/>
  <c r="G13" s="1"/>
  <c r="G13" i="51" l="1"/>
  <c r="G6" i="48"/>
  <c r="G8" i="49"/>
  <c r="G10" s="1"/>
  <c r="H71" i="29"/>
  <c r="I18" i="34"/>
  <c r="H68" i="29"/>
  <c r="I15" i="34"/>
  <c r="H70" i="29"/>
  <c r="I17" i="34"/>
  <c r="H72" i="29"/>
  <c r="I19" i="34"/>
  <c r="H69" i="29"/>
  <c r="I16" i="34"/>
  <c r="H34" i="29"/>
  <c r="I9" i="34"/>
  <c r="H33" i="29"/>
  <c r="I8" i="34"/>
  <c r="H32" i="29"/>
  <c r="I7" i="34"/>
  <c r="H35" i="29"/>
  <c r="I10" i="34"/>
  <c r="H31" i="29"/>
  <c r="I6" i="34"/>
  <c r="G13" i="25"/>
  <c r="G5" i="48" s="1"/>
  <c r="H64" i="25"/>
  <c r="H27"/>
  <c r="H77" i="29" s="1"/>
  <c r="H46" i="25"/>
  <c r="H21"/>
  <c r="H43" i="29" s="1"/>
  <c r="H47" i="25"/>
  <c r="H65"/>
  <c r="H28"/>
  <c r="H78" i="29" s="1"/>
  <c r="H49" i="25"/>
  <c r="H30"/>
  <c r="H80" i="29" s="1"/>
  <c r="H67" i="25"/>
  <c r="H29"/>
  <c r="H79" i="29" s="1"/>
  <c r="H66" i="25"/>
  <c r="H50"/>
  <c r="H68"/>
  <c r="H31"/>
  <c r="H81" i="29" s="1"/>
  <c r="H14" i="21"/>
  <c r="H13" i="46" s="1"/>
  <c r="D29" i="40" s="1"/>
  <c r="H48" i="25"/>
  <c r="H40"/>
  <c r="H58"/>
  <c r="H39"/>
  <c r="H56"/>
  <c r="H41"/>
  <c r="H18"/>
  <c r="H40" i="29" s="1"/>
  <c r="H55" i="25"/>
  <c r="H38"/>
  <c r="H19"/>
  <c r="H41" i="29" s="1"/>
  <c r="H20" i="25"/>
  <c r="H42" i="29" s="1"/>
  <c r="H5" i="21"/>
  <c r="H7" i="46" s="1"/>
  <c r="H57" i="25"/>
  <c r="H22"/>
  <c r="H44" i="29" s="1"/>
  <c r="H59" i="25"/>
  <c r="H37"/>
  <c r="G7" i="48" l="1"/>
  <c r="H16" i="29"/>
  <c r="H30"/>
  <c r="H50"/>
  <c r="H14"/>
  <c r="H67"/>
  <c r="H15"/>
  <c r="H17"/>
  <c r="H76"/>
  <c r="H39"/>
  <c r="H13"/>
  <c r="H14" i="46"/>
  <c r="D30" i="40" s="1"/>
  <c r="D23"/>
  <c r="H5" i="46"/>
  <c r="H54" i="29"/>
  <c r="H53"/>
  <c r="H16" i="46"/>
  <c r="D32" i="40" s="1"/>
  <c r="H8" i="46"/>
  <c r="H6"/>
  <c r="H17"/>
  <c r="D33" i="40" s="1"/>
  <c r="H9" i="46"/>
  <c r="H52" i="29"/>
  <c r="H15" i="46"/>
  <c r="D31" i="40" s="1"/>
  <c r="H45" i="25"/>
  <c r="I19" i="33"/>
  <c r="I63" i="29" s="1"/>
  <c r="H26" i="25"/>
  <c r="H63"/>
  <c r="H7"/>
  <c r="I17" i="33"/>
  <c r="I61" i="29" s="1"/>
  <c r="I15" i="33"/>
  <c r="I59" i="29" s="1"/>
  <c r="I16" i="33"/>
  <c r="I60" i="29" s="1"/>
  <c r="I14" i="34"/>
  <c r="I18" i="33"/>
  <c r="I62" i="29" s="1"/>
  <c r="H36" i="25"/>
  <c r="H17"/>
  <c r="H54"/>
  <c r="I7" i="33"/>
  <c r="I23" i="29" s="1"/>
  <c r="H6" i="25"/>
  <c r="I5" i="34"/>
  <c r="I10" i="33"/>
  <c r="I26" i="29" s="1"/>
  <c r="I9" i="33"/>
  <c r="I25" i="29" s="1"/>
  <c r="I8" i="33"/>
  <c r="I24" i="29" s="1"/>
  <c r="I6" i="33"/>
  <c r="I22" i="29" s="1"/>
  <c r="H51"/>
  <c r="G12" i="51" l="1"/>
  <c r="G14" s="1"/>
  <c r="H11" i="25"/>
  <c r="I58" i="29"/>
  <c r="I21"/>
  <c r="D25" i="40"/>
  <c r="D22"/>
  <c r="D24"/>
  <c r="D21"/>
  <c r="H12" i="25"/>
  <c r="H49" i="29"/>
  <c r="I16" i="21"/>
  <c r="I19"/>
  <c r="I17"/>
  <c r="I15"/>
  <c r="I18"/>
  <c r="I14" i="33"/>
  <c r="H12" i="29"/>
  <c r="I10" i="21"/>
  <c r="I7"/>
  <c r="H8" i="25"/>
  <c r="H11" i="48" s="1"/>
  <c r="H13" s="1"/>
  <c r="I6" i="21"/>
  <c r="I5" i="33"/>
  <c r="I9" i="21"/>
  <c r="I8"/>
  <c r="H6" i="48" l="1"/>
  <c r="H8" i="49"/>
  <c r="H10" s="1"/>
  <c r="H13" i="51"/>
  <c r="I70" i="29"/>
  <c r="J17" i="34"/>
  <c r="I72" i="29"/>
  <c r="J19" i="34"/>
  <c r="I69" i="29"/>
  <c r="J16" i="34"/>
  <c r="I71" i="29"/>
  <c r="J18" i="34"/>
  <c r="I68" i="29"/>
  <c r="J15" i="34"/>
  <c r="I31" i="29"/>
  <c r="J6" i="34"/>
  <c r="I32" i="29"/>
  <c r="J7" i="34"/>
  <c r="I35" i="29"/>
  <c r="J10" i="34"/>
  <c r="I33" i="29"/>
  <c r="J8" i="34"/>
  <c r="I34" i="29"/>
  <c r="J9" i="34"/>
  <c r="H13" i="25"/>
  <c r="H5" i="48" s="1"/>
  <c r="D37" i="40" s="1"/>
  <c r="I68" i="25"/>
  <c r="I65"/>
  <c r="I47"/>
  <c r="I28"/>
  <c r="I78" i="29" s="1"/>
  <c r="I46" i="25"/>
  <c r="I50"/>
  <c r="I48"/>
  <c r="I31"/>
  <c r="I81" i="29" s="1"/>
  <c r="I29" i="25"/>
  <c r="I79" i="29" s="1"/>
  <c r="I67" i="25"/>
  <c r="I66"/>
  <c r="I30"/>
  <c r="I80" i="29" s="1"/>
  <c r="I49" i="25"/>
  <c r="I27"/>
  <c r="I77" i="29" s="1"/>
  <c r="I64" i="25"/>
  <c r="I14" i="21"/>
  <c r="I17" i="46" s="1"/>
  <c r="I38" i="25"/>
  <c r="I55"/>
  <c r="I22"/>
  <c r="I44" i="29" s="1"/>
  <c r="I59" i="25"/>
  <c r="I41"/>
  <c r="I37"/>
  <c r="I56"/>
  <c r="I19"/>
  <c r="I41" i="29" s="1"/>
  <c r="I18" i="25"/>
  <c r="I40" i="29" s="1"/>
  <c r="I21" i="25"/>
  <c r="I43" i="29" s="1"/>
  <c r="I5" i="21"/>
  <c r="I6" i="46" s="1"/>
  <c r="I40" i="25"/>
  <c r="I58"/>
  <c r="I57"/>
  <c r="I39"/>
  <c r="I20"/>
  <c r="I42" i="29" s="1"/>
  <c r="H12" i="51" l="1"/>
  <c r="H14" s="1"/>
  <c r="I16" i="29"/>
  <c r="I13"/>
  <c r="I30"/>
  <c r="I67"/>
  <c r="I14"/>
  <c r="I15"/>
  <c r="I76"/>
  <c r="I39"/>
  <c r="I17"/>
  <c r="I14" i="46"/>
  <c r="I52" i="29"/>
  <c r="I53"/>
  <c r="I8" i="46"/>
  <c r="I5"/>
  <c r="I7"/>
  <c r="I9"/>
  <c r="I51" i="29"/>
  <c r="I13" i="46"/>
  <c r="I16"/>
  <c r="I15"/>
  <c r="J18" i="33"/>
  <c r="J62" i="29" s="1"/>
  <c r="I45" i="25"/>
  <c r="I54" i="29"/>
  <c r="J16" i="33"/>
  <c r="J60" i="29" s="1"/>
  <c r="J14" i="34"/>
  <c r="J15" i="33"/>
  <c r="J59" i="29" s="1"/>
  <c r="I63" i="25"/>
  <c r="I26"/>
  <c r="I7"/>
  <c r="J17" i="33"/>
  <c r="J61" i="29" s="1"/>
  <c r="J19" i="33"/>
  <c r="J63" i="29" s="1"/>
  <c r="J10" i="33"/>
  <c r="J26" i="29" s="1"/>
  <c r="J6" i="33"/>
  <c r="J22" i="29" s="1"/>
  <c r="J8" i="33"/>
  <c r="J24" i="29" s="1"/>
  <c r="J5" i="34"/>
  <c r="I36" i="25"/>
  <c r="I54"/>
  <c r="I6"/>
  <c r="I17"/>
  <c r="J7" i="33"/>
  <c r="J23" i="29" s="1"/>
  <c r="J9" i="33"/>
  <c r="J25" i="29" s="1"/>
  <c r="I50"/>
  <c r="H7" i="48" l="1"/>
  <c r="D39" i="40" s="1"/>
  <c r="D38"/>
  <c r="I11" i="25"/>
  <c r="J58" i="29"/>
  <c r="J21"/>
  <c r="I12" i="25"/>
  <c r="J19" i="21"/>
  <c r="I49" i="29"/>
  <c r="J18" i="21"/>
  <c r="J16"/>
  <c r="J15"/>
  <c r="J17"/>
  <c r="J14" i="33"/>
  <c r="I12" i="29"/>
  <c r="J10" i="21"/>
  <c r="J6"/>
  <c r="J9"/>
  <c r="J8"/>
  <c r="I8" i="25"/>
  <c r="I11" i="48" s="1"/>
  <c r="I13" s="1"/>
  <c r="J7" i="21"/>
  <c r="J5" i="33"/>
  <c r="I6" i="48" l="1"/>
  <c r="I8" i="49"/>
  <c r="I10" s="1"/>
  <c r="I13" i="51"/>
  <c r="J70" i="29"/>
  <c r="K17" i="34"/>
  <c r="J68" i="29"/>
  <c r="K15" i="34"/>
  <c r="J69" i="29"/>
  <c r="K16" i="34"/>
  <c r="J71" i="29"/>
  <c r="K18" i="34"/>
  <c r="J72" i="29"/>
  <c r="K19" i="34"/>
  <c r="J32" i="29"/>
  <c r="K7" i="34"/>
  <c r="J33" i="29"/>
  <c r="K8" i="34"/>
  <c r="J34" i="29"/>
  <c r="K9" i="34"/>
  <c r="J31" i="29"/>
  <c r="K6" i="34"/>
  <c r="J35" i="29"/>
  <c r="K10" i="34"/>
  <c r="I13" i="25"/>
  <c r="I5" i="48" s="1"/>
  <c r="J31" i="25"/>
  <c r="J81" i="29" s="1"/>
  <c r="J50" i="25"/>
  <c r="J68"/>
  <c r="J28"/>
  <c r="J78" i="29" s="1"/>
  <c r="J47" i="25"/>
  <c r="J65"/>
  <c r="J67"/>
  <c r="J30"/>
  <c r="J80" i="29" s="1"/>
  <c r="J49" i="25"/>
  <c r="J46"/>
  <c r="J64"/>
  <c r="J27"/>
  <c r="J77" i="29" s="1"/>
  <c r="J48" i="25"/>
  <c r="J29"/>
  <c r="J79" i="29" s="1"/>
  <c r="J14" i="21"/>
  <c r="J16" i="46" s="1"/>
  <c r="J66" i="25"/>
  <c r="J41"/>
  <c r="J22"/>
  <c r="J44" i="29" s="1"/>
  <c r="J59" i="25"/>
  <c r="J20"/>
  <c r="J42" i="29" s="1"/>
  <c r="J58" i="25"/>
  <c r="J19"/>
  <c r="J41" i="29" s="1"/>
  <c r="J21" i="25"/>
  <c r="J43" i="29" s="1"/>
  <c r="J55" i="25"/>
  <c r="J40"/>
  <c r="J18"/>
  <c r="J40" i="29" s="1"/>
  <c r="J37" i="25"/>
  <c r="J39"/>
  <c r="J57"/>
  <c r="J56"/>
  <c r="J5" i="21"/>
  <c r="J7" i="46" s="1"/>
  <c r="J38" i="25"/>
  <c r="I7" i="48" l="1"/>
  <c r="I12" i="51"/>
  <c r="I14" s="1"/>
  <c r="J30" i="29"/>
  <c r="J14"/>
  <c r="J17"/>
  <c r="J67"/>
  <c r="J16"/>
  <c r="J15"/>
  <c r="J76"/>
  <c r="J39"/>
  <c r="J13"/>
  <c r="J51"/>
  <c r="J53"/>
  <c r="J6" i="46"/>
  <c r="J52" i="29"/>
  <c r="J54"/>
  <c r="J9" i="46"/>
  <c r="J14"/>
  <c r="J5"/>
  <c r="J8"/>
  <c r="J13"/>
  <c r="J17"/>
  <c r="J15"/>
  <c r="K19" i="33"/>
  <c r="K63" i="29" s="1"/>
  <c r="J63" i="25"/>
  <c r="J45"/>
  <c r="K17" i="33"/>
  <c r="K61" i="29" s="1"/>
  <c r="K14" i="34"/>
  <c r="K18" i="33"/>
  <c r="K62" i="29" s="1"/>
  <c r="K15" i="33"/>
  <c r="K59" i="29" s="1"/>
  <c r="K16" i="33"/>
  <c r="K60" i="29" s="1"/>
  <c r="J26" i="25"/>
  <c r="J7"/>
  <c r="J6"/>
  <c r="K7" i="33"/>
  <c r="K23" i="29" s="1"/>
  <c r="J36" i="25"/>
  <c r="J17"/>
  <c r="J54"/>
  <c r="K10" i="33"/>
  <c r="K26" i="29" s="1"/>
  <c r="K5" i="34"/>
  <c r="K8" i="33"/>
  <c r="K24" i="29" s="1"/>
  <c r="K6" i="33"/>
  <c r="K22" i="29" s="1"/>
  <c r="K9" i="33"/>
  <c r="K25" i="29" s="1"/>
  <c r="J50"/>
  <c r="J11" i="25" l="1"/>
  <c r="K58" i="29"/>
  <c r="K21"/>
  <c r="J12" i="25"/>
  <c r="J49" i="29"/>
  <c r="K19" i="21"/>
  <c r="L19" i="34" s="1"/>
  <c r="K15" i="21"/>
  <c r="K17"/>
  <c r="K14" i="33"/>
  <c r="K16" i="21"/>
  <c r="K18"/>
  <c r="J8" i="25"/>
  <c r="J11" i="48" s="1"/>
  <c r="J13" s="1"/>
  <c r="K6" i="21"/>
  <c r="K8"/>
  <c r="K7"/>
  <c r="J12" i="29"/>
  <c r="K10" i="21"/>
  <c r="K5" i="33"/>
  <c r="K9" i="21"/>
  <c r="J6" i="48" l="1"/>
  <c r="J8" i="49"/>
  <c r="J10" s="1"/>
  <c r="J13" i="51"/>
  <c r="K71" i="29"/>
  <c r="L18" i="34"/>
  <c r="K69" i="29"/>
  <c r="L16" i="34"/>
  <c r="K70" i="29"/>
  <c r="L17" i="34"/>
  <c r="K68" i="29"/>
  <c r="L15" i="34"/>
  <c r="K34" i="29"/>
  <c r="L9" i="34"/>
  <c r="K35" i="29"/>
  <c r="L10" i="34"/>
  <c r="K32" i="29"/>
  <c r="L7" i="34"/>
  <c r="K33" i="29"/>
  <c r="L8" i="34"/>
  <c r="K31" i="29"/>
  <c r="L6" i="34"/>
  <c r="J13" i="25"/>
  <c r="J5" i="48" s="1"/>
  <c r="K31" i="25"/>
  <c r="K81" i="29" s="1"/>
  <c r="K72"/>
  <c r="K59" i="25"/>
  <c r="K68"/>
  <c r="K29"/>
  <c r="K79" i="29" s="1"/>
  <c r="K46" i="25"/>
  <c r="K27"/>
  <c r="K77" i="29" s="1"/>
  <c r="K50" i="25"/>
  <c r="K67"/>
  <c r="K30"/>
  <c r="K66"/>
  <c r="K14" i="21"/>
  <c r="K16" i="46" s="1"/>
  <c r="K28" i="25"/>
  <c r="K78" i="29" s="1"/>
  <c r="K64" i="25"/>
  <c r="K48"/>
  <c r="K65"/>
  <c r="K47"/>
  <c r="K49"/>
  <c r="K57"/>
  <c r="K56"/>
  <c r="K38"/>
  <c r="K19"/>
  <c r="K41" i="29" s="1"/>
  <c r="K39" i="25"/>
  <c r="K18"/>
  <c r="K40" i="29" s="1"/>
  <c r="K55" i="25"/>
  <c r="K37"/>
  <c r="K22"/>
  <c r="K44" i="29" s="1"/>
  <c r="K20" i="25"/>
  <c r="K42" i="29" s="1"/>
  <c r="K41" i="25"/>
  <c r="K5" i="21"/>
  <c r="K5" i="46" s="1"/>
  <c r="K21" i="25"/>
  <c r="K43" i="29" s="1"/>
  <c r="K58" i="25"/>
  <c r="K40"/>
  <c r="K13" i="29" l="1"/>
  <c r="K16"/>
  <c r="J7" i="48"/>
  <c r="J12" i="51"/>
  <c r="J14" s="1"/>
  <c r="K30" i="29"/>
  <c r="K15"/>
  <c r="K17"/>
  <c r="K67"/>
  <c r="K14"/>
  <c r="K54"/>
  <c r="K80"/>
  <c r="K76" s="1"/>
  <c r="K39"/>
  <c r="K51"/>
  <c r="K13" i="46"/>
  <c r="K6"/>
  <c r="K7"/>
  <c r="K9"/>
  <c r="K15"/>
  <c r="K8"/>
  <c r="K14"/>
  <c r="K17"/>
  <c r="K52" i="29"/>
  <c r="K26" i="25"/>
  <c r="K63"/>
  <c r="K7"/>
  <c r="L15" i="33"/>
  <c r="L59" i="29" s="1"/>
  <c r="L14" i="34"/>
  <c r="L19" i="33"/>
  <c r="L63" i="29" s="1"/>
  <c r="L17" i="33"/>
  <c r="L61" i="29" s="1"/>
  <c r="K45" i="25"/>
  <c r="L16" i="33"/>
  <c r="L60" i="29" s="1"/>
  <c r="L18" i="33"/>
  <c r="L62" i="29" s="1"/>
  <c r="K54" i="25"/>
  <c r="L6" i="33"/>
  <c r="L22" i="29" s="1"/>
  <c r="K36" i="25"/>
  <c r="L8" i="33"/>
  <c r="L24" i="29" s="1"/>
  <c r="L5" i="34"/>
  <c r="L10" i="33"/>
  <c r="L26" i="29" s="1"/>
  <c r="L9" i="33"/>
  <c r="L25" i="29" s="1"/>
  <c r="K6" i="25"/>
  <c r="K17"/>
  <c r="L7" i="33"/>
  <c r="L23" i="29" s="1"/>
  <c r="K11" i="25" l="1"/>
  <c r="K53" i="29"/>
  <c r="L58"/>
  <c r="L21"/>
  <c r="K12" i="25"/>
  <c r="L18" i="21"/>
  <c r="L15"/>
  <c r="L16"/>
  <c r="K50" i="29"/>
  <c r="L17" i="21"/>
  <c r="L19"/>
  <c r="L14" i="33"/>
  <c r="K12" i="29"/>
  <c r="L8" i="21"/>
  <c r="L9"/>
  <c r="L6"/>
  <c r="L5" i="33"/>
  <c r="K8" i="25"/>
  <c r="K11" i="48" s="1"/>
  <c r="K13" s="1"/>
  <c r="L10" i="21"/>
  <c r="L7"/>
  <c r="K8" i="49" l="1"/>
  <c r="K10" s="1"/>
  <c r="K6" i="48"/>
  <c r="L69" i="29"/>
  <c r="M16" i="34"/>
  <c r="L68" i="29"/>
  <c r="M15" i="34"/>
  <c r="L71" i="29"/>
  <c r="M18" i="34"/>
  <c r="L72" i="29"/>
  <c r="M19" i="34"/>
  <c r="L70" i="29"/>
  <c r="M17" i="34"/>
  <c r="L34" i="29"/>
  <c r="M9" i="34"/>
  <c r="L32" i="29"/>
  <c r="M7" i="34"/>
  <c r="L35" i="29"/>
  <c r="M10" i="34"/>
  <c r="L31" i="29"/>
  <c r="M6" i="34"/>
  <c r="L33" i="29"/>
  <c r="M8" i="34"/>
  <c r="K13" i="25"/>
  <c r="K5" i="48" s="1"/>
  <c r="K49" i="29"/>
  <c r="K13" i="51" s="1"/>
  <c r="L49" i="25"/>
  <c r="L67"/>
  <c r="L30"/>
  <c r="L80" i="29" s="1"/>
  <c r="L64" i="25"/>
  <c r="L65"/>
  <c r="L28"/>
  <c r="L78" i="29" s="1"/>
  <c r="L27" i="25"/>
  <c r="L77" i="29" s="1"/>
  <c r="L46" i="25"/>
  <c r="L47"/>
  <c r="L50"/>
  <c r="L29"/>
  <c r="L79" i="29" s="1"/>
  <c r="L14" i="21"/>
  <c r="L15" i="46" s="1"/>
  <c r="L48" i="25"/>
  <c r="L68"/>
  <c r="L66"/>
  <c r="L31"/>
  <c r="L81" i="29" s="1"/>
  <c r="L55" i="25"/>
  <c r="L57"/>
  <c r="L37"/>
  <c r="L39"/>
  <c r="L20"/>
  <c r="L42" i="29" s="1"/>
  <c r="L15" s="1"/>
  <c r="L18" i="25"/>
  <c r="L40" i="29" s="1"/>
  <c r="L21" i="25"/>
  <c r="L43" i="29" s="1"/>
  <c r="L58" i="25"/>
  <c r="L40"/>
  <c r="L56"/>
  <c r="L59"/>
  <c r="L41"/>
  <c r="L22"/>
  <c r="L44" i="29" s="1"/>
  <c r="L5" i="21"/>
  <c r="L7" i="46" s="1"/>
  <c r="L38" i="25"/>
  <c r="L19"/>
  <c r="L41" i="29" s="1"/>
  <c r="L17" l="1"/>
  <c r="K7" i="48"/>
  <c r="K12" i="51"/>
  <c r="K14" s="1"/>
  <c r="L16" i="29"/>
  <c r="L67"/>
  <c r="L14"/>
  <c r="L30"/>
  <c r="L76"/>
  <c r="L39"/>
  <c r="L13"/>
  <c r="L52"/>
  <c r="L13" i="46"/>
  <c r="L9"/>
  <c r="L6"/>
  <c r="L17"/>
  <c r="L5"/>
  <c r="L8"/>
  <c r="L53" i="29"/>
  <c r="L54"/>
  <c r="L14" i="46"/>
  <c r="L16"/>
  <c r="L51" i="29"/>
  <c r="L45" i="25"/>
  <c r="L63"/>
  <c r="M17" i="33"/>
  <c r="M61" i="29" s="1"/>
  <c r="M16" i="33"/>
  <c r="M60" i="29" s="1"/>
  <c r="L7" i="25"/>
  <c r="M19" i="33"/>
  <c r="M63" i="29" s="1"/>
  <c r="M14" i="34"/>
  <c r="M18" i="33"/>
  <c r="M62" i="29" s="1"/>
  <c r="M15" i="33"/>
  <c r="M59" i="29" s="1"/>
  <c r="L26" i="25"/>
  <c r="M5" i="34"/>
  <c r="L54" i="25"/>
  <c r="M8" i="33"/>
  <c r="M24" i="29" s="1"/>
  <c r="M10" i="33"/>
  <c r="M26" i="29" s="1"/>
  <c r="M9" i="33"/>
  <c r="M25" i="29" s="1"/>
  <c r="M7" i="33"/>
  <c r="M23" i="29" s="1"/>
  <c r="M6" i="33"/>
  <c r="M22" i="29" s="1"/>
  <c r="L36" i="25"/>
  <c r="L6"/>
  <c r="L17"/>
  <c r="L50" i="29"/>
  <c r="L11" i="25" l="1"/>
  <c r="M58" i="29"/>
  <c r="M21"/>
  <c r="L12" i="25"/>
  <c r="L49" i="29"/>
  <c r="M16" i="21"/>
  <c r="N16" i="34" s="1"/>
  <c r="M19" i="21"/>
  <c r="M17"/>
  <c r="M18"/>
  <c r="M15"/>
  <c r="M14" i="33"/>
  <c r="L12" i="29"/>
  <c r="M9" i="21"/>
  <c r="M10"/>
  <c r="M6"/>
  <c r="M7"/>
  <c r="M8"/>
  <c r="M5" i="33"/>
  <c r="L8" i="25"/>
  <c r="L11" i="48" s="1"/>
  <c r="L13" s="1"/>
  <c r="L8" i="49" l="1"/>
  <c r="L10" s="1"/>
  <c r="L6" i="48"/>
  <c r="L13" i="51"/>
  <c r="M68" i="29"/>
  <c r="N15" i="34"/>
  <c r="M71" i="29"/>
  <c r="N18" i="34"/>
  <c r="M70" i="29"/>
  <c r="N17" i="34"/>
  <c r="M72" i="29"/>
  <c r="N19" i="34"/>
  <c r="M34" i="29"/>
  <c r="N9" i="34"/>
  <c r="M33" i="29"/>
  <c r="N8" i="34"/>
  <c r="M32" i="29"/>
  <c r="N7" i="34"/>
  <c r="M31" i="29"/>
  <c r="N6" i="34"/>
  <c r="M35" i="29"/>
  <c r="N10" i="34"/>
  <c r="L13" i="25"/>
  <c r="L5" i="48" s="1"/>
  <c r="M47" i="25"/>
  <c r="M69" i="29"/>
  <c r="M65" i="25"/>
  <c r="M28"/>
  <c r="M78" i="29" s="1"/>
  <c r="M27" i="25"/>
  <c r="M77" i="29" s="1"/>
  <c r="M68" i="25"/>
  <c r="M31"/>
  <c r="M50"/>
  <c r="M67"/>
  <c r="M30"/>
  <c r="M80" i="29" s="1"/>
  <c r="M66" i="25"/>
  <c r="M29"/>
  <c r="M48"/>
  <c r="M22"/>
  <c r="M44" i="29" s="1"/>
  <c r="M17" s="1"/>
  <c r="M46" i="25"/>
  <c r="M49"/>
  <c r="M14" i="21"/>
  <c r="M15" i="46" s="1"/>
  <c r="E31" i="40" s="1"/>
  <c r="M64" i="25"/>
  <c r="M59"/>
  <c r="M41"/>
  <c r="M40"/>
  <c r="M58"/>
  <c r="M39"/>
  <c r="M5" i="21"/>
  <c r="M6" i="46" s="1"/>
  <c r="M57" i="25"/>
  <c r="M20"/>
  <c r="M42" i="29" s="1"/>
  <c r="M21" i="25"/>
  <c r="M43" i="29" s="1"/>
  <c r="M37" i="25"/>
  <c r="M55"/>
  <c r="M18"/>
  <c r="M40" i="29" s="1"/>
  <c r="M19" i="25"/>
  <c r="M41" i="29" s="1"/>
  <c r="M56" i="25"/>
  <c r="M38"/>
  <c r="L7" i="48" l="1"/>
  <c r="L12" i="51"/>
  <c r="L14" s="1"/>
  <c r="M15" i="29"/>
  <c r="M16"/>
  <c r="M67"/>
  <c r="M30"/>
  <c r="M14"/>
  <c r="M13"/>
  <c r="M81"/>
  <c r="M54" s="1"/>
  <c r="M79"/>
  <c r="M52" s="1"/>
  <c r="M39"/>
  <c r="E22" i="40"/>
  <c r="M51" i="29"/>
  <c r="M5" i="46"/>
  <c r="M8"/>
  <c r="M9"/>
  <c r="M7"/>
  <c r="M16"/>
  <c r="E32" i="40" s="1"/>
  <c r="M13" i="46"/>
  <c r="E29" i="40" s="1"/>
  <c r="M17" i="46"/>
  <c r="E33" i="40" s="1"/>
  <c r="M53" i="29"/>
  <c r="M14" i="46"/>
  <c r="E30" i="40" s="1"/>
  <c r="N17" i="33"/>
  <c r="N61" i="29" s="1"/>
  <c r="M45" i="25"/>
  <c r="N15" i="33"/>
  <c r="N59" i="29" s="1"/>
  <c r="N18" i="33"/>
  <c r="N62" i="29" s="1"/>
  <c r="M63" i="25"/>
  <c r="M26"/>
  <c r="N14" i="34"/>
  <c r="M7" i="25"/>
  <c r="N16" i="33"/>
  <c r="N60" i="29" s="1"/>
  <c r="N19" i="33"/>
  <c r="N63" i="29" s="1"/>
  <c r="N6" i="33"/>
  <c r="M36" i="25"/>
  <c r="N10" i="33"/>
  <c r="N26" i="29" s="1"/>
  <c r="N7" i="33"/>
  <c r="N23" i="29" s="1"/>
  <c r="M54" i="25"/>
  <c r="N8" i="33"/>
  <c r="N24" i="29" s="1"/>
  <c r="N5" i="34"/>
  <c r="N9" i="33"/>
  <c r="N25" i="29" s="1"/>
  <c r="M6" i="25"/>
  <c r="M17"/>
  <c r="M50" i="29"/>
  <c r="M11" i="25" l="1"/>
  <c r="N17" i="21"/>
  <c r="M76" i="29"/>
  <c r="N58"/>
  <c r="N6" i="21"/>
  <c r="N22" i="29"/>
  <c r="M49"/>
  <c r="E23" i="40"/>
  <c r="E25"/>
  <c r="E24"/>
  <c r="E21"/>
  <c r="M12" i="25"/>
  <c r="M12" i="29"/>
  <c r="N19" i="21"/>
  <c r="N15"/>
  <c r="N16"/>
  <c r="M8" i="25"/>
  <c r="M11" i="48" s="1"/>
  <c r="M13" s="1"/>
  <c r="N18" i="21"/>
  <c r="N14" i="33"/>
  <c r="N10" i="21"/>
  <c r="N7"/>
  <c r="N8"/>
  <c r="N9"/>
  <c r="N5" i="33"/>
  <c r="M13" i="51" l="1"/>
  <c r="M6" i="48"/>
  <c r="M8" i="49"/>
  <c r="M10" s="1"/>
  <c r="N72" i="29"/>
  <c r="O19" i="34"/>
  <c r="N71" i="29"/>
  <c r="O18" i="34"/>
  <c r="N70" i="29"/>
  <c r="O17" i="34"/>
  <c r="N69" i="29"/>
  <c r="O16" i="34"/>
  <c r="N68" i="29"/>
  <c r="O15" i="34"/>
  <c r="N33" i="29"/>
  <c r="O8" i="34"/>
  <c r="N32" i="29"/>
  <c r="O7" i="34"/>
  <c r="N31" i="29"/>
  <c r="O6" i="34"/>
  <c r="N35" i="29"/>
  <c r="O10" i="34"/>
  <c r="N34" i="29"/>
  <c r="O9" i="34"/>
  <c r="M13" i="25"/>
  <c r="M5" i="48" s="1"/>
  <c r="E37" i="40" s="1"/>
  <c r="N55" i="25"/>
  <c r="N18"/>
  <c r="N40" i="29" s="1"/>
  <c r="N48" i="25"/>
  <c r="N66"/>
  <c r="N29"/>
  <c r="N79" i="29" s="1"/>
  <c r="N37" i="25"/>
  <c r="N21" i="29"/>
  <c r="N67" i="25"/>
  <c r="N27"/>
  <c r="N77" i="29" s="1"/>
  <c r="N49" i="25"/>
  <c r="N64"/>
  <c r="N46"/>
  <c r="N50"/>
  <c r="N31"/>
  <c r="N81" i="29" s="1"/>
  <c r="N68" i="25"/>
  <c r="N47"/>
  <c r="N65"/>
  <c r="N14" i="21"/>
  <c r="N15" i="46" s="1"/>
  <c r="N28" i="25"/>
  <c r="N78" i="29" s="1"/>
  <c r="N30" i="25"/>
  <c r="N80" i="29" s="1"/>
  <c r="N22" i="25"/>
  <c r="N44" i="29" s="1"/>
  <c r="N59" i="25"/>
  <c r="N41"/>
  <c r="N56"/>
  <c r="N19"/>
  <c r="N41" i="29" s="1"/>
  <c r="N38" i="25"/>
  <c r="N21"/>
  <c r="N43" i="29" s="1"/>
  <c r="N39" i="25"/>
  <c r="N20"/>
  <c r="N42" i="29" s="1"/>
  <c r="N5" i="21"/>
  <c r="N5" i="46" s="1"/>
  <c r="N57" i="25"/>
  <c r="N40"/>
  <c r="N58"/>
  <c r="M12" i="51" l="1"/>
  <c r="M14" s="1"/>
  <c r="N52" i="29"/>
  <c r="N16"/>
  <c r="N15"/>
  <c r="N30"/>
  <c r="N67"/>
  <c r="N14"/>
  <c r="N17"/>
  <c r="N13"/>
  <c r="N76"/>
  <c r="N39"/>
  <c r="N54"/>
  <c r="N6" i="46"/>
  <c r="N7"/>
  <c r="N8"/>
  <c r="N51" i="29"/>
  <c r="N9" i="46"/>
  <c r="N17"/>
  <c r="N16"/>
  <c r="N53" i="29"/>
  <c r="N14" i="46"/>
  <c r="N13"/>
  <c r="O17" i="33"/>
  <c r="O61" i="29" s="1"/>
  <c r="N7" i="25"/>
  <c r="N45"/>
  <c r="N63"/>
  <c r="O15" i="33"/>
  <c r="O59" i="29" s="1"/>
  <c r="N26" i="25"/>
  <c r="O19" i="33"/>
  <c r="O63" i="29" s="1"/>
  <c r="O14" i="34"/>
  <c r="O16" i="33"/>
  <c r="O60" i="29" s="1"/>
  <c r="O18" i="33"/>
  <c r="O62" i="29" s="1"/>
  <c r="O7" i="33"/>
  <c r="O23" i="29" s="1"/>
  <c r="N54" i="25"/>
  <c r="N36"/>
  <c r="O5" i="34"/>
  <c r="N17" i="25"/>
  <c r="O8" i="33"/>
  <c r="O24" i="29" s="1"/>
  <c r="N6" i="25"/>
  <c r="O6" i="33"/>
  <c r="O22" i="29" s="1"/>
  <c r="O10" i="33"/>
  <c r="O26" i="29" s="1"/>
  <c r="O9" i="33"/>
  <c r="O25" i="29" s="1"/>
  <c r="N50"/>
  <c r="M7" i="48" l="1"/>
  <c r="E39" i="40" s="1"/>
  <c r="E38"/>
  <c r="N11" i="25"/>
  <c r="O17" i="21"/>
  <c r="O58" i="29"/>
  <c r="O21"/>
  <c r="N12" i="25"/>
  <c r="N12" i="29"/>
  <c r="N49"/>
  <c r="O18" i="21"/>
  <c r="P18" i="34" s="1"/>
  <c r="O16" i="21"/>
  <c r="O19"/>
  <c r="O15"/>
  <c r="O14" i="33"/>
  <c r="O8" i="21"/>
  <c r="O7"/>
  <c r="O10"/>
  <c r="N8" i="25"/>
  <c r="N11" i="48" s="1"/>
  <c r="N13" s="1"/>
  <c r="O6" i="21"/>
  <c r="O5" i="33"/>
  <c r="O9" i="21"/>
  <c r="N6" i="48" l="1"/>
  <c r="N8" i="49"/>
  <c r="N10" s="1"/>
  <c r="N13" i="51"/>
  <c r="O68" i="29"/>
  <c r="P15" i="34"/>
  <c r="O72" i="29"/>
  <c r="P19" i="34"/>
  <c r="O70" i="29"/>
  <c r="P17" i="34"/>
  <c r="O69" i="29"/>
  <c r="P16" i="34"/>
  <c r="O33" i="29"/>
  <c r="P8" i="34"/>
  <c r="O34" i="29"/>
  <c r="P9" i="34"/>
  <c r="O31" i="29"/>
  <c r="P6" i="34"/>
  <c r="O35" i="29"/>
  <c r="P10" i="34"/>
  <c r="O32" i="29"/>
  <c r="P7" i="34"/>
  <c r="N13" i="25"/>
  <c r="N5" i="48" s="1"/>
  <c r="O29" i="25"/>
  <c r="O79" i="29" s="1"/>
  <c r="O48" i="25"/>
  <c r="O66"/>
  <c r="O30"/>
  <c r="O80" i="29" s="1"/>
  <c r="O71"/>
  <c r="O49" i="25"/>
  <c r="O67"/>
  <c r="O31"/>
  <c r="O81" i="29" s="1"/>
  <c r="O68" i="25"/>
  <c r="O50"/>
  <c r="O46"/>
  <c r="O65"/>
  <c r="O47"/>
  <c r="O28"/>
  <c r="O78" i="29" s="1"/>
  <c r="O14" i="21"/>
  <c r="O15" i="46" s="1"/>
  <c r="O27" i="25"/>
  <c r="O77" i="29" s="1"/>
  <c r="O64" i="25"/>
  <c r="O39"/>
  <c r="O20"/>
  <c r="O42" i="29" s="1"/>
  <c r="O57" i="25"/>
  <c r="O38"/>
  <c r="O56"/>
  <c r="O19"/>
  <c r="O41" i="29" s="1"/>
  <c r="O55" i="25"/>
  <c r="O37"/>
  <c r="O22"/>
  <c r="O44" i="29" s="1"/>
  <c r="O59" i="25"/>
  <c r="O41"/>
  <c r="O18"/>
  <c r="O40" i="29" s="1"/>
  <c r="O58" i="25"/>
  <c r="O40"/>
  <c r="O5" i="21"/>
  <c r="O5" i="46" s="1"/>
  <c r="O21" i="25"/>
  <c r="O43" i="29" s="1"/>
  <c r="O16" l="1"/>
  <c r="N7" i="48"/>
  <c r="N12" i="51"/>
  <c r="N14" s="1"/>
  <c r="O52" i="29"/>
  <c r="O15"/>
  <c r="O30"/>
  <c r="O13"/>
  <c r="O67"/>
  <c r="O17"/>
  <c r="O53"/>
  <c r="O76"/>
  <c r="O39"/>
  <c r="O14"/>
  <c r="O54"/>
  <c r="O51"/>
  <c r="O13" i="46"/>
  <c r="O6"/>
  <c r="O9"/>
  <c r="O7"/>
  <c r="O8"/>
  <c r="O16"/>
  <c r="O17"/>
  <c r="O14"/>
  <c r="P17" i="33"/>
  <c r="P61" i="29" s="1"/>
  <c r="O45" i="25"/>
  <c r="O63"/>
  <c r="O26"/>
  <c r="O7"/>
  <c r="P18" i="33"/>
  <c r="P62" i="29" s="1"/>
  <c r="P14" i="34"/>
  <c r="P15" i="33"/>
  <c r="P59" i="29" s="1"/>
  <c r="P16" i="33"/>
  <c r="P60" i="29" s="1"/>
  <c r="P19" i="33"/>
  <c r="P63" i="29" s="1"/>
  <c r="P7" i="33"/>
  <c r="P23" i="29" s="1"/>
  <c r="P9" i="33"/>
  <c r="P25" i="29" s="1"/>
  <c r="P6" i="33"/>
  <c r="P22" i="29" s="1"/>
  <c r="O36" i="25"/>
  <c r="O54"/>
  <c r="P5" i="34"/>
  <c r="O17" i="25"/>
  <c r="P10" i="33"/>
  <c r="P26" i="29" s="1"/>
  <c r="O6" i="25"/>
  <c r="P8" i="33"/>
  <c r="P24" i="29" s="1"/>
  <c r="O50"/>
  <c r="O11" i="25" l="1"/>
  <c r="P58" i="29"/>
  <c r="P21"/>
  <c r="O12" i="25"/>
  <c r="O49" i="29"/>
  <c r="O12"/>
  <c r="P17" i="21"/>
  <c r="Q17" i="34" s="1"/>
  <c r="P18" i="21"/>
  <c r="P14" i="33"/>
  <c r="P16" i="21"/>
  <c r="P19"/>
  <c r="P15"/>
  <c r="P7"/>
  <c r="P9"/>
  <c r="P6"/>
  <c r="P10"/>
  <c r="P8"/>
  <c r="O8" i="25"/>
  <c r="O11" i="48" s="1"/>
  <c r="O13" s="1"/>
  <c r="P5" i="33"/>
  <c r="O6" i="48" l="1"/>
  <c r="O8" i="49"/>
  <c r="O10" s="1"/>
  <c r="O13" i="51"/>
  <c r="P68" i="29"/>
  <c r="Q15" i="34"/>
  <c r="P69" i="29"/>
  <c r="Q16" i="34"/>
  <c r="P71" i="29"/>
  <c r="Q18" i="34"/>
  <c r="P72" i="29"/>
  <c r="Q19" i="34"/>
  <c r="P34" i="29"/>
  <c r="Q9" i="34"/>
  <c r="P32" i="29"/>
  <c r="Q7" i="34"/>
  <c r="P33" i="29"/>
  <c r="Q8" i="34"/>
  <c r="P35" i="29"/>
  <c r="Q10" i="34"/>
  <c r="P31" i="29"/>
  <c r="Q6" i="34"/>
  <c r="O13" i="25"/>
  <c r="O5" i="48" s="1"/>
  <c r="P29" i="25"/>
  <c r="P79" i="29" s="1"/>
  <c r="P70"/>
  <c r="P48" i="25"/>
  <c r="P66"/>
  <c r="P67"/>
  <c r="P49"/>
  <c r="P30"/>
  <c r="P80" i="29" s="1"/>
  <c r="P31" i="25"/>
  <c r="P81" i="29" s="1"/>
  <c r="P64" i="25"/>
  <c r="P46"/>
  <c r="P68"/>
  <c r="P47"/>
  <c r="P14" i="21"/>
  <c r="P14" i="46" s="1"/>
  <c r="P65" i="25"/>
  <c r="P28"/>
  <c r="P78" i="29" s="1"/>
  <c r="P27" i="25"/>
  <c r="P77" i="29" s="1"/>
  <c r="P50" i="25"/>
  <c r="P19"/>
  <c r="P41" i="29" s="1"/>
  <c r="P56" i="25"/>
  <c r="P38"/>
  <c r="P20"/>
  <c r="P42" i="29" s="1"/>
  <c r="P57" i="25"/>
  <c r="P59"/>
  <c r="P41"/>
  <c r="P40"/>
  <c r="P58"/>
  <c r="P21"/>
  <c r="P43" i="29" s="1"/>
  <c r="P22" i="25"/>
  <c r="P44" i="29" s="1"/>
  <c r="P39" i="25"/>
  <c r="P55"/>
  <c r="P5" i="21"/>
  <c r="P6" i="46" s="1"/>
  <c r="P18" i="25"/>
  <c r="P40" i="29" s="1"/>
  <c r="P37" i="25"/>
  <c r="P13" i="29" l="1"/>
  <c r="O7" i="48"/>
  <c r="O12" i="51"/>
  <c r="O14" s="1"/>
  <c r="P16" i="29"/>
  <c r="P30"/>
  <c r="P17"/>
  <c r="P14"/>
  <c r="P67"/>
  <c r="P15"/>
  <c r="P52"/>
  <c r="P76"/>
  <c r="P39"/>
  <c r="P8" i="46"/>
  <c r="P5"/>
  <c r="P9"/>
  <c r="P51" i="29"/>
  <c r="P17" i="46"/>
  <c r="P54" i="29"/>
  <c r="P7" i="46"/>
  <c r="P53" i="29"/>
  <c r="P16" i="46"/>
  <c r="P13"/>
  <c r="P15"/>
  <c r="P7" i="25"/>
  <c r="P63"/>
  <c r="Q18" i="33"/>
  <c r="Q62" i="29" s="1"/>
  <c r="Q15" i="33"/>
  <c r="Q59" i="29" s="1"/>
  <c r="P45" i="25"/>
  <c r="Q14" i="34"/>
  <c r="Q17" i="33"/>
  <c r="Q61" i="29" s="1"/>
  <c r="P26" i="25"/>
  <c r="Q16" i="33"/>
  <c r="Q60" i="29" s="1"/>
  <c r="Q19" i="33"/>
  <c r="Q63" i="29" s="1"/>
  <c r="Q7" i="33"/>
  <c r="Q23" i="29" s="1"/>
  <c r="Q10" i="33"/>
  <c r="Q26" i="29" s="1"/>
  <c r="P36" i="25"/>
  <c r="Q9" i="33"/>
  <c r="Q25" i="29" s="1"/>
  <c r="Q6" i="33"/>
  <c r="Q22" i="29" s="1"/>
  <c r="Q5" i="34"/>
  <c r="Q8" i="33"/>
  <c r="Q24" i="29" s="1"/>
  <c r="P6" i="25"/>
  <c r="P54"/>
  <c r="P17"/>
  <c r="P50" i="29"/>
  <c r="P11" i="25" l="1"/>
  <c r="Q58" i="29"/>
  <c r="Q21"/>
  <c r="P12" i="25"/>
  <c r="P12" i="29"/>
  <c r="P49"/>
  <c r="Q15" i="21"/>
  <c r="R15" i="34" s="1"/>
  <c r="Q18" i="21"/>
  <c r="R18" i="34" s="1"/>
  <c r="Q14" i="33"/>
  <c r="Q16" i="21"/>
  <c r="Q17"/>
  <c r="Q19"/>
  <c r="Q7"/>
  <c r="Q6"/>
  <c r="Q10"/>
  <c r="Q9"/>
  <c r="Q5" i="33"/>
  <c r="P8" i="25"/>
  <c r="P11" i="48" s="1"/>
  <c r="P13" s="1"/>
  <c r="Q8" i="21"/>
  <c r="P13" i="51" l="1"/>
  <c r="P6" i="48"/>
  <c r="P8" i="49"/>
  <c r="P10" s="1"/>
  <c r="Q72" i="29"/>
  <c r="R19" i="34"/>
  <c r="Q70" i="29"/>
  <c r="R17" i="34"/>
  <c r="Q69" i="29"/>
  <c r="R16" i="34"/>
  <c r="Q32" i="29"/>
  <c r="R7" i="34"/>
  <c r="Q35" i="29"/>
  <c r="R10" i="34"/>
  <c r="Q33" i="29"/>
  <c r="R8" i="34"/>
  <c r="Q34" i="29"/>
  <c r="R9" i="34"/>
  <c r="Q31" i="29"/>
  <c r="R6" i="34"/>
  <c r="P13" i="25"/>
  <c r="P5" i="48" s="1"/>
  <c r="Q49" i="25"/>
  <c r="Q71" i="29"/>
  <c r="Q46" i="25"/>
  <c r="Q68" i="29"/>
  <c r="Q64" i="25"/>
  <c r="Q67"/>
  <c r="Q27"/>
  <c r="Q77" i="29" s="1"/>
  <c r="Q30" i="25"/>
  <c r="Q80" i="29" s="1"/>
  <c r="Q65" i="25"/>
  <c r="Q28"/>
  <c r="Q78" i="29" s="1"/>
  <c r="Q47" i="25"/>
  <c r="Q50"/>
  <c r="Q31"/>
  <c r="Q68"/>
  <c r="Q14" i="21"/>
  <c r="Q15" i="46" s="1"/>
  <c r="Q29" i="25"/>
  <c r="Q79" i="29" s="1"/>
  <c r="Q48" i="25"/>
  <c r="Q66"/>
  <c r="Q18"/>
  <c r="Q40" i="29" s="1"/>
  <c r="Q41" i="25"/>
  <c r="Q56"/>
  <c r="Q22"/>
  <c r="Q44" i="29" s="1"/>
  <c r="Q59" i="25"/>
  <c r="Q39"/>
  <c r="Q57"/>
  <c r="Q55"/>
  <c r="Q40"/>
  <c r="Q38"/>
  <c r="Q19"/>
  <c r="Q41" i="29" s="1"/>
  <c r="Q21" i="25"/>
  <c r="Q43" i="29" s="1"/>
  <c r="Q58" i="25"/>
  <c r="Q37"/>
  <c r="Q20"/>
  <c r="Q42" i="29" s="1"/>
  <c r="Q5" i="21"/>
  <c r="Q8" i="46" s="1"/>
  <c r="P7" i="48" l="1"/>
  <c r="P12" i="51"/>
  <c r="P14" s="1"/>
  <c r="Q15" i="29"/>
  <c r="Q14"/>
  <c r="Q13"/>
  <c r="Q30"/>
  <c r="Q16"/>
  <c r="Q67"/>
  <c r="Q81"/>
  <c r="Q76" s="1"/>
  <c r="Q39"/>
  <c r="Q17"/>
  <c r="Q7" i="46"/>
  <c r="Q5"/>
  <c r="Q9"/>
  <c r="Q52" i="29"/>
  <c r="Q51"/>
  <c r="Q17" i="46"/>
  <c r="Q6"/>
  <c r="Q53" i="29"/>
  <c r="Q16" i="46"/>
  <c r="Q14"/>
  <c r="Q13"/>
  <c r="R14" i="34"/>
  <c r="Q63" i="25"/>
  <c r="R18" i="33"/>
  <c r="R62" i="29" s="1"/>
  <c r="R17" i="33"/>
  <c r="R61" i="29" s="1"/>
  <c r="Q45" i="25"/>
  <c r="R19" i="33"/>
  <c r="R63" i="29" s="1"/>
  <c r="R16" i="33"/>
  <c r="R60" i="29" s="1"/>
  <c r="Q7" i="25"/>
  <c r="Q26"/>
  <c r="R15" i="33"/>
  <c r="R59" i="29" s="1"/>
  <c r="R9" i="33"/>
  <c r="R25" i="29" s="1"/>
  <c r="Q17" i="25"/>
  <c r="Q54"/>
  <c r="R8" i="33"/>
  <c r="R24" i="29" s="1"/>
  <c r="R7" i="33"/>
  <c r="R23" i="29" s="1"/>
  <c r="R5" i="34"/>
  <c r="R10" i="33"/>
  <c r="R26" i="29" s="1"/>
  <c r="R6" i="33"/>
  <c r="R22" i="29" s="1"/>
  <c r="Q36" i="25"/>
  <c r="Q6"/>
  <c r="Q50" i="29"/>
  <c r="Q12" l="1"/>
  <c r="Q11" i="25"/>
  <c r="R58" i="29"/>
  <c r="Q54"/>
  <c r="Q49" s="1"/>
  <c r="R21"/>
  <c r="Q12" i="25"/>
  <c r="R17" i="21"/>
  <c r="S17" i="34" s="1"/>
  <c r="R16" i="21"/>
  <c r="R18"/>
  <c r="Q8" i="25"/>
  <c r="Q11" i="48" s="1"/>
  <c r="Q13" s="1"/>
  <c r="R19" i="21"/>
  <c r="R15"/>
  <c r="R14" i="33"/>
  <c r="R9" i="21"/>
  <c r="R8"/>
  <c r="R7"/>
  <c r="R10"/>
  <c r="R5" i="33"/>
  <c r="R6" i="21"/>
  <c r="Q13" i="51" l="1"/>
  <c r="Q6" i="48"/>
  <c r="Q8" i="49"/>
  <c r="Q10" s="1"/>
  <c r="R68" i="29"/>
  <c r="S15" i="34"/>
  <c r="R72" i="29"/>
  <c r="S19" i="34"/>
  <c r="R71" i="29"/>
  <c r="S18" i="34"/>
  <c r="R69" i="29"/>
  <c r="S16" i="34"/>
  <c r="R34" i="29"/>
  <c r="S9" i="34"/>
  <c r="R31" i="29"/>
  <c r="S6" i="34"/>
  <c r="R35" i="29"/>
  <c r="S10" i="34"/>
  <c r="R32" i="29"/>
  <c r="S7" i="34"/>
  <c r="R33" i="29"/>
  <c r="S8" i="34"/>
  <c r="Q13" i="25"/>
  <c r="Q5" i="48" s="1"/>
  <c r="R66" i="25"/>
  <c r="R70" i="29"/>
  <c r="R29" i="25"/>
  <c r="R79" i="29" s="1"/>
  <c r="R48" i="25"/>
  <c r="R47"/>
  <c r="R28"/>
  <c r="R65"/>
  <c r="R30"/>
  <c r="R80" i="29" s="1"/>
  <c r="R49" i="25"/>
  <c r="R67"/>
  <c r="R68"/>
  <c r="R50"/>
  <c r="R31"/>
  <c r="R81" i="29" s="1"/>
  <c r="R38" i="25"/>
  <c r="R27"/>
  <c r="R77" i="29" s="1"/>
  <c r="R64" i="25"/>
  <c r="R14" i="21"/>
  <c r="R17" i="46" s="1"/>
  <c r="F33" i="40" s="1"/>
  <c r="R46" i="25"/>
  <c r="R56"/>
  <c r="R22"/>
  <c r="R44" i="29" s="1"/>
  <c r="R19" i="25"/>
  <c r="R41" i="29" s="1"/>
  <c r="R58" i="25"/>
  <c r="R40"/>
  <c r="R21"/>
  <c r="R43" i="29" s="1"/>
  <c r="R41" i="25"/>
  <c r="R37"/>
  <c r="R59"/>
  <c r="R57"/>
  <c r="R39"/>
  <c r="R20"/>
  <c r="R42" i="29" s="1"/>
  <c r="R15" s="1"/>
  <c r="R18" i="25"/>
  <c r="R40" i="29" s="1"/>
  <c r="R55" i="25"/>
  <c r="R5" i="21"/>
  <c r="R9" i="46" s="1"/>
  <c r="R16" i="29" l="1"/>
  <c r="Q7" i="48"/>
  <c r="Q12" i="51"/>
  <c r="Q14" s="1"/>
  <c r="R13" i="29"/>
  <c r="R67"/>
  <c r="R30"/>
  <c r="R17"/>
  <c r="R14"/>
  <c r="R78"/>
  <c r="R51" s="1"/>
  <c r="R39"/>
  <c r="R52"/>
  <c r="F25" i="40"/>
  <c r="R54" i="29"/>
  <c r="R7" i="46"/>
  <c r="R6"/>
  <c r="R5"/>
  <c r="R13"/>
  <c r="F29" i="40" s="1"/>
  <c r="R8" i="46"/>
  <c r="R14"/>
  <c r="F30" i="40" s="1"/>
  <c r="R16" i="46"/>
  <c r="F32" i="40" s="1"/>
  <c r="R15" i="46"/>
  <c r="F31" i="40" s="1"/>
  <c r="R53" i="29"/>
  <c r="S17" i="33"/>
  <c r="S61" i="29" s="1"/>
  <c r="R45" i="25"/>
  <c r="R63"/>
  <c r="S18" i="33"/>
  <c r="S62" i="29" s="1"/>
  <c r="S16" i="33"/>
  <c r="S60" i="29" s="1"/>
  <c r="R26" i="25"/>
  <c r="S15" i="33"/>
  <c r="S59" i="29" s="1"/>
  <c r="S19" i="33"/>
  <c r="S63" i="29" s="1"/>
  <c r="S14" i="34"/>
  <c r="R7" i="25"/>
  <c r="S10" i="33"/>
  <c r="S26" i="29" s="1"/>
  <c r="R17" i="25"/>
  <c r="R36"/>
  <c r="R6"/>
  <c r="R54"/>
  <c r="S5" i="34"/>
  <c r="S7" i="33"/>
  <c r="S23" i="29" s="1"/>
  <c r="S9" i="33"/>
  <c r="S25" i="29" s="1"/>
  <c r="S8" i="33"/>
  <c r="S24" i="29" s="1"/>
  <c r="S6" i="33"/>
  <c r="S22" i="29" s="1"/>
  <c r="R11" i="25" l="1"/>
  <c r="S58" i="29"/>
  <c r="R76"/>
  <c r="S21"/>
  <c r="F24" i="40"/>
  <c r="F21"/>
  <c r="F22"/>
  <c r="R12" i="29"/>
  <c r="F23" i="40"/>
  <c r="R12" i="25"/>
  <c r="S19" i="21"/>
  <c r="T19" i="34" s="1"/>
  <c r="S15" i="21"/>
  <c r="T15" i="34" s="1"/>
  <c r="S18" i="21"/>
  <c r="S17"/>
  <c r="S14" i="33"/>
  <c r="S16" i="21"/>
  <c r="R50" i="29"/>
  <c r="R49" s="1"/>
  <c r="R8" i="25"/>
  <c r="R11" i="48" s="1"/>
  <c r="R13" s="1"/>
  <c r="S7" i="21"/>
  <c r="S10"/>
  <c r="S9"/>
  <c r="S6"/>
  <c r="S5" i="33"/>
  <c r="S8" i="21"/>
  <c r="R6" i="48" l="1"/>
  <c r="R8" i="49"/>
  <c r="R10" s="1"/>
  <c r="R13" i="51"/>
  <c r="S71" i="29"/>
  <c r="T18" i="34"/>
  <c r="S69" i="29"/>
  <c r="T16" i="34"/>
  <c r="S70" i="29"/>
  <c r="T17" i="34"/>
  <c r="S34" i="29"/>
  <c r="T9" i="34"/>
  <c r="S35" i="29"/>
  <c r="T10" i="34"/>
  <c r="S32" i="29"/>
  <c r="T7" i="34"/>
  <c r="S33" i="29"/>
  <c r="T8" i="34"/>
  <c r="S31" i="29"/>
  <c r="T6" i="34"/>
  <c r="R13" i="25"/>
  <c r="R5" i="48" s="1"/>
  <c r="F37" i="40" s="1"/>
  <c r="S27" i="25"/>
  <c r="S77" i="29" s="1"/>
  <c r="S68"/>
  <c r="S31" i="25"/>
  <c r="S81" i="29" s="1"/>
  <c r="S72"/>
  <c r="S68" i="25"/>
  <c r="S50"/>
  <c r="S64"/>
  <c r="S28"/>
  <c r="S78" i="29" s="1"/>
  <c r="S46" i="25"/>
  <c r="S49"/>
  <c r="S66"/>
  <c r="S29"/>
  <c r="S79" i="29" s="1"/>
  <c r="S67" i="25"/>
  <c r="S48"/>
  <c r="S30"/>
  <c r="S80" i="29" s="1"/>
  <c r="S14" i="21"/>
  <c r="S15" i="46" s="1"/>
  <c r="S65" i="25"/>
  <c r="S47"/>
  <c r="S38"/>
  <c r="S40"/>
  <c r="S58"/>
  <c r="S21"/>
  <c r="S43" i="29" s="1"/>
  <c r="S19" i="25"/>
  <c r="S41" i="29" s="1"/>
  <c r="S56" i="25"/>
  <c r="S41"/>
  <c r="S59"/>
  <c r="S22"/>
  <c r="S44" i="29" s="1"/>
  <c r="S37" i="25"/>
  <c r="S39"/>
  <c r="S18"/>
  <c r="S40" i="29" s="1"/>
  <c r="S55" i="25"/>
  <c r="S20"/>
  <c r="S42" i="29" s="1"/>
  <c r="S57" i="25"/>
  <c r="S5" i="21"/>
  <c r="S5" i="46" s="1"/>
  <c r="R12" i="51" l="1"/>
  <c r="R14" s="1"/>
  <c r="S17" i="29"/>
  <c r="S14"/>
  <c r="S16"/>
  <c r="S30"/>
  <c r="S13"/>
  <c r="S15"/>
  <c r="S54"/>
  <c r="S50"/>
  <c r="S67"/>
  <c r="S76"/>
  <c r="S39"/>
  <c r="S52"/>
  <c r="S7" i="46"/>
  <c r="T15" i="33"/>
  <c r="T59" i="29" s="1"/>
  <c r="S9" i="46"/>
  <c r="S6"/>
  <c r="S8"/>
  <c r="S14"/>
  <c r="S13"/>
  <c r="S16"/>
  <c r="S17"/>
  <c r="T14" i="34"/>
  <c r="T17" i="33"/>
  <c r="T61" i="29" s="1"/>
  <c r="T18" i="33"/>
  <c r="T62" i="29" s="1"/>
  <c r="T16" i="33"/>
  <c r="T60" i="29" s="1"/>
  <c r="S7" i="25"/>
  <c r="T19" i="33"/>
  <c r="T63" i="29" s="1"/>
  <c r="S51"/>
  <c r="S63" i="25"/>
  <c r="S53" i="29"/>
  <c r="S45" i="25"/>
  <c r="S26"/>
  <c r="T9" i="33"/>
  <c r="T25" i="29" s="1"/>
  <c r="S36" i="25"/>
  <c r="T7" i="33"/>
  <c r="T23" i="29" s="1"/>
  <c r="T8" i="33"/>
  <c r="T24" i="29" s="1"/>
  <c r="S6" i="25"/>
  <c r="T10" i="33"/>
  <c r="T26" i="29" s="1"/>
  <c r="T5" i="34"/>
  <c r="S54" i="25"/>
  <c r="T6" i="33"/>
  <c r="T22" i="29" s="1"/>
  <c r="S17" i="25"/>
  <c r="R7" i="48" l="1"/>
  <c r="F39" i="40" s="1"/>
  <c r="F38"/>
  <c r="S11" i="25"/>
  <c r="T15" i="21"/>
  <c r="T58" i="29"/>
  <c r="T21"/>
  <c r="T18" i="21"/>
  <c r="S12" i="25"/>
  <c r="S12" i="29"/>
  <c r="T17" i="21"/>
  <c r="U17" i="34" s="1"/>
  <c r="T16" i="21"/>
  <c r="U16" i="34" s="1"/>
  <c r="S49" i="29"/>
  <c r="T19" i="21"/>
  <c r="S8" i="25"/>
  <c r="S11" i="48" s="1"/>
  <c r="S13" s="1"/>
  <c r="T14" i="33"/>
  <c r="T9" i="21"/>
  <c r="T10"/>
  <c r="T8"/>
  <c r="T7"/>
  <c r="T5" i="33"/>
  <c r="T6" i="21"/>
  <c r="S8" i="49" l="1"/>
  <c r="S10" s="1"/>
  <c r="S6" i="48"/>
  <c r="S13" i="51"/>
  <c r="T30" i="25"/>
  <c r="T80" i="29" s="1"/>
  <c r="U18" i="34"/>
  <c r="T72" i="29"/>
  <c r="U19" i="34"/>
  <c r="T68" i="29"/>
  <c r="U15" i="34"/>
  <c r="T31" i="29"/>
  <c r="U6" i="34"/>
  <c r="T32" i="29"/>
  <c r="U7" i="34"/>
  <c r="T33" i="29"/>
  <c r="U8" i="34"/>
  <c r="T35" i="29"/>
  <c r="U10" i="34"/>
  <c r="T34" i="29"/>
  <c r="U9" i="34"/>
  <c r="T64" i="25"/>
  <c r="T46"/>
  <c r="T27"/>
  <c r="T77" i="29" s="1"/>
  <c r="T29" i="25"/>
  <c r="T79" i="29" s="1"/>
  <c r="T70"/>
  <c r="T69"/>
  <c r="T49" i="25"/>
  <c r="T71" i="29"/>
  <c r="T67" i="25"/>
  <c r="S13"/>
  <c r="S5" i="48" s="1"/>
  <c r="T66" i="25"/>
  <c r="T47"/>
  <c r="T14" i="21"/>
  <c r="T17" i="46" s="1"/>
  <c r="T48" i="25"/>
  <c r="T68"/>
  <c r="T50"/>
  <c r="T65"/>
  <c r="T31"/>
  <c r="T81" i="29" s="1"/>
  <c r="T28" i="25"/>
  <c r="T78" i="29" s="1"/>
  <c r="T41" i="25"/>
  <c r="T22"/>
  <c r="T44" i="29" s="1"/>
  <c r="T19" i="25"/>
  <c r="T41" i="29" s="1"/>
  <c r="T56" i="25"/>
  <c r="T57"/>
  <c r="T40"/>
  <c r="T59"/>
  <c r="T58"/>
  <c r="T37"/>
  <c r="T21"/>
  <c r="T43" i="29" s="1"/>
  <c r="T20" i="25"/>
  <c r="T42" i="29" s="1"/>
  <c r="T5" i="21"/>
  <c r="T7" i="46" s="1"/>
  <c r="T38" i="25"/>
  <c r="T39"/>
  <c r="T55"/>
  <c r="T18"/>
  <c r="T40" i="29" s="1"/>
  <c r="S7" i="48" l="1"/>
  <c r="S12" i="51"/>
  <c r="S14" s="1"/>
  <c r="T14" i="29"/>
  <c r="T53"/>
  <c r="T16"/>
  <c r="T17"/>
  <c r="T30"/>
  <c r="T15"/>
  <c r="T52"/>
  <c r="U18" i="33"/>
  <c r="U62" i="29" s="1"/>
  <c r="T76"/>
  <c r="T67"/>
  <c r="T39"/>
  <c r="T13"/>
  <c r="T63" i="25"/>
  <c r="T12" s="1"/>
  <c r="T14" i="46"/>
  <c r="T16"/>
  <c r="T5"/>
  <c r="T15"/>
  <c r="T13"/>
  <c r="U17" i="33"/>
  <c r="U61" i="29" s="1"/>
  <c r="T51"/>
  <c r="T54"/>
  <c r="T6" i="46"/>
  <c r="T9"/>
  <c r="T8"/>
  <c r="T45" i="25"/>
  <c r="U16" i="33"/>
  <c r="U60" i="29" s="1"/>
  <c r="U15" i="33"/>
  <c r="U19"/>
  <c r="U63" i="29" s="1"/>
  <c r="T26" i="25"/>
  <c r="U14" i="34"/>
  <c r="T7" i="25"/>
  <c r="U7" i="33"/>
  <c r="U23" i="29" s="1"/>
  <c r="U10" i="33"/>
  <c r="U26" i="29" s="1"/>
  <c r="T36" i="25"/>
  <c r="T54"/>
  <c r="U6" i="33"/>
  <c r="U22" i="29" s="1"/>
  <c r="U8" i="33"/>
  <c r="U24" i="29" s="1"/>
  <c r="U5" i="34"/>
  <c r="U9" i="33"/>
  <c r="U25" i="29" s="1"/>
  <c r="T6" i="25"/>
  <c r="T17"/>
  <c r="T50" i="29"/>
  <c r="T11" i="25" l="1"/>
  <c r="T13" s="1"/>
  <c r="T5" i="48" s="1"/>
  <c r="U18" i="21"/>
  <c r="U15"/>
  <c r="U59" i="29"/>
  <c r="U58" s="1"/>
  <c r="U21"/>
  <c r="U19" i="21"/>
  <c r="T12" i="29"/>
  <c r="U16" i="21"/>
  <c r="U17"/>
  <c r="V17" i="34" s="1"/>
  <c r="T49" i="29"/>
  <c r="U14" i="33"/>
  <c r="U7" i="21"/>
  <c r="U10"/>
  <c r="U8"/>
  <c r="U6"/>
  <c r="U5" i="33"/>
  <c r="U9" i="21"/>
  <c r="T8" i="25"/>
  <c r="T11" i="48" s="1"/>
  <c r="T13" s="1"/>
  <c r="T8" i="49" l="1"/>
  <c r="T10" s="1"/>
  <c r="T6" i="48"/>
  <c r="T13" i="51"/>
  <c r="U68" i="29"/>
  <c r="V15" i="34"/>
  <c r="U71" i="29"/>
  <c r="V18" i="34"/>
  <c r="U69" i="29"/>
  <c r="V16" i="34"/>
  <c r="U68" i="25"/>
  <c r="V19" i="34"/>
  <c r="U35" i="29"/>
  <c r="V10" i="34"/>
  <c r="U32" i="29"/>
  <c r="V7" i="34"/>
  <c r="U34" i="29"/>
  <c r="V9" i="34"/>
  <c r="U31" i="29"/>
  <c r="V6" i="34"/>
  <c r="U33" i="29"/>
  <c r="V8" i="34"/>
  <c r="U30" i="25"/>
  <c r="U80" i="29" s="1"/>
  <c r="U53" s="1"/>
  <c r="U67" i="25"/>
  <c r="U49"/>
  <c r="U48"/>
  <c r="U70" i="29"/>
  <c r="U46" i="25"/>
  <c r="U64"/>
  <c r="U27"/>
  <c r="U77" i="29" s="1"/>
  <c r="U50" i="25"/>
  <c r="U72" i="29"/>
  <c r="U29" i="25"/>
  <c r="U79" i="29" s="1"/>
  <c r="U31" i="25"/>
  <c r="U28"/>
  <c r="U14" i="21"/>
  <c r="U13" i="46" s="1"/>
  <c r="U66" i="25"/>
  <c r="U47"/>
  <c r="U65"/>
  <c r="U59"/>
  <c r="U41"/>
  <c r="U22"/>
  <c r="U44" i="29" s="1"/>
  <c r="U39" i="25"/>
  <c r="U56"/>
  <c r="U58"/>
  <c r="U18"/>
  <c r="U40" i="29" s="1"/>
  <c r="U40" i="25"/>
  <c r="U38"/>
  <c r="U19"/>
  <c r="U41" i="29" s="1"/>
  <c r="U57" i="25"/>
  <c r="U20"/>
  <c r="U42" i="29" s="1"/>
  <c r="U5" i="21"/>
  <c r="U8" i="46" s="1"/>
  <c r="U55" i="25"/>
  <c r="U21"/>
  <c r="U43" i="29" s="1"/>
  <c r="U37" i="25"/>
  <c r="U50" i="29" l="1"/>
  <c r="T7" i="48"/>
  <c r="T12" i="51"/>
  <c r="T14" s="1"/>
  <c r="U16" i="29"/>
  <c r="U30"/>
  <c r="U14"/>
  <c r="U15"/>
  <c r="U17"/>
  <c r="U67"/>
  <c r="U45" i="25"/>
  <c r="U81" i="29"/>
  <c r="U54" s="1"/>
  <c r="U78"/>
  <c r="U39"/>
  <c r="U13"/>
  <c r="U63" i="25"/>
  <c r="U12" s="1"/>
  <c r="V14" i="34"/>
  <c r="U52" i="29"/>
  <c r="U15" i="46"/>
  <c r="U14"/>
  <c r="U16"/>
  <c r="U17"/>
  <c r="V17" i="33"/>
  <c r="V61" i="29" s="1"/>
  <c r="U26" i="25"/>
  <c r="U7"/>
  <c r="V16" i="33"/>
  <c r="V60" i="29" s="1"/>
  <c r="V19" i="33"/>
  <c r="V63" i="29" s="1"/>
  <c r="V18" i="33"/>
  <c r="V62" i="29" s="1"/>
  <c r="V15" i="33"/>
  <c r="V59" i="29" s="1"/>
  <c r="U6" i="46"/>
  <c r="U5"/>
  <c r="U7"/>
  <c r="U9"/>
  <c r="U36" i="25"/>
  <c r="U54"/>
  <c r="U17"/>
  <c r="V9" i="33"/>
  <c r="V25" i="29" s="1"/>
  <c r="V10" i="33"/>
  <c r="V26" i="29" s="1"/>
  <c r="V5" i="34"/>
  <c r="V6" i="33"/>
  <c r="V22" i="29" s="1"/>
  <c r="V7" i="33"/>
  <c r="V23" i="29" s="1"/>
  <c r="U6" i="25"/>
  <c r="V8" i="33"/>
  <c r="V24" i="29" s="1"/>
  <c r="U11" i="25" l="1"/>
  <c r="U13" s="1"/>
  <c r="U5" i="48" s="1"/>
  <c r="U76" i="29"/>
  <c r="V58"/>
  <c r="U51"/>
  <c r="U49" s="1"/>
  <c r="V21"/>
  <c r="V17" i="21"/>
  <c r="V18"/>
  <c r="V19"/>
  <c r="W19" i="34" s="1"/>
  <c r="V15" i="21"/>
  <c r="W15" i="34" s="1"/>
  <c r="U12" i="29"/>
  <c r="U8" i="25"/>
  <c r="U11" i="48" s="1"/>
  <c r="U13" s="1"/>
  <c r="V14" i="33"/>
  <c r="V16" i="21"/>
  <c r="W16" i="34" s="1"/>
  <c r="V6" i="21"/>
  <c r="V9"/>
  <c r="V10"/>
  <c r="V8"/>
  <c r="V5" i="33"/>
  <c r="V7" i="21"/>
  <c r="U6" i="48" l="1"/>
  <c r="U8" i="49"/>
  <c r="U10" s="1"/>
  <c r="U13" i="51"/>
  <c r="V71" i="29"/>
  <c r="W18" i="34"/>
  <c r="V70" i="29"/>
  <c r="W17" i="34"/>
  <c r="V33" i="29"/>
  <c r="W8" i="34"/>
  <c r="V34" i="29"/>
  <c r="W9" i="34"/>
  <c r="V32" i="29"/>
  <c r="W7" i="34"/>
  <c r="V35" i="29"/>
  <c r="W10" i="34"/>
  <c r="V31" i="29"/>
  <c r="W6" i="34"/>
  <c r="V29" i="25"/>
  <c r="V79" i="29" s="1"/>
  <c r="V48" i="25"/>
  <c r="V66"/>
  <c r="V68"/>
  <c r="V64"/>
  <c r="V68" i="29"/>
  <c r="V31" i="25"/>
  <c r="V81" i="29" s="1"/>
  <c r="V72"/>
  <c r="V67" i="25"/>
  <c r="V47"/>
  <c r="V69" i="29"/>
  <c r="V49" i="25"/>
  <c r="V50"/>
  <c r="V30"/>
  <c r="V80" i="29" s="1"/>
  <c r="V27" i="25"/>
  <c r="V77" i="29" s="1"/>
  <c r="V46" i="25"/>
  <c r="V14" i="21"/>
  <c r="V13" i="46" s="1"/>
  <c r="V28" i="25"/>
  <c r="V78" i="29" s="1"/>
  <c r="V65" i="25"/>
  <c r="V57"/>
  <c r="V40"/>
  <c r="V21"/>
  <c r="V43" i="29" s="1"/>
  <c r="V37" i="25"/>
  <c r="V56"/>
  <c r="V55"/>
  <c r="V18"/>
  <c r="V40" i="29" s="1"/>
  <c r="V58" i="25"/>
  <c r="V41"/>
  <c r="V19"/>
  <c r="V41" i="29" s="1"/>
  <c r="V59" i="25"/>
  <c r="V38"/>
  <c r="V5" i="21"/>
  <c r="V8" i="46" s="1"/>
  <c r="V20" i="25"/>
  <c r="V42" i="29" s="1"/>
  <c r="V22" i="25"/>
  <c r="V44" i="29" s="1"/>
  <c r="V39" i="25"/>
  <c r="V16" i="29" l="1"/>
  <c r="U7" i="48"/>
  <c r="U12" i="51"/>
  <c r="U14" s="1"/>
  <c r="V53" i="29"/>
  <c r="V14"/>
  <c r="V15"/>
  <c r="V30"/>
  <c r="V52"/>
  <c r="V17"/>
  <c r="W16" i="33"/>
  <c r="W60" i="29" s="1"/>
  <c r="V54"/>
  <c r="W14" i="34"/>
  <c r="V45" i="25"/>
  <c r="V67" i="29"/>
  <c r="V76"/>
  <c r="V63" i="25"/>
  <c r="V12" s="1"/>
  <c r="W19" i="33"/>
  <c r="W63" i="29" s="1"/>
  <c r="W15" i="33"/>
  <c r="W59" i="29" s="1"/>
  <c r="W17" i="33"/>
  <c r="W61" i="29" s="1"/>
  <c r="W18" i="33"/>
  <c r="W62" i="29" s="1"/>
  <c r="V26" i="25"/>
  <c r="V51" i="29"/>
  <c r="V39"/>
  <c r="V13"/>
  <c r="V17" i="46"/>
  <c r="V15"/>
  <c r="V7" i="25"/>
  <c r="V16" i="46"/>
  <c r="V14"/>
  <c r="V7"/>
  <c r="V6"/>
  <c r="V5"/>
  <c r="V9"/>
  <c r="V54" i="25"/>
  <c r="V36"/>
  <c r="W5" i="34"/>
  <c r="W9" i="33"/>
  <c r="W25" i="29" s="1"/>
  <c r="W7" i="33"/>
  <c r="W23" i="29" s="1"/>
  <c r="V6" i="25"/>
  <c r="V17"/>
  <c r="W10" i="33"/>
  <c r="W26" i="29" s="1"/>
  <c r="W6" i="33"/>
  <c r="W22" i="29" s="1"/>
  <c r="W8" i="33"/>
  <c r="W24" i="29" s="1"/>
  <c r="V50"/>
  <c r="W18" i="21" l="1"/>
  <c r="W71" i="29" s="1"/>
  <c r="V11" i="25"/>
  <c r="V13" s="1"/>
  <c r="V5" i="48" s="1"/>
  <c r="W16" i="21"/>
  <c r="W69" i="29" s="1"/>
  <c r="V49"/>
  <c r="W58"/>
  <c r="W19" i="21"/>
  <c r="W72" i="29" s="1"/>
  <c r="W15" i="21"/>
  <c r="W68" i="29" s="1"/>
  <c r="W14" i="33"/>
  <c r="W17" i="21"/>
  <c r="W70" i="29" s="1"/>
  <c r="W21"/>
  <c r="W7" i="21"/>
  <c r="W32" i="29" s="1"/>
  <c r="V12"/>
  <c r="V8" i="25"/>
  <c r="V11" i="48" s="1"/>
  <c r="V13" s="1"/>
  <c r="W9" i="21"/>
  <c r="W34" i="29" s="1"/>
  <c r="W10" i="21"/>
  <c r="W35" i="29" s="1"/>
  <c r="W5" i="33"/>
  <c r="W8" i="21"/>
  <c r="W33" i="29" s="1"/>
  <c r="W6" i="21"/>
  <c r="W31" i="29" s="1"/>
  <c r="V6" i="48" l="1"/>
  <c r="V8" i="49"/>
  <c r="V10" s="1"/>
  <c r="V13" i="51"/>
  <c r="W30" i="25"/>
  <c r="W80" i="29" s="1"/>
  <c r="W53" s="1"/>
  <c r="W49" i="25"/>
  <c r="W67"/>
  <c r="W28"/>
  <c r="W78" i="29" s="1"/>
  <c r="W51" s="1"/>
  <c r="W67"/>
  <c r="W47" i="25"/>
  <c r="W65"/>
  <c r="W46"/>
  <c r="W50"/>
  <c r="W48"/>
  <c r="W29"/>
  <c r="W79" i="29" s="1"/>
  <c r="W52" s="1"/>
  <c r="W68" i="25"/>
  <c r="W31"/>
  <c r="W81" i="29" s="1"/>
  <c r="W54" s="1"/>
  <c r="W14" i="21"/>
  <c r="W14" i="46" s="1"/>
  <c r="G30" i="40" s="1"/>
  <c r="W66" i="25"/>
  <c r="W27"/>
  <c r="W77" i="29" s="1"/>
  <c r="W64" i="25"/>
  <c r="W30" i="29"/>
  <c r="W59" i="25"/>
  <c r="W19"/>
  <c r="W41" i="29" s="1"/>
  <c r="W38" i="25"/>
  <c r="W56"/>
  <c r="W40"/>
  <c r="W21"/>
  <c r="W43" i="29" s="1"/>
  <c r="W16" s="1"/>
  <c r="W57" i="25"/>
  <c r="W39"/>
  <c r="W20"/>
  <c r="W42" i="29" s="1"/>
  <c r="W15" s="1"/>
  <c r="W41" i="25"/>
  <c r="W58"/>
  <c r="W18"/>
  <c r="W40" i="29" s="1"/>
  <c r="W13" s="1"/>
  <c r="W55" i="25"/>
  <c r="W5" i="21"/>
  <c r="W6" i="46" s="1"/>
  <c r="W22" i="25"/>
  <c r="W44" i="29" s="1"/>
  <c r="W17" s="1"/>
  <c r="W37" i="25"/>
  <c r="V7" i="48" l="1"/>
  <c r="V12" i="51"/>
  <c r="V14" s="1"/>
  <c r="W63" i="25"/>
  <c r="W12" s="1"/>
  <c r="W45"/>
  <c r="W76" i="29"/>
  <c r="W16" i="46"/>
  <c r="G32" i="40" s="1"/>
  <c r="W15" i="46"/>
  <c r="G31" i="40" s="1"/>
  <c r="E14"/>
  <c r="W26" i="25"/>
  <c r="W7"/>
  <c r="W17" i="46"/>
  <c r="G33" i="40" s="1"/>
  <c r="W50" i="29"/>
  <c r="W49" s="1"/>
  <c r="W13" i="46"/>
  <c r="G29" i="40" s="1"/>
  <c r="W39" i="29"/>
  <c r="W14"/>
  <c r="D14" i="40"/>
  <c r="G22"/>
  <c r="W9" i="46"/>
  <c r="W8"/>
  <c r="W5"/>
  <c r="W7"/>
  <c r="W17" i="25"/>
  <c r="W54"/>
  <c r="W6"/>
  <c r="W36"/>
  <c r="B6" i="29" l="1"/>
  <c r="E16" i="40"/>
  <c r="E15"/>
  <c r="W11" i="25"/>
  <c r="W13" s="1"/>
  <c r="W5" i="48" s="1"/>
  <c r="G37" i="40" s="1"/>
  <c r="F14"/>
  <c r="E17"/>
  <c r="E13"/>
  <c r="G25"/>
  <c r="D17"/>
  <c r="D16"/>
  <c r="G24"/>
  <c r="G21"/>
  <c r="D13"/>
  <c r="D15"/>
  <c r="G23"/>
  <c r="W12" i="29"/>
  <c r="B5" s="1"/>
  <c r="W8" i="25"/>
  <c r="W11" i="48" s="1"/>
  <c r="W13" s="1"/>
  <c r="W6" l="1"/>
  <c r="W8" i="49"/>
  <c r="W10" s="1"/>
  <c r="W13" i="51"/>
  <c r="F16" i="40"/>
  <c r="F15"/>
  <c r="B7" i="29"/>
  <c r="F13" i="40"/>
  <c r="F17"/>
  <c r="B5" i="51" l="1"/>
  <c r="C43" i="40"/>
  <c r="C7" i="29"/>
  <c r="W7" i="48" l="1"/>
  <c r="G39" i="40" s="1"/>
  <c r="G38"/>
  <c r="W12" i="51"/>
  <c r="W14" s="1"/>
  <c r="B7" s="1"/>
  <c r="C45" i="40" s="1"/>
  <c r="B4" i="49"/>
  <c r="B6" i="51" l="1"/>
  <c r="C44" i="40"/>
</calcChain>
</file>

<file path=xl/sharedStrings.xml><?xml version="1.0" encoding="utf-8"?>
<sst xmlns="http://schemas.openxmlformats.org/spreadsheetml/2006/main" count="247" uniqueCount="172">
  <si>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</si>
  <si>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</si>
  <si>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</si>
  <si>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</si>
  <si>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</si>
  <si>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</si>
  <si>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</si>
  <si>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</si>
  <si>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</si>
  <si>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</si>
  <si>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</si>
  <si>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</si>
  <si>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</si>
  <si>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</si>
  <si>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</si>
  <si>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State</t>
  </si>
  <si>
    <t>Energy (mmBtu/ device/Yr)</t>
  </si>
  <si>
    <t>Electric Technology</t>
  </si>
  <si>
    <t>Electric</t>
  </si>
  <si>
    <t>Natural Gas</t>
  </si>
  <si>
    <t>WH Capital Cost (2012$/ device)</t>
  </si>
  <si>
    <t>WH O&amp;M Cost (2012$/ device/Yr)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</si>
  <si>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</si>
  <si>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</si>
  <si>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</si>
  <si>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</si>
  <si>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</si>
  <si>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</si>
  <si>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</si>
  <si>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</si>
  <si>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Levelized Costs (2012$/Device/Yr)</t>
  </si>
  <si>
    <t>Negative values indicate resistance to a specified technology independent of price.</t>
  </si>
  <si>
    <t>Positive values indicate a propensity toward purchasing the given device independent of price considerations.</t>
  </si>
  <si>
    <t>Assumptions:</t>
  </si>
  <si>
    <t>a. Heat pump water heaters (HPWH) &lt;=55 gallons - strong market resistance exists in 2012 that lessens in the future</t>
  </si>
  <si>
    <t>c. Instant gas (tankless gas) &lt;=55 gallons - strong market resistance in 2012 that lessens in the future</t>
  </si>
  <si>
    <t>d. Condensing gas water heaters &lt;=55 gallons - strong market resistance in 2012 that lessens in the future</t>
  </si>
  <si>
    <t>Note:  Non-price factors are parameters in the market share equation representing the impact of non-price factors on market share of a given technology.</t>
  </si>
  <si>
    <t>Annual Fuel Costs (2012$/Device/Yr)</t>
  </si>
  <si>
    <t>Input</t>
  </si>
  <si>
    <t>Description</t>
  </si>
  <si>
    <t>b. Gas tank water heaters &lt;=55 gallons - slight market resistance in 2012 that lessens in the future</t>
  </si>
  <si>
    <t>Variance factor - BAU forecast</t>
  </si>
  <si>
    <t>BAU Case</t>
  </si>
  <si>
    <r>
      <t>Marginal Allocation Weights ($/$) -</t>
    </r>
    <r>
      <rPr>
        <b/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</si>
  <si>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Total Allocation Weight ($/$) - </t>
    </r>
    <r>
      <rPr>
        <b/>
        <sz val="12"/>
        <color rgb="FFC00000"/>
        <rFont val="Calibri"/>
        <family val="2"/>
        <scheme val="minor"/>
      </rPr>
      <t>BAU Case</t>
    </r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</si>
  <si>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</si>
  <si>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</si>
  <si>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</si>
  <si>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</si>
  <si>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</si>
  <si>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</si>
  <si>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</si>
  <si>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</si>
  <si>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</si>
  <si>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</si>
  <si>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</si>
  <si>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</si>
  <si>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</si>
  <si>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</si>
  <si>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</si>
  <si>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</si>
  <si>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</si>
  <si>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</si>
  <si>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</si>
  <si>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Inflation</t>
  </si>
  <si>
    <t>Source:  M. Jourabchi input to ENERGY 2020 model</t>
  </si>
  <si>
    <t>Units of Dollars</t>
  </si>
  <si>
    <t>O&amp;M Cost Inflation Adjustment</t>
  </si>
  <si>
    <t>User Input - Assumptions</t>
  </si>
  <si>
    <t>Source:  M. Jourabchi email of September 15, 2014</t>
  </si>
  <si>
    <t>Non-Price Factor Assumptions ($/$)</t>
  </si>
  <si>
    <t>Source:  "Retail Rates_Northwest.xlsx"</t>
  </si>
  <si>
    <t>Starting water heating system</t>
  </si>
  <si>
    <t>Starting water heating tank size</t>
  </si>
  <si>
    <t>&lt;=55 Gallons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</si>
  <si>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</si>
  <si>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</si>
  <si>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</si>
  <si>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</si>
  <si>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</si>
  <si>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</si>
  <si>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</si>
  <si>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</si>
  <si>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</si>
  <si>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</si>
  <si>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</si>
  <si>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Water Heating Capital Cost (2012$/device)</t>
  </si>
  <si>
    <t>Energy Use Per Device (mmBtu/Device/Yr)</t>
  </si>
  <si>
    <t>Water Heating O&amp;M Costs (2012$/Device/Yr)</t>
  </si>
  <si>
    <t>Green:  Linked exogenous input</t>
  </si>
  <si>
    <t>Blue:  User-specified exogenous input</t>
  </si>
  <si>
    <t>Gradually descrease resistance of market:</t>
  </si>
  <si>
    <t>Note:  Levelized Costs = Capital Cost*Capital Charge Rate + Fuel Cost + O&amp;M Cost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</si>
  <si>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</si>
  <si>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</si>
  <si>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</si>
  <si>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Least Cost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</si>
  <si>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</si>
  <si>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</si>
  <si>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</si>
  <si>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</si>
  <si>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</si>
  <si>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</si>
  <si>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</si>
  <si>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</si>
  <si>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</si>
  <si>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</si>
  <si>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</si>
  <si>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</si>
  <si>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</si>
  <si>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</si>
  <si>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</si>
  <si>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</si>
  <si>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</si>
  <si>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</si>
  <si>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</si>
  <si>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</si>
  <si>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</si>
  <si>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</si>
  <si>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</si>
  <si>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</si>
  <si>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</si>
  <si>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</si>
  <si>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</si>
  <si>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Number of households with access to gas, &lt;=55</t>
  </si>
  <si>
    <t>Heat rate of new CCCT unit (Btu/kWh)</t>
  </si>
  <si>
    <t>Source:  Gillian Charles email of September 24, 2014 per M. Jourabchi (6530 w/ duct firing)</t>
  </si>
  <si>
    <t>Wholesale Price of Natural Gas (2012$/mmBtu/Yr)</t>
  </si>
  <si>
    <t>Source:  ENERGY 2020 model data from "Q:\MJ\ex\Fuel\FUELMOD8 Rev 050114- 7P July 2014 .xlsx" per 7/15/2014 update from M. Jourabchi.</t>
  </si>
  <si>
    <t>Gas price (2012$/mmBtu)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</si>
  <si>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</si>
  <si>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</si>
  <si>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</si>
  <si>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</si>
  <si>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</si>
  <si>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</si>
  <si>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</si>
  <si>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</si>
  <si>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</si>
  <si>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t>Water Heater Ending</t>
  </si>
  <si>
    <t>Capital Cost Inflation Adjustment ($/$)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</si>
  <si>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</si>
  <si>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</si>
  <si>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Wholesale Price of Gas (2012$/mmBtu)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</si>
  <si>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</si>
  <si>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</si>
  <si>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</si>
  <si>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</si>
  <si>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</si>
  <si>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</si>
  <si>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</si>
  <si>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Gas Heat Rate (Btu/kWh)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</si>
  <si>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</si>
  <si>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</si>
  <si>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</si>
  <si>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</si>
  <si>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</si>
  <si>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</si>
  <si>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</si>
  <si>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Inflation Index (1.0=2006)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</si>
  <si>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</si>
  <si>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</si>
  <si>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</si>
  <si>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</si>
  <si>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</si>
  <si>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</si>
  <si>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</si>
  <si>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</si>
  <si>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</si>
  <si>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Stored in "Retail Rates_Northwest.xlsx"</t>
  </si>
  <si>
    <t>Washington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</si>
</sst>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B05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rgb="FF0000FF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8" borderId="0" applyNumberFormat="0" applyAlignment="0">
      <alignment horizontal="right"/>
    </xf>
    <xf numFmtId="0" fontId="12" fillId="19" borderId="0" applyNumberFormat="0" applyAlignment="0"/>
    <xf numFmtId="169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>
      <alignment horizontal="center" wrapText="1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1" applyNumberFormat="0" applyAlignment="0" applyProtection="0"/>
    <xf numFmtId="0" fontId="22" fillId="3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>
      <alignment readingOrder="1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3" fillId="21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21" borderId="0"/>
    <xf numFmtId="0" fontId="13" fillId="21" borderId="0"/>
    <xf numFmtId="0" fontId="26" fillId="0" borderId="0" applyNumberFormat="0" applyFont="0" applyFill="0" applyBorder="0" applyAlignment="0" applyProtection="0"/>
    <xf numFmtId="0" fontId="25" fillId="0" borderId="0"/>
    <xf numFmtId="0" fontId="12" fillId="0" borderId="0">
      <alignment readingOrder="1"/>
    </xf>
    <xf numFmtId="0" fontId="13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31" fillId="0" borderId="0"/>
    <xf numFmtId="43" fontId="31" fillId="0" borderId="0" applyFont="0" applyFill="0" applyBorder="0" applyAlignment="0" applyProtection="0"/>
  </cellStyleXfs>
  <cellXfs count="183">
    <xf numFmtId="0" fontId="0" fillId="0" borderId="0" xfId="0"/>
    <xf numFmtId="49" fontId="2" fillId="0" borderId="0" xfId="0" applyNumberFormat="1" applyFont="1" applyFill="1" applyBorder="1"/>
    <xf numFmtId="0" fontId="2" fillId="0" borderId="0" xfId="0" applyFont="1" applyFill="1" applyBorder="1"/>
    <xf numFmtId="1" fontId="4" fillId="0" borderId="0" xfId="0" applyNumberFormat="1" applyFont="1" applyFill="1" applyBorder="1"/>
    <xf numFmtId="168" fontId="4" fillId="0" borderId="0" xfId="0" applyNumberFormat="1" applyFont="1" applyFill="1" applyBorder="1"/>
    <xf numFmtId="0" fontId="6" fillId="0" borderId="0" xfId="0" applyFont="1" applyFill="1" applyBorder="1"/>
    <xf numFmtId="168" fontId="6" fillId="0" borderId="0" xfId="0" applyNumberFormat="1" applyFont="1" applyFill="1" applyBorder="1"/>
    <xf numFmtId="167" fontId="6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43" fontId="2" fillId="0" borderId="0" xfId="0" applyNumberFormat="1" applyFont="1"/>
    <xf numFmtId="0" fontId="32" fillId="0" borderId="0" xfId="0" applyFont="1"/>
    <xf numFmtId="170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165" applyFont="1"/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49" fontId="32" fillId="0" borderId="0" xfId="0" applyNumberFormat="1" applyFont="1" applyAlignment="1">
      <alignment wrapText="1"/>
    </xf>
    <xf numFmtId="170" fontId="32" fillId="0" borderId="0" xfId="0" applyNumberFormat="1" applyFont="1"/>
    <xf numFmtId="0" fontId="3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5" fillId="0" borderId="0" xfId="0" applyFont="1"/>
    <xf numFmtId="2" fontId="32" fillId="0" borderId="0" xfId="0" applyNumberFormat="1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5" fontId="2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 indent="5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indent="2"/>
    </xf>
    <xf numFmtId="166" fontId="2" fillId="0" borderId="0" xfId="2" applyNumberFormat="1" applyFont="1"/>
    <xf numFmtId="3" fontId="2" fillId="0" borderId="0" xfId="0" applyNumberFormat="1" applyFont="1"/>
    <xf numFmtId="0" fontId="6" fillId="0" borderId="0" xfId="0" applyFont="1" applyAlignment="1">
      <alignment horizontal="left" indent="2"/>
    </xf>
    <xf numFmtId="2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6" fillId="0" borderId="0" xfId="0" applyNumberFormat="1" applyFont="1" applyBorder="1"/>
    <xf numFmtId="0" fontId="36" fillId="0" borderId="13" xfId="0" applyFont="1" applyBorder="1" applyAlignment="1">
      <alignment horizontal="left" wrapText="1"/>
    </xf>
    <xf numFmtId="0" fontId="36" fillId="0" borderId="13" xfId="0" applyFont="1" applyBorder="1" applyAlignment="1">
      <alignment wrapText="1"/>
    </xf>
    <xf numFmtId="3" fontId="36" fillId="0" borderId="13" xfId="0" applyNumberFormat="1" applyFont="1" applyBorder="1"/>
    <xf numFmtId="0" fontId="6" fillId="0" borderId="0" xfId="0" applyFont="1" applyBorder="1" applyAlignment="1">
      <alignment horizontal="left" indent="2"/>
    </xf>
    <xf numFmtId="0" fontId="37" fillId="0" borderId="0" xfId="0" applyFont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40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3" fontId="6" fillId="0" borderId="0" xfId="0" applyNumberFormat="1" applyFont="1" applyFill="1" applyBorder="1"/>
    <xf numFmtId="0" fontId="41" fillId="0" borderId="0" xfId="0" applyFont="1" applyFill="1" applyBorder="1"/>
    <xf numFmtId="1" fontId="6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 applyBorder="1" applyAlignment="1">
      <alignment horizontal="right" wrapText="1"/>
    </xf>
    <xf numFmtId="172" fontId="2" fillId="0" borderId="0" xfId="0" applyNumberFormat="1" applyFont="1"/>
    <xf numFmtId="2" fontId="4" fillId="0" borderId="0" xfId="0" applyNumberFormat="1" applyFont="1"/>
    <xf numFmtId="0" fontId="32" fillId="0" borderId="0" xfId="165" applyFont="1"/>
    <xf numFmtId="0" fontId="32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2" fillId="22" borderId="11" xfId="0" applyFont="1" applyFill="1" applyBorder="1"/>
    <xf numFmtId="0" fontId="5" fillId="0" borderId="21" xfId="0" applyFont="1" applyBorder="1" applyAlignment="1">
      <alignment horizontal="right"/>
    </xf>
    <xf numFmtId="0" fontId="5" fillId="0" borderId="21" xfId="0" applyFont="1" applyBorder="1"/>
    <xf numFmtId="0" fontId="37" fillId="0" borderId="0" xfId="165" applyFont="1"/>
    <xf numFmtId="0" fontId="33" fillId="0" borderId="0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3" fontId="5" fillId="0" borderId="21" xfId="0" applyNumberFormat="1" applyFont="1" applyFill="1" applyBorder="1"/>
    <xf numFmtId="166" fontId="5" fillId="0" borderId="21" xfId="0" applyNumberFormat="1" applyFont="1" applyBorder="1"/>
    <xf numFmtId="171" fontId="5" fillId="0" borderId="0" xfId="0" applyNumberFormat="1" applyFont="1"/>
    <xf numFmtId="0" fontId="5" fillId="0" borderId="11" xfId="165" applyFont="1" applyBorder="1"/>
    <xf numFmtId="0" fontId="32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6" fillId="0" borderId="12" xfId="0" applyNumberFormat="1" applyFont="1" applyFill="1" applyBorder="1"/>
    <xf numFmtId="0" fontId="32" fillId="22" borderId="18" xfId="0" applyFont="1" applyFill="1" applyBorder="1"/>
    <xf numFmtId="164" fontId="5" fillId="0" borderId="0" xfId="1" applyNumberFormat="1" applyFont="1" applyFill="1" applyBorder="1"/>
    <xf numFmtId="0" fontId="5" fillId="0" borderId="0" xfId="0" applyFont="1" applyAlignment="1">
      <alignment horizontal="center"/>
    </xf>
    <xf numFmtId="164" fontId="5" fillId="0" borderId="12" xfId="1" applyNumberFormat="1" applyFont="1" applyFill="1" applyBorder="1"/>
    <xf numFmtId="0" fontId="5" fillId="0" borderId="12" xfId="0" applyFont="1" applyBorder="1" applyAlignment="1">
      <alignment horizontal="center"/>
    </xf>
    <xf numFmtId="3" fontId="5" fillId="0" borderId="0" xfId="0" applyNumberFormat="1" applyFont="1" applyFill="1" applyBorder="1"/>
    <xf numFmtId="168" fontId="5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3" fontId="5" fillId="0" borderId="12" xfId="0" applyNumberFormat="1" applyFont="1" applyFill="1" applyBorder="1"/>
    <xf numFmtId="168" fontId="5" fillId="0" borderId="12" xfId="0" applyNumberFormat="1" applyFont="1" applyFill="1" applyBorder="1"/>
    <xf numFmtId="165" fontId="5" fillId="0" borderId="12" xfId="1" applyNumberFormat="1" applyFont="1" applyFill="1" applyBorder="1"/>
    <xf numFmtId="0" fontId="5" fillId="0" borderId="12" xfId="0" applyFont="1" applyFill="1" applyBorder="1"/>
    <xf numFmtId="166" fontId="5" fillId="0" borderId="21" xfId="2" applyNumberFormat="1" applyFont="1" applyBorder="1"/>
    <xf numFmtId="166" fontId="5" fillId="0" borderId="22" xfId="2" applyNumberFormat="1" applyFont="1" applyBorder="1"/>
    <xf numFmtId="0" fontId="43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0" fontId="2" fillId="0" borderId="0" xfId="0" applyFont="1" applyAlignment="1">
      <alignment vertical="center"/>
    </xf>
    <xf numFmtId="0" fontId="33" fillId="0" borderId="0" xfId="0" applyFont="1"/>
    <xf numFmtId="166" fontId="2" fillId="0" borderId="0" xfId="0" applyNumberFormat="1" applyFont="1"/>
    <xf numFmtId="173" fontId="36" fillId="0" borderId="13" xfId="0" applyNumberFormat="1" applyFont="1" applyBorder="1"/>
    <xf numFmtId="0" fontId="5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2" fillId="22" borderId="19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32" fillId="0" borderId="12" xfId="0" applyFont="1" applyFill="1" applyBorder="1" applyAlignment="1">
      <alignment horizontal="left" wrapText="1"/>
    </xf>
    <xf numFmtId="0" fontId="6" fillId="22" borderId="10" xfId="165" applyFont="1" applyFill="1" applyBorder="1" applyAlignment="1">
      <alignment wrapText="1"/>
    </xf>
    <xf numFmtId="0" fontId="6" fillId="22" borderId="11" xfId="165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2" fontId="2" fillId="22" borderId="12" xfId="0" applyNumberFormat="1" applyFont="1" applyFill="1" applyBorder="1" applyAlignment="1">
      <alignment wrapText="1"/>
    </xf>
    <xf numFmtId="170" fontId="2" fillId="22" borderId="12" xfId="0" applyNumberFormat="1" applyFont="1" applyFill="1" applyBorder="1"/>
    <xf numFmtId="0" fontId="32" fillId="0" borderId="12" xfId="0" applyFont="1" applyFill="1" applyBorder="1" applyAlignment="1">
      <alignment horizontal="center" wrapText="1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2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6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9" fontId="2" fillId="0" borderId="0" xfId="2" applyFont="1" applyFill="1" applyBorder="1"/>
    <xf numFmtId="0" fontId="2" fillId="0" borderId="0" xfId="0" quotePrefix="1" applyFont="1"/>
    <xf numFmtId="0" fontId="42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4" fillId="0" borderId="0" xfId="0" applyNumberFormat="1" applyFont="1"/>
    <xf numFmtId="0" fontId="3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2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0"/>
  <tableStyles count="0" defaultTableStyle="TableStyleMedium2" defaultPivotStyle="PivotStyleLight16"/>
  <colors>
    <mruColors>
      <color rgb="FF0064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176145405812895"/>
          <c:y val="3.296678793314415E-2"/>
          <c:w val="0.54370985763674384"/>
          <c:h val="0.90972682883913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0.58532441792077228</c:v>
                </c:pt>
                <c:pt idx="1">
                  <c:v>0.13528546099908229</c:v>
                </c:pt>
                <c:pt idx="2">
                  <c:v>0.12367030542385773</c:v>
                </c:pt>
                <c:pt idx="3">
                  <c:v>3.3335289716620899E-2</c:v>
                </c:pt>
                <c:pt idx="4">
                  <c:v>0.12238452593966687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12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51880573004513E-2"/>
          <c:y val="0.14265634313752404"/>
          <c:w val="0.66305553558026065"/>
          <c:h val="0.70451904432123713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0.99999038252267147</c:v>
                </c:pt>
                <c:pt idx="1">
                  <c:v>0.58532441792077228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2.8290976413265933E-9</c:v>
                </c:pt>
                <c:pt idx="1">
                  <c:v>0.13528546099908229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9.6115434359986208E-6</c:v>
                </c:pt>
                <c:pt idx="1">
                  <c:v>0.12367030542385773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6.3848459648065086E-10</c:v>
                </c:pt>
                <c:pt idx="1">
                  <c:v>3.3335289716620899E-2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2.466310261772492E-9</c:v>
                </c:pt>
                <c:pt idx="1">
                  <c:v>0.12238452593966687</c:v>
                </c:pt>
                <c:pt idx="2">
                  <c:v>0</c:v>
                </c:pt>
              </c:numCache>
            </c:numRef>
          </c:val>
        </c:ser>
        <c:overlap val="100"/>
        <c:axId val="101192064"/>
        <c:axId val="101193984"/>
      </c:barChart>
      <c:catAx>
        <c:axId val="10119206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1193984"/>
        <c:crosses val="autoZero"/>
        <c:auto val="1"/>
        <c:lblAlgn val="ctr"/>
        <c:lblOffset val="100"/>
      </c:catAx>
      <c:valAx>
        <c:axId val="101193984"/>
        <c:scaling>
          <c:orientation val="minMax"/>
        </c:scaling>
        <c:axPos val="l"/>
        <c:majorGridlines/>
        <c:numFmt formatCode="0%" sourceLinked="1"/>
        <c:tickLblPos val="nextTo"/>
        <c:crossAx val="101192064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65"/>
          <c:w val="0.22224763701402239"/>
          <c:h val="0.4044088869782809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449639107611575E-2"/>
          <c:y val="0.12927063506374675"/>
          <c:w val="0.65733054461942264"/>
          <c:h val="0.74259782412694597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0.78487062976286126</c:v>
                </c:pt>
                <c:pt idx="2">
                  <c:v>0.21092188755086907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4.3639733682795973E-2</c:v>
                </c:pt>
                <c:pt idx="2">
                  <c:v>0.48673949176611092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0.12156706725974503</c:v>
                </c:pt>
                <c:pt idx="2">
                  <c:v>0.30233862068302003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1.0626188165695586E-2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3.9296381128902186E-2</c:v>
                </c:pt>
                <c:pt idx="2">
                  <c:v>0</c:v>
                </c:pt>
              </c:numCache>
            </c:numRef>
          </c:val>
        </c:ser>
        <c:gapWidth val="100"/>
        <c:overlap val="100"/>
        <c:axId val="103440768"/>
        <c:axId val="103442688"/>
      </c:barChart>
      <c:catAx>
        <c:axId val="1034407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442688"/>
        <c:crosses val="autoZero"/>
        <c:auto val="1"/>
        <c:lblAlgn val="ctr"/>
        <c:lblOffset val="100"/>
      </c:catAx>
      <c:valAx>
        <c:axId val="103442688"/>
        <c:scaling>
          <c:orientation val="minMax"/>
        </c:scaling>
        <c:axPos val="l"/>
        <c:majorGridlines/>
        <c:numFmt formatCode="0%" sourceLinked="1"/>
        <c:tickLblPos val="nextTo"/>
        <c:crossAx val="10344076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075226817120301E-2"/>
          <c:y val="0.10445850439979631"/>
          <c:w val="0.69082274164548352"/>
          <c:h val="0.81140495977045668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0.98750249637975784</c:v>
                </c:pt>
                <c:pt idx="1">
                  <c:v>0.93665376586913229</c:v>
                </c:pt>
                <c:pt idx="2">
                  <c:v>0.89691507888570876</c:v>
                </c:pt>
                <c:pt idx="3">
                  <c:v>0.85165986119982007</c:v>
                </c:pt>
                <c:pt idx="4">
                  <c:v>0.78487062976286126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7.7586121152387631E-6</c:v>
                </c:pt>
                <c:pt idx="1">
                  <c:v>3.2827982909663386E-4</c:v>
                </c:pt>
                <c:pt idx="2">
                  <c:v>3.1820910810411254E-3</c:v>
                </c:pt>
                <c:pt idx="3">
                  <c:v>1.5268143356149793E-2</c:v>
                </c:pt>
                <c:pt idx="4">
                  <c:v>4.3639733682795973E-2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1.2481209504187851E-2</c:v>
                </c:pt>
                <c:pt idx="1">
                  <c:v>6.2653300413434504E-2</c:v>
                </c:pt>
                <c:pt idx="2">
                  <c:v>9.6331062690933264E-2</c:v>
                </c:pt>
                <c:pt idx="3">
                  <c:v>0.11576410968080346</c:v>
                </c:pt>
                <c:pt idx="4">
                  <c:v>0.12156706725974503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1.758477554149566E-6</c:v>
                </c:pt>
                <c:pt idx="1">
                  <c:v>7.5685704772794355E-5</c:v>
                </c:pt>
                <c:pt idx="2">
                  <c:v>7.4763052017260215E-4</c:v>
                </c:pt>
                <c:pt idx="3">
                  <c:v>3.6536159816911154E-3</c:v>
                </c:pt>
                <c:pt idx="4">
                  <c:v>1.0626188165695586E-2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6.7770263848920355E-6</c:v>
                </c:pt>
                <c:pt idx="1">
                  <c:v>2.8896818356368434E-4</c:v>
                </c:pt>
                <c:pt idx="2">
                  <c:v>2.8241368221441935E-3</c:v>
                </c:pt>
                <c:pt idx="3">
                  <c:v>1.3654269781535638E-2</c:v>
                </c:pt>
                <c:pt idx="4">
                  <c:v>3.9296381128902186E-2</c:v>
                </c:pt>
              </c:numCache>
            </c:numRef>
          </c:val>
        </c:ser>
        <c:overlap val="100"/>
        <c:axId val="200753920"/>
        <c:axId val="200755840"/>
      </c:barChart>
      <c:catAx>
        <c:axId val="2007539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0755840"/>
        <c:crosses val="autoZero"/>
        <c:auto val="1"/>
        <c:lblAlgn val="ctr"/>
        <c:lblOffset val="100"/>
      </c:catAx>
      <c:valAx>
        <c:axId val="200755840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0753920"/>
        <c:crosses val="autoZero"/>
        <c:crossBetween val="between"/>
      </c:valAx>
    </c:plotArea>
    <c:legend>
      <c:legendPos val="r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50491362998248E-2"/>
          <c:y val="0.11366526552601984"/>
          <c:w val="0.63835846100632754"/>
          <c:h val="0.80691360948302548"/>
        </c:manualLayout>
      </c:layout>
      <c:barChart>
        <c:barDir val="col"/>
        <c:grouping val="clustered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0.42473790071886158</c:v>
                </c:pt>
                <c:pt idx="1">
                  <c:v>2.1335907004692038</c:v>
                </c:pt>
                <c:pt idx="2">
                  <c:v>3.3079004197691901</c:v>
                </c:pt>
                <c:pt idx="3">
                  <c:v>2.2495157208271892</c:v>
                </c:pt>
                <c:pt idx="4">
                  <c:v>1.0945434462198891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-0.53150038561367663</c:v>
                </c:pt>
                <c:pt idx="1">
                  <c:v>-2.6672954289672868</c:v>
                </c:pt>
                <c:pt idx="2">
                  <c:v>-4.1112456852347323</c:v>
                </c:pt>
                <c:pt idx="3">
                  <c:v>-3.8917777522637715</c:v>
                </c:pt>
                <c:pt idx="4">
                  <c:v>-3.2779949630623348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-0.10676248489481505</c:v>
                </c:pt>
                <c:pt idx="1">
                  <c:v>-0.53370472849808293</c:v>
                </c:pt>
                <c:pt idx="2">
                  <c:v>-0.80334526546554219</c:v>
                </c:pt>
                <c:pt idx="3">
                  <c:v>-1.6422620314365823</c:v>
                </c:pt>
                <c:pt idx="4">
                  <c:v>-2.183451516842446</c:v>
                </c:pt>
              </c:numCache>
            </c:numRef>
          </c:val>
        </c:ser>
        <c:axId val="206638080"/>
        <c:axId val="213846272"/>
      </c:barChart>
      <c:catAx>
        <c:axId val="206638080"/>
        <c:scaling>
          <c:orientation val="minMax"/>
        </c:scaling>
        <c:axPos val="b"/>
        <c:numFmt formatCode="General" sourceLinked="1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213846272"/>
        <c:crosses val="autoZero"/>
        <c:auto val="1"/>
        <c:lblAlgn val="ctr"/>
        <c:lblOffset val="100"/>
      </c:catAx>
      <c:valAx>
        <c:axId val="213846272"/>
        <c:scaling>
          <c:orientation val="minMax"/>
        </c:scaling>
        <c:axPos val="l"/>
        <c:majorGridlines/>
        <c:numFmt formatCode="0.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638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76"/>
          <c:w val="0.27889560316588347"/>
          <c:h val="0.4110986126734158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75"/>
  <sheetViews>
    <sheetView workbookViewId="0"/>
  </sheetViews>
  <sheetFormatPr defaultRowHeight="18.75"/>
  <cols>
    <col min="1" max="1" width="5.5703125" style="122" customWidth="1"/>
    <col min="2" max="16384" width="9.140625" style="122"/>
  </cols>
  <sheetData>
    <row r="1" spans="1:11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11" ht="39" customHeight="1">
      <c r="B3" s="177" t="str">
        <f>CONCATENATE("Marginal Market Shares (%) - ",State,", Single Family, ", SpaceHeat, ", ", TankSize,", ", StartWH, " is starting water heater")</f>
        <v>Marginal Market Shares (%) - Washington, Single Family, Gas FAF, &lt;=55 Gallons, Electric Resistance is starting water heater</v>
      </c>
      <c r="C3" s="178"/>
      <c r="D3" s="178"/>
      <c r="E3" s="178"/>
      <c r="F3" s="178"/>
      <c r="G3" s="178"/>
      <c r="H3" s="178"/>
      <c r="I3" s="178"/>
      <c r="J3" s="178"/>
      <c r="K3" s="178"/>
    </row>
    <row r="18" spans="2:16">
      <c r="M18" s="95"/>
    </row>
    <row r="21" spans="2:16" ht="36" customHeight="1">
      <c r="B21" s="177" t="str">
        <f>CONCATENATE("Average Market Shares by Scenario (%) - ",State,", Single Family, ", SpaceHeat, ", ", TankSize,", ", StartWH, " is starting water heater")</f>
        <v>Average Market Shares by Scenario (%) - Washington, Single Family, Gas FAF, &lt;=55 Gallons, Electric Resistance is starting water heater</v>
      </c>
      <c r="C21" s="178"/>
      <c r="D21" s="178"/>
      <c r="E21" s="178"/>
      <c r="F21" s="178"/>
      <c r="G21" s="178"/>
      <c r="H21" s="178"/>
      <c r="I21" s="178"/>
      <c r="J21" s="178"/>
      <c r="K21" s="178"/>
    </row>
    <row r="29" spans="2:16">
      <c r="P29" s="95"/>
    </row>
    <row r="39" spans="2:11" ht="36" customHeight="1">
      <c r="B39" s="177" t="str">
        <f>CONCATENATE("BAU Average Market Shares (%) - ",State,", Single Family, ", SpaceHeat, ", ", TankSize,", ", StartWH, " is starting water heater")</f>
        <v>BAU Average Market Shares (%) - Washington, Single Family, Gas FAF, &lt;=55 Gallons, Electric Resistance is starting water heater</v>
      </c>
      <c r="C39" s="178"/>
      <c r="D39" s="178"/>
      <c r="E39" s="178"/>
      <c r="F39" s="178"/>
      <c r="G39" s="178"/>
      <c r="H39" s="178"/>
      <c r="I39" s="178"/>
      <c r="J39" s="178"/>
      <c r="K39" s="178"/>
    </row>
    <row r="57" spans="2:11" ht="38.25" customHeight="1">
      <c r="B57" s="177" t="str">
        <f>CONCATENATE("BAU Average Market Shares, 2035 (%) - ",State,", Single Family, ", SpaceHeat, ", ", TankSize,", ", StartWH, " is starting water heater")</f>
        <v>BAU Average Market Shares, 2035 (%) - Washington, Single Family, Gas FAF, &lt;=55 Gallons, Electric Resistance is starting water heater</v>
      </c>
      <c r="C57" s="178"/>
      <c r="D57" s="178"/>
      <c r="E57" s="178"/>
      <c r="F57" s="178"/>
      <c r="G57" s="178"/>
      <c r="H57" s="178"/>
      <c r="I57" s="178"/>
      <c r="J57" s="178"/>
      <c r="K57" s="178"/>
    </row>
    <row r="75" spans="2:12" ht="40.5" customHeight="1">
      <c r="B75" s="177" t="str">
        <f>CONCATENATE('Input Assumptions'!B$9," Change in Natural Gas Usage Least Cost vs BAU Case (Mcf/Yr) -  ",'Input Assumptions'!B$11," ",'Input Assumptions'!B$12,", ",'Input Assumptions'!B$10," Space Heat")</f>
        <v>Washington Change in Natural Gas Usage Least Cost vs BAU Case (Mcf/Yr) -  Electric Resistance &lt;=55 Gallons, Gas FAF Space Heat</v>
      </c>
      <c r="C75" s="178"/>
      <c r="D75" s="178"/>
      <c r="E75" s="178"/>
      <c r="F75" s="178"/>
      <c r="G75" s="178"/>
      <c r="H75" s="178"/>
      <c r="I75" s="178"/>
      <c r="J75" s="178"/>
      <c r="K75" s="178"/>
      <c r="L75" s="136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81"/>
  <sheetViews>
    <sheetView workbookViewId="0"/>
  </sheetViews>
  <sheetFormatPr defaultColWidth="9.140625" defaultRowHeight="15.75"/>
  <cols>
    <col min="1" max="1" width="28.7109375" style="9" customWidth="1"/>
    <col min="2" max="11" width="11.7109375" style="9" customWidth="1"/>
    <col min="12" max="31" width="13.28515625" style="9" bestFit="1" customWidth="1"/>
    <col min="3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>
      <c r="A3" s="12" t="s">
        <v>132</v>
      </c>
      <c r="H3" s="14"/>
      <c r="I3" s="14"/>
    </row>
    <row r="4" spans="1:23" ht="31.5">
      <c r="A4" s="66"/>
      <c r="B4" s="89" t="s">
        <v>131</v>
      </c>
      <c r="C4" s="94" t="s">
        <v>82</v>
      </c>
      <c r="D4" s="45"/>
      <c r="E4" s="45"/>
      <c r="F4" s="45"/>
      <c r="G4" s="45"/>
      <c r="H4" s="45"/>
    </row>
    <row r="5" spans="1:23">
      <c r="A5" s="160" t="s">
        <v>43</v>
      </c>
      <c r="B5" s="124">
        <f>NPV(DiscountRate,B12:W12)</f>
        <v>2251.8915586507246</v>
      </c>
      <c r="C5" s="68"/>
      <c r="D5" s="45"/>
      <c r="E5" s="45"/>
      <c r="F5" s="45"/>
      <c r="G5" s="45"/>
      <c r="H5" s="45"/>
    </row>
    <row r="6" spans="1:23">
      <c r="A6" s="161" t="s">
        <v>101</v>
      </c>
      <c r="B6" s="125">
        <f>NPV(DiscountRate,B49:W49)</f>
        <v>2159.7064647235688</v>
      </c>
      <c r="C6" s="162"/>
      <c r="D6" s="45"/>
      <c r="E6" s="45"/>
      <c r="F6" s="45"/>
      <c r="G6" s="45"/>
      <c r="H6" s="45"/>
    </row>
    <row r="7" spans="1:23">
      <c r="A7" s="161" t="s">
        <v>80</v>
      </c>
      <c r="B7" s="125">
        <f>B5-B6</f>
        <v>92.185093927155776</v>
      </c>
      <c r="C7" s="163">
        <f>1-B6/B5</f>
        <v>4.0936737638641363E-2</v>
      </c>
    </row>
    <row r="8" spans="1:23">
      <c r="A8" s="54"/>
      <c r="E8" s="29"/>
    </row>
    <row r="9" spans="1:23">
      <c r="A9" s="12"/>
    </row>
    <row r="10" spans="1:23">
      <c r="A10" s="12" t="s">
        <v>116</v>
      </c>
    </row>
    <row r="11" spans="1:23">
      <c r="A11" s="14" t="str">
        <f t="shared" ref="A11:W11" si="0">A20</f>
        <v>Water Heat Ending</v>
      </c>
      <c r="B11" s="9">
        <f t="shared" si="0"/>
        <v>2014</v>
      </c>
      <c r="C11" s="9">
        <f t="shared" si="0"/>
        <v>2015</v>
      </c>
      <c r="D11" s="9">
        <f t="shared" si="0"/>
        <v>2016</v>
      </c>
      <c r="E11" s="9">
        <f t="shared" si="0"/>
        <v>2017</v>
      </c>
      <c r="F11" s="9">
        <f t="shared" si="0"/>
        <v>2018</v>
      </c>
      <c r="G11" s="9">
        <f t="shared" si="0"/>
        <v>2019</v>
      </c>
      <c r="H11" s="9">
        <f t="shared" si="0"/>
        <v>2020</v>
      </c>
      <c r="I11" s="9">
        <f t="shared" si="0"/>
        <v>2021</v>
      </c>
      <c r="J11" s="9">
        <f t="shared" si="0"/>
        <v>2022</v>
      </c>
      <c r="K11" s="9">
        <f t="shared" si="0"/>
        <v>2023</v>
      </c>
      <c r="L11" s="9">
        <f t="shared" si="0"/>
        <v>2024</v>
      </c>
      <c r="M11" s="9">
        <f t="shared" si="0"/>
        <v>2025</v>
      </c>
      <c r="N11" s="9">
        <f t="shared" si="0"/>
        <v>2026</v>
      </c>
      <c r="O11" s="9">
        <f t="shared" si="0"/>
        <v>2027</v>
      </c>
      <c r="P11" s="9">
        <f t="shared" si="0"/>
        <v>2028</v>
      </c>
      <c r="Q11" s="9">
        <f t="shared" si="0"/>
        <v>2029</v>
      </c>
      <c r="R11" s="9">
        <f t="shared" si="0"/>
        <v>2030</v>
      </c>
      <c r="S11" s="9">
        <f t="shared" si="0"/>
        <v>2031</v>
      </c>
      <c r="T11" s="9">
        <f t="shared" si="0"/>
        <v>2032</v>
      </c>
      <c r="U11" s="9">
        <f t="shared" si="0"/>
        <v>2033</v>
      </c>
      <c r="V11" s="9">
        <f t="shared" si="0"/>
        <v>2034</v>
      </c>
      <c r="W11" s="9">
        <f t="shared" si="0"/>
        <v>2035</v>
      </c>
    </row>
    <row r="12" spans="1:23" ht="16.5" thickBot="1">
      <c r="A12" s="49" t="s">
        <v>48</v>
      </c>
      <c r="B12" s="129">
        <f t="shared" ref="B12:W12" si="1">SUM(B13:B17)</f>
        <v>123.82520148735159</v>
      </c>
      <c r="C12" s="129">
        <f t="shared" si="1"/>
        <v>144.36328323622718</v>
      </c>
      <c r="D12" s="129">
        <f t="shared" si="1"/>
        <v>145.58973403558883</v>
      </c>
      <c r="E12" s="129">
        <f t="shared" si="1"/>
        <v>146.86352880048776</v>
      </c>
      <c r="F12" s="129">
        <f t="shared" si="1"/>
        <v>148.18717642821963</v>
      </c>
      <c r="G12" s="129">
        <f t="shared" si="1"/>
        <v>149.56455786976946</v>
      </c>
      <c r="H12" s="129">
        <f t="shared" si="1"/>
        <v>151.00101784463516</v>
      </c>
      <c r="I12" s="129">
        <f t="shared" si="1"/>
        <v>152.50327688480991</v>
      </c>
      <c r="J12" s="129">
        <f t="shared" si="1"/>
        <v>154.07909020009706</v>
      </c>
      <c r="K12" s="129">
        <f t="shared" si="1"/>
        <v>155.73659779653281</v>
      </c>
      <c r="L12" s="129">
        <f t="shared" si="1"/>
        <v>157.48334946647003</v>
      </c>
      <c r="M12" s="129">
        <f t="shared" si="1"/>
        <v>159.32504975692569</v>
      </c>
      <c r="N12" s="129">
        <f t="shared" si="1"/>
        <v>161.26414599923083</v>
      </c>
      <c r="O12" s="129">
        <f t="shared" si="1"/>
        <v>163.29846119195798</v>
      </c>
      <c r="P12" s="129">
        <f t="shared" si="1"/>
        <v>165.42012765791415</v>
      </c>
      <c r="Q12" s="129">
        <f t="shared" si="1"/>
        <v>167.61507879132932</v>
      </c>
      <c r="R12" s="129">
        <f t="shared" si="1"/>
        <v>169.86328670071592</v>
      </c>
      <c r="S12" s="129">
        <f t="shared" si="1"/>
        <v>172.13979835600281</v>
      </c>
      <c r="T12" s="129">
        <f t="shared" si="1"/>
        <v>174.4164554584234</v>
      </c>
      <c r="U12" s="129">
        <f t="shared" si="1"/>
        <v>176.66403539641351</v>
      </c>
      <c r="V12" s="129">
        <f t="shared" si="1"/>
        <v>178.85447026266027</v>
      </c>
      <c r="W12" s="129">
        <f t="shared" si="1"/>
        <v>180.96281031149621</v>
      </c>
    </row>
    <row r="13" spans="1:23" ht="16.5" thickTop="1">
      <c r="A13" s="38" t="str">
        <f>A22</f>
        <v>Electric Resistance</v>
      </c>
      <c r="B13" s="123">
        <f t="shared" ref="B13:W13" si="2">(B22+B31+B40)</f>
        <v>123.82520148735159</v>
      </c>
      <c r="C13" s="123">
        <f t="shared" si="2"/>
        <v>139.19347813416249</v>
      </c>
      <c r="D13" s="123">
        <f t="shared" si="2"/>
        <v>139.29891597498997</v>
      </c>
      <c r="E13" s="123">
        <f t="shared" si="2"/>
        <v>139.48773046690647</v>
      </c>
      <c r="F13" s="123">
        <f t="shared" si="2"/>
        <v>139.75199350650126</v>
      </c>
      <c r="G13" s="123">
        <f t="shared" si="2"/>
        <v>140.08210651049939</v>
      </c>
      <c r="H13" s="123">
        <f t="shared" si="2"/>
        <v>140.46623499056346</v>
      </c>
      <c r="I13" s="123">
        <f t="shared" si="2"/>
        <v>140.88976502547555</v>
      </c>
      <c r="J13" s="123">
        <f t="shared" si="2"/>
        <v>141.33486726468874</v>
      </c>
      <c r="K13" s="123">
        <f t="shared" si="2"/>
        <v>141.7802711621791</v>
      </c>
      <c r="L13" s="123">
        <f t="shared" si="2"/>
        <v>142.20135504883672</v>
      </c>
      <c r="M13" s="123">
        <f t="shared" si="2"/>
        <v>142.5706388151591</v>
      </c>
      <c r="N13" s="123">
        <f t="shared" si="2"/>
        <v>142.85872046370091</v>
      </c>
      <c r="O13" s="123">
        <f t="shared" si="2"/>
        <v>143.03562726875282</v>
      </c>
      <c r="P13" s="123">
        <f t="shared" si="2"/>
        <v>143.07246822116423</v>
      </c>
      <c r="Q13" s="123">
        <f t="shared" si="2"/>
        <v>142.94319786122023</v>
      </c>
      <c r="R13" s="123">
        <f t="shared" si="2"/>
        <v>142.62625737706136</v>
      </c>
      <c r="S13" s="123">
        <f t="shared" si="2"/>
        <v>142.10586555470573</v>
      </c>
      <c r="T13" s="123">
        <f t="shared" si="2"/>
        <v>141.37279239960282</v>
      </c>
      <c r="U13" s="123">
        <f t="shared" si="2"/>
        <v>140.42454547797331</v>
      </c>
      <c r="V13" s="123">
        <f t="shared" si="2"/>
        <v>139.26500396160597</v>
      </c>
      <c r="W13" s="123">
        <f t="shared" si="2"/>
        <v>137.90361861659883</v>
      </c>
    </row>
    <row r="14" spans="1:23">
      <c r="A14" s="38" t="str">
        <f>A23</f>
        <v>HPWH</v>
      </c>
      <c r="B14" s="123">
        <f t="shared" ref="B14:W14" si="3">(B23+B32+B41)</f>
        <v>0</v>
      </c>
      <c r="C14" s="123">
        <f t="shared" si="3"/>
        <v>5.8046325239794567E-3</v>
      </c>
      <c r="D14" s="123">
        <f t="shared" si="3"/>
        <v>1.2081316890432948E-2</v>
      </c>
      <c r="E14" s="123">
        <f t="shared" si="3"/>
        <v>2.3485988502465957E-2</v>
      </c>
      <c r="F14" s="123">
        <f t="shared" si="3"/>
        <v>4.3257369497535635E-2</v>
      </c>
      <c r="G14" s="123">
        <f t="shared" si="3"/>
        <v>7.6054161525037481E-2</v>
      </c>
      <c r="H14" s="123">
        <f t="shared" si="3"/>
        <v>0.12825297176206954</v>
      </c>
      <c r="I14" s="123">
        <f t="shared" si="3"/>
        <v>0.20816611797862233</v>
      </c>
      <c r="J14" s="123">
        <f t="shared" si="3"/>
        <v>0.32611054112169602</v>
      </c>
      <c r="K14" s="123">
        <f t="shared" si="3"/>
        <v>0.49425815145365831</v>
      </c>
      <c r="L14" s="123">
        <f t="shared" si="3"/>
        <v>0.72621188593366637</v>
      </c>
      <c r="M14" s="123">
        <f t="shared" si="3"/>
        <v>1.0362844518304721</v>
      </c>
      <c r="N14" s="123">
        <f t="shared" si="3"/>
        <v>1.4385081571192544</v>
      </c>
      <c r="O14" s="123">
        <f t="shared" si="3"/>
        <v>1.9454674634802878</v>
      </c>
      <c r="P14" s="123">
        <f t="shared" si="3"/>
        <v>2.56710582231364</v>
      </c>
      <c r="Q14" s="123">
        <f t="shared" si="3"/>
        <v>3.3096943941914105</v>
      </c>
      <c r="R14" s="123">
        <f t="shared" si="3"/>
        <v>4.1751439758310847</v>
      </c>
      <c r="S14" s="123">
        <f t="shared" si="3"/>
        <v>5.1607863866581649</v>
      </c>
      <c r="T14" s="123">
        <f t="shared" si="3"/>
        <v>6.259659460438451</v>
      </c>
      <c r="U14" s="123">
        <f t="shared" si="3"/>
        <v>7.461228156455042</v>
      </c>
      <c r="V14" s="123">
        <f t="shared" si="3"/>
        <v>8.7523949855101115</v>
      </c>
      <c r="W14" s="123">
        <f t="shared" si="3"/>
        <v>10.118617943445432</v>
      </c>
    </row>
    <row r="15" spans="1:23">
      <c r="A15" s="38" t="str">
        <f>A24</f>
        <v>Gas Tank</v>
      </c>
      <c r="B15" s="123">
        <f t="shared" ref="B15:W15" si="4">(B24+B33+B42)</f>
        <v>0</v>
      </c>
      <c r="C15" s="123">
        <f t="shared" si="4"/>
        <v>5.1549164891594055</v>
      </c>
      <c r="D15" s="123">
        <f t="shared" si="4"/>
        <v>6.260006601349426</v>
      </c>
      <c r="E15" s="123">
        <f t="shared" si="4"/>
        <v>7.3160425421176374</v>
      </c>
      <c r="F15" s="123">
        <f t="shared" si="4"/>
        <v>8.3252394514533652</v>
      </c>
      <c r="G15" s="123">
        <f t="shared" si="4"/>
        <v>9.2892563925279781</v>
      </c>
      <c r="H15" s="123">
        <f t="shared" si="4"/>
        <v>10.209106267783355</v>
      </c>
      <c r="I15" s="123">
        <f t="shared" si="4"/>
        <v>11.08507408997818</v>
      </c>
      <c r="J15" s="123">
        <f t="shared" si="4"/>
        <v>11.916660996988721</v>
      </c>
      <c r="K15" s="123">
        <f t="shared" si="4"/>
        <v>12.702573890538652</v>
      </c>
      <c r="L15" s="123">
        <f t="shared" si="4"/>
        <v>13.440779931539959</v>
      </c>
      <c r="M15" s="123">
        <f t="shared" si="4"/>
        <v>14.128639961461069</v>
      </c>
      <c r="N15" s="123">
        <f t="shared" si="4"/>
        <v>14.763124540780307</v>
      </c>
      <c r="O15" s="123">
        <f t="shared" si="4"/>
        <v>15.341101470594516</v>
      </c>
      <c r="P15" s="123">
        <f t="shared" si="4"/>
        <v>15.859667184191567</v>
      </c>
      <c r="Q15" s="123">
        <f t="shared" si="4"/>
        <v>16.316480828223067</v>
      </c>
      <c r="R15" s="123">
        <f t="shared" si="4"/>
        <v>16.710054138842359</v>
      </c>
      <c r="S15" s="123">
        <f t="shared" si="4"/>
        <v>17.039955475398578</v>
      </c>
      <c r="T15" s="123">
        <f t="shared" si="4"/>
        <v>17.30690203788081</v>
      </c>
      <c r="U15" s="123">
        <f t="shared" si="4"/>
        <v>17.512735873562239</v>
      </c>
      <c r="V15" s="123">
        <f t="shared" si="4"/>
        <v>17.660300155901602</v>
      </c>
      <c r="W15" s="123">
        <f t="shared" si="4"/>
        <v>17.753246548732761</v>
      </c>
    </row>
    <row r="16" spans="1:23">
      <c r="A16" s="38" t="str">
        <f>A25</f>
        <v>Instant Gas</v>
      </c>
      <c r="B16" s="123">
        <f t="shared" ref="B16:W16" si="5">(B25+B34+B43)</f>
        <v>0</v>
      </c>
      <c r="C16" s="123">
        <f t="shared" si="5"/>
        <v>2.8691313116265657E-3</v>
      </c>
      <c r="D16" s="123">
        <f t="shared" si="5"/>
        <v>5.927281737399143E-3</v>
      </c>
      <c r="E16" s="123">
        <f t="shared" si="5"/>
        <v>1.1496577645386528E-2</v>
      </c>
      <c r="F16" s="123">
        <f t="shared" si="5"/>
        <v>2.1169887107662211E-2</v>
      </c>
      <c r="G16" s="123">
        <f t="shared" si="5"/>
        <v>3.7241770882875093E-2</v>
      </c>
      <c r="H16" s="123">
        <f t="shared" si="5"/>
        <v>6.2856346055786549E-2</v>
      </c>
      <c r="I16" s="123">
        <f t="shared" si="5"/>
        <v>0.10211483162715664</v>
      </c>
      <c r="J16" s="123">
        <f t="shared" si="5"/>
        <v>0.16010787449135663</v>
      </c>
      <c r="K16" s="123">
        <f t="shared" si="5"/>
        <v>0.24283713001225285</v>
      </c>
      <c r="L16" s="123">
        <f t="shared" si="5"/>
        <v>0.35699754821311652</v>
      </c>
      <c r="M16" s="123">
        <f t="shared" si="5"/>
        <v>0.50960847536796094</v>
      </c>
      <c r="N16" s="123">
        <f t="shared" si="5"/>
        <v>0.70750810845931111</v>
      </c>
      <c r="O16" s="123">
        <f t="shared" si="5"/>
        <v>0.95675854392664605</v>
      </c>
      <c r="P16" s="123">
        <f t="shared" si="5"/>
        <v>1.2620398351194957</v>
      </c>
      <c r="Q16" s="123">
        <f t="shared" si="5"/>
        <v>1.6261303614788929</v>
      </c>
      <c r="R16" s="123">
        <f t="shared" si="5"/>
        <v>2.0495676571633541</v>
      </c>
      <c r="S16" s="123">
        <f t="shared" si="5"/>
        <v>2.530555064689568</v>
      </c>
      <c r="T16" s="123">
        <f t="shared" si="5"/>
        <v>3.0651311820279732</v>
      </c>
      <c r="U16" s="123">
        <f t="shared" si="5"/>
        <v>3.6475654872005059</v>
      </c>
      <c r="V16" s="123">
        <f t="shared" si="5"/>
        <v>4.2709016355988165</v>
      </c>
      <c r="W16" s="123">
        <f t="shared" si="5"/>
        <v>4.9275515369923939</v>
      </c>
    </row>
    <row r="17" spans="1:23">
      <c r="A17" s="38" t="str">
        <f>A26</f>
        <v>Condensing Gas</v>
      </c>
      <c r="B17" s="123">
        <f t="shared" ref="B17:W17" si="6">(B26+B35+B44)</f>
        <v>0</v>
      </c>
      <c r="C17" s="123">
        <f t="shared" si="6"/>
        <v>6.2148490696683515E-3</v>
      </c>
      <c r="D17" s="123">
        <f t="shared" si="6"/>
        <v>1.2802860621605358E-2</v>
      </c>
      <c r="E17" s="123">
        <f t="shared" si="6"/>
        <v>2.4773225315806578E-2</v>
      </c>
      <c r="F17" s="123">
        <f t="shared" si="6"/>
        <v>4.5516213659788203E-2</v>
      </c>
      <c r="G17" s="123">
        <f t="shared" si="6"/>
        <v>7.9899034334184924E-2</v>
      </c>
      <c r="H17" s="123">
        <f t="shared" si="6"/>
        <v>0.13456726847047473</v>
      </c>
      <c r="I17" s="123">
        <f t="shared" si="6"/>
        <v>0.21815681975039969</v>
      </c>
      <c r="J17" s="123">
        <f t="shared" si="6"/>
        <v>0.34134352280653035</v>
      </c>
      <c r="K17" s="123">
        <f t="shared" si="6"/>
        <v>0.51665746234913845</v>
      </c>
      <c r="L17" s="123">
        <f t="shared" si="6"/>
        <v>0.75800505194656809</v>
      </c>
      <c r="M17" s="123">
        <f t="shared" si="6"/>
        <v>1.0798780531070917</v>
      </c>
      <c r="N17" s="123">
        <f t="shared" si="6"/>
        <v>1.4962847291710719</v>
      </c>
      <c r="O17" s="123">
        <f t="shared" si="6"/>
        <v>2.0195064452037137</v>
      </c>
      <c r="P17" s="123">
        <f t="shared" si="6"/>
        <v>2.6588465951251932</v>
      </c>
      <c r="Q17" s="123">
        <f t="shared" si="6"/>
        <v>3.4195753462157263</v>
      </c>
      <c r="R17" s="123">
        <f t="shared" si="6"/>
        <v>4.3022635518177488</v>
      </c>
      <c r="S17" s="123">
        <f t="shared" si="6"/>
        <v>5.3026358745507665</v>
      </c>
      <c r="T17" s="123">
        <f t="shared" si="6"/>
        <v>6.4119703784733391</v>
      </c>
      <c r="U17" s="123">
        <f t="shared" si="6"/>
        <v>7.6179604012224242</v>
      </c>
      <c r="V17" s="123">
        <f t="shared" si="6"/>
        <v>8.9058695240437746</v>
      </c>
      <c r="W17" s="123">
        <f t="shared" si="6"/>
        <v>10.259775665726819</v>
      </c>
    </row>
    <row r="18" spans="1:23">
      <c r="A18" s="12"/>
    </row>
    <row r="19" spans="1:23">
      <c r="A19" s="12" t="s">
        <v>117</v>
      </c>
    </row>
    <row r="20" spans="1:23">
      <c r="A20" s="14" t="str">
        <f>'Water Heaters Purchased'!A4</f>
        <v>Water Heat Ending</v>
      </c>
      <c r="B20" s="9">
        <f>'Water Heaters Purchased'!B4</f>
        <v>2014</v>
      </c>
      <c r="C20" s="9">
        <f>'Water Heaters Purchased'!C4</f>
        <v>2015</v>
      </c>
      <c r="D20" s="9">
        <f>'Water Heaters Purchased'!D4</f>
        <v>2016</v>
      </c>
      <c r="E20" s="9">
        <f>'Water Heaters Purchased'!E4</f>
        <v>2017</v>
      </c>
      <c r="F20" s="9">
        <f>'Water Heaters Purchased'!F4</f>
        <v>2018</v>
      </c>
      <c r="G20" s="9">
        <f>'Water Heaters Purchased'!G4</f>
        <v>2019</v>
      </c>
      <c r="H20" s="9">
        <f>'Water Heaters Purchased'!H4</f>
        <v>2020</v>
      </c>
      <c r="I20" s="9">
        <f>'Water Heaters Purchased'!I4</f>
        <v>2021</v>
      </c>
      <c r="J20" s="9">
        <f>'Water Heaters Purchased'!J4</f>
        <v>2022</v>
      </c>
      <c r="K20" s="9">
        <f>'Water Heaters Purchased'!K4</f>
        <v>2023</v>
      </c>
      <c r="L20" s="9">
        <f>'Water Heaters Purchased'!L4</f>
        <v>2024</v>
      </c>
      <c r="M20" s="9">
        <f>'Water Heaters Purchased'!M4</f>
        <v>2025</v>
      </c>
      <c r="N20" s="9">
        <f>'Water Heaters Purchased'!N4</f>
        <v>2026</v>
      </c>
      <c r="O20" s="9">
        <f>'Water Heaters Purchased'!O4</f>
        <v>2027</v>
      </c>
      <c r="P20" s="9">
        <f>'Water Heaters Purchased'!P4</f>
        <v>2028</v>
      </c>
      <c r="Q20" s="9">
        <f>'Water Heaters Purchased'!Q4</f>
        <v>2029</v>
      </c>
      <c r="R20" s="9">
        <f>'Water Heaters Purchased'!R4</f>
        <v>2030</v>
      </c>
      <c r="S20" s="9">
        <f>'Water Heaters Purchased'!S4</f>
        <v>2031</v>
      </c>
      <c r="T20" s="9">
        <f>'Water Heaters Purchased'!T4</f>
        <v>2032</v>
      </c>
      <c r="U20" s="9">
        <f>'Water Heaters Purchased'!U4</f>
        <v>2033</v>
      </c>
      <c r="V20" s="9">
        <f>'Water Heaters Purchased'!V4</f>
        <v>2034</v>
      </c>
      <c r="W20" s="9">
        <f>'Water Heaters Purchased'!W4</f>
        <v>2035</v>
      </c>
    </row>
    <row r="21" spans="1:23" ht="16.5" thickBot="1">
      <c r="A21" s="49" t="s">
        <v>48</v>
      </c>
      <c r="B21" s="129">
        <f>SUM(B22:B26)</f>
        <v>0</v>
      </c>
      <c r="C21" s="129">
        <f t="shared" ref="C21:W21" si="7">SUM(C22:C26)</f>
        <v>19.362871596750516</v>
      </c>
      <c r="D21" s="129">
        <f t="shared" si="7"/>
        <v>19.372578322516166</v>
      </c>
      <c r="E21" s="129">
        <f t="shared" si="7"/>
        <v>19.389916530191286</v>
      </c>
      <c r="F21" s="129">
        <f t="shared" si="7"/>
        <v>19.419601833987372</v>
      </c>
      <c r="G21" s="129">
        <f t="shared" si="7"/>
        <v>19.468315049507837</v>
      </c>
      <c r="H21" s="129">
        <f t="shared" si="7"/>
        <v>19.545039255908726</v>
      </c>
      <c r="I21" s="129">
        <f t="shared" si="7"/>
        <v>19.661238881028602</v>
      </c>
      <c r="J21" s="129">
        <f t="shared" si="7"/>
        <v>19.830780137825197</v>
      </c>
      <c r="K21" s="129">
        <f t="shared" si="7"/>
        <v>20.069498902436617</v>
      </c>
      <c r="L21" s="129">
        <f t="shared" si="7"/>
        <v>20.394353026468469</v>
      </c>
      <c r="M21" s="129">
        <f t="shared" si="7"/>
        <v>20.822155557972213</v>
      </c>
      <c r="N21" s="129">
        <f t="shared" si="7"/>
        <v>21.367970939783071</v>
      </c>
      <c r="O21" s="129">
        <f t="shared" si="7"/>
        <v>22.043354197526199</v>
      </c>
      <c r="P21" s="129">
        <f t="shared" si="7"/>
        <v>22.854697169769807</v>
      </c>
      <c r="Q21" s="129">
        <f t="shared" si="7"/>
        <v>23.801982881962285</v>
      </c>
      <c r="R21" s="129">
        <f t="shared" si="7"/>
        <v>24.878212558433098</v>
      </c>
      <c r="S21" s="129">
        <f t="shared" si="7"/>
        <v>26.069655082703157</v>
      </c>
      <c r="T21" s="129">
        <f t="shared" si="7"/>
        <v>27.356902375219391</v>
      </c>
      <c r="U21" s="129">
        <f t="shared" si="7"/>
        <v>28.716546607623464</v>
      </c>
      <c r="V21" s="129">
        <f t="shared" si="7"/>
        <v>30.123179716727346</v>
      </c>
      <c r="W21" s="129">
        <f t="shared" si="7"/>
        <v>31.551384525826936</v>
      </c>
    </row>
    <row r="22" spans="1:23" ht="16.5" thickTop="1">
      <c r="A22" s="9" t="str">
        <f>'Water Heaters Purchased'!A6</f>
        <v>Electric Resistance</v>
      </c>
      <c r="B22" s="123">
        <f>('Water Heaters Purchased'!B6*'Capital Cost'!$E5)/1000000</f>
        <v>0</v>
      </c>
      <c r="C22" s="123">
        <f>('Water Heaters Purchased'!C6*'Capital Cost'!$E5)/1000000</f>
        <v>15.350100552098974</v>
      </c>
      <c r="D22" s="123">
        <f>('Water Heaters Purchased'!D6*'Capital Cost'!$E5)/1000000</f>
        <v>15.345670539037188</v>
      </c>
      <c r="E22" s="123">
        <f>('Water Heaters Purchased'!E6*'Capital Cost'!$E5)/1000000</f>
        <v>15.338544227000474</v>
      </c>
      <c r="F22" s="123">
        <f>('Water Heaters Purchased'!F6*'Capital Cost'!$E5)/1000000</f>
        <v>15.326983066527651</v>
      </c>
      <c r="G22" s="123">
        <f>('Water Heaters Purchased'!G6*'Capital Cost'!$E5)/1000000</f>
        <v>15.3085264071208</v>
      </c>
      <c r="H22" s="123">
        <f>('Water Heaters Purchased'!H6*'Capital Cost'!$E5)/1000000</f>
        <v>15.279869002317295</v>
      </c>
      <c r="I22" s="123">
        <f>('Water Heaters Purchased'!I6*'Capital Cost'!$E5)/1000000</f>
        <v>15.236797144054819</v>
      </c>
      <c r="J22" s="123">
        <f>('Water Heaters Purchased'!J6*'Capital Cost'!$E5)/1000000</f>
        <v>15.174220301661011</v>
      </c>
      <c r="K22" s="123">
        <f>('Water Heaters Purchased'!K6*'Capital Cost'!$E5)/1000000</f>
        <v>15.086332497234453</v>
      </c>
      <c r="L22" s="123">
        <f>('Water Heaters Purchased'!L6*'Capital Cost'!$E5)/1000000</f>
        <v>14.966926136293381</v>
      </c>
      <c r="M22" s="123">
        <f>('Water Heaters Purchased'!M6*'Capital Cost'!$E5)/1000000</f>
        <v>14.809859042830752</v>
      </c>
      <c r="N22" s="123">
        <f>('Water Heaters Purchased'!N6*'Capital Cost'!$E5)/1000000</f>
        <v>14.609643980710125</v>
      </c>
      <c r="O22" s="123">
        <f>('Water Heaters Purchased'!O6*'Capital Cost'!$E5)/1000000</f>
        <v>14.362094082436959</v>
      </c>
      <c r="P22" s="123">
        <f>('Water Heaters Purchased'!P6*'Capital Cost'!$E5)/1000000</f>
        <v>14.064927013876597</v>
      </c>
      <c r="Q22" s="123">
        <f>('Water Heaters Purchased'!Q6*'Capital Cost'!$E5)/1000000</f>
        <v>13.718217497026796</v>
      </c>
      <c r="R22" s="123">
        <f>('Water Heaters Purchased'!R6*'Capital Cost'!$E5)/1000000</f>
        <v>13.324601687512208</v>
      </c>
      <c r="S22" s="123">
        <f>('Water Heaters Purchased'!S6*'Capital Cost'!$E5)/1000000</f>
        <v>12.889179344050453</v>
      </c>
      <c r="T22" s="123">
        <f>('Water Heaters Purchased'!T6*'Capital Cost'!$E5)/1000000</f>
        <v>12.419120908142794</v>
      </c>
      <c r="U22" s="123">
        <f>('Water Heaters Purchased'!U6*'Capital Cost'!$E5)/1000000</f>
        <v>11.923047960236214</v>
      </c>
      <c r="V22" s="123">
        <f>('Water Heaters Purchased'!V6*'Capital Cost'!$E5)/1000000</f>
        <v>11.410297517094342</v>
      </c>
      <c r="W22" s="123">
        <f>('Water Heaters Purchased'!W6*'Capital Cost'!$E5)/1000000</f>
        <v>10.890191595065039</v>
      </c>
    </row>
    <row r="23" spans="1:23">
      <c r="A23" s="9" t="str">
        <f>'Water Heaters Purchased'!A7</f>
        <v>HPWH</v>
      </c>
      <c r="B23" s="123">
        <f>('Water Heaters Purchased'!B7*'Capital Cost'!$E6)/1000000</f>
        <v>0</v>
      </c>
      <c r="C23" s="123">
        <f>('Water Heaters Purchased'!C7*'Capital Cost'!$E6)/1000000</f>
        <v>5.3172936322176635E-3</v>
      </c>
      <c r="D23" s="123">
        <f>('Water Heaters Purchased'!D7*'Capital Cost'!$E6)/1000000</f>
        <v>1.0636589976332076E-2</v>
      </c>
      <c r="E23" s="123">
        <f>('Water Heaters Purchased'!E7*'Capital Cost'!$E6)/1000000</f>
        <v>2.0228814958446389E-2</v>
      </c>
      <c r="F23" s="123">
        <f>('Water Heaters Purchased'!F7*'Capital Cost'!$E6)/1000000</f>
        <v>3.6707559410344141E-2</v>
      </c>
      <c r="G23" s="123">
        <f>('Water Heaters Purchased'!G7*'Capital Cost'!$E6)/1000000</f>
        <v>6.3764508416438381E-2</v>
      </c>
      <c r="H23" s="123">
        <f>('Water Heaters Purchased'!H7*'Capital Cost'!$E6)/1000000</f>
        <v>0.10634764021378401</v>
      </c>
      <c r="I23" s="123">
        <f>('Water Heaters Purchased'!I7*'Capital Cost'!$E6)/1000000</f>
        <v>0.17074972830416046</v>
      </c>
      <c r="J23" s="123">
        <f>('Water Heaters Purchased'!J7*'Capital Cost'!$E6)/1000000</f>
        <v>0.26455240829240689</v>
      </c>
      <c r="K23" s="123">
        <f>('Water Heaters Purchased'!K7*'Capital Cost'!$E6)/1000000</f>
        <v>0.39637558958026786</v>
      </c>
      <c r="L23" s="123">
        <f>('Water Heaters Purchased'!L7*'Capital Cost'!$E6)/1000000</f>
        <v>0.57539978067491215</v>
      </c>
      <c r="M23" s="123">
        <f>('Water Heaters Purchased'!M7*'Capital Cost'!$E6)/1000000</f>
        <v>0.81066217172109778</v>
      </c>
      <c r="N23" s="123">
        <f>('Water Heaters Purchased'!N7*'Capital Cost'!$E6)/1000000</f>
        <v>1.1101744494775736</v>
      </c>
      <c r="O23" s="123">
        <f>('Water Heaters Purchased'!O7*'Capital Cost'!$E6)/1000000</f>
        <v>1.4799635003861515</v>
      </c>
      <c r="P23" s="123">
        <f>('Water Heaters Purchased'!P7*'Capital Cost'!$E6)/1000000</f>
        <v>1.9231808733567448</v>
      </c>
      <c r="Q23" s="123">
        <f>('Water Heaters Purchased'!Q7*'Capital Cost'!$E6)/1000000</f>
        <v>2.4394451447240444</v>
      </c>
      <c r="R23" s="123">
        <f>('Water Heaters Purchased'!R7*'Capital Cost'!$E6)/1000000</f>
        <v>3.0245590279062968</v>
      </c>
      <c r="S23" s="123">
        <f>('Water Heaters Purchased'!S7*'Capital Cost'!$E6)/1000000</f>
        <v>3.6706784883822414</v>
      </c>
      <c r="T23" s="123">
        <f>('Water Heaters Purchased'!T7*'Capital Cost'!$E6)/1000000</f>
        <v>4.3669193910087705</v>
      </c>
      <c r="U23" s="123">
        <f>('Water Heaters Purchased'!U7*'Capital Cost'!$E6)/1000000</f>
        <v>5.1002962389688493</v>
      </c>
      <c r="V23" s="123">
        <f>('Water Heaters Purchased'!V7*'Capital Cost'!$E6)/1000000</f>
        <v>5.8568263014042223</v>
      </c>
      <c r="W23" s="123">
        <f>('Water Heaters Purchased'!W7*'Capital Cost'!$E6)/1000000</f>
        <v>6.622617823334334</v>
      </c>
    </row>
    <row r="24" spans="1:23">
      <c r="A24" s="9" t="str">
        <f>'Water Heaters Purchased'!A8</f>
        <v>Gas Tank</v>
      </c>
      <c r="B24" s="123">
        <f>('Water Heaters Purchased'!B8*'Capital Cost'!$E7)/1000000</f>
        <v>0</v>
      </c>
      <c r="C24" s="123">
        <f>('Water Heaters Purchased'!C8*'Capital Cost'!$E7)/1000000</f>
        <v>3.9988987174118065</v>
      </c>
      <c r="D24" s="123">
        <f>('Water Heaters Purchased'!D8*'Capital Cost'!$E7)/1000000</f>
        <v>3.9991119925227276</v>
      </c>
      <c r="E24" s="123">
        <f>('Water Heaters Purchased'!E8*'Capital Cost'!$E7)/1000000</f>
        <v>3.998422752671436</v>
      </c>
      <c r="F24" s="123">
        <f>('Water Heaters Purchased'!F8*'Capital Cost'!$E7)/1000000</f>
        <v>3.9963778599319673</v>
      </c>
      <c r="G24" s="123">
        <f>('Water Heaters Purchased'!G8*'Capital Cost'!$E7)/1000000</f>
        <v>3.9923357747832116</v>
      </c>
      <c r="H24" s="123">
        <f>('Water Heaters Purchased'!H8*'Capital Cost'!$E7)/1000000</f>
        <v>3.9854346919062524</v>
      </c>
      <c r="I24" s="123">
        <f>('Water Heaters Purchased'!I8*'Capital Cost'!$E7)/1000000</f>
        <v>3.9745760885049801</v>
      </c>
      <c r="J24" s="123">
        <f>('Water Heaters Purchased'!J8*'Capital Cost'!$E7)/1000000</f>
        <v>3.9584333409273889</v>
      </c>
      <c r="K24" s="123">
        <f>('Water Heaters Purchased'!K8*'Capital Cost'!$E7)/1000000</f>
        <v>3.9354943541283878</v>
      </c>
      <c r="L24" s="123">
        <f>('Water Heaters Purchased'!L8*'Capital Cost'!$E7)/1000000</f>
        <v>3.9041441074533747</v>
      </c>
      <c r="M24" s="123">
        <f>('Water Heaters Purchased'!M8*'Capital Cost'!$E7)/1000000</f>
        <v>3.8627872393810403</v>
      </c>
      <c r="N24" s="123">
        <f>('Water Heaters Purchased'!N8*'Capital Cost'!$E7)/1000000</f>
        <v>3.8100025342864989</v>
      </c>
      <c r="O24" s="123">
        <f>('Water Heaters Purchased'!O8*'Capital Cost'!$E7)/1000000</f>
        <v>3.7447117841450992</v>
      </c>
      <c r="P24" s="123">
        <f>('Water Heaters Purchased'!P8*'Capital Cost'!$E7)/1000000</f>
        <v>3.6663375164889151</v>
      </c>
      <c r="Q24" s="123">
        <f>('Water Heaters Purchased'!Q8*'Capital Cost'!$E7)/1000000</f>
        <v>3.5749206803763691</v>
      </c>
      <c r="R24" s="123">
        <f>('Water Heaters Purchased'!R8*'Capital Cost'!$E7)/1000000</f>
        <v>3.4711730913109604</v>
      </c>
      <c r="S24" s="123">
        <f>('Water Heaters Purchased'!S8*'Capital Cost'!$E7)/1000000</f>
        <v>3.3564506198764876</v>
      </c>
      <c r="T24" s="123">
        <f>('Water Heaters Purchased'!T8*'Capital Cost'!$E7)/1000000</f>
        <v>3.2326491690503256</v>
      </c>
      <c r="U24" s="123">
        <f>('Water Heaters Purchased'!U8*'Capital Cost'!$E7)/1000000</f>
        <v>3.1020415421389407</v>
      </c>
      <c r="V24" s="123">
        <f>('Water Heaters Purchased'!V8*'Capital Cost'!$E7)/1000000</f>
        <v>2.9670842483057709</v>
      </c>
      <c r="W24" s="123">
        <f>('Water Heaters Purchased'!W8*'Capital Cost'!$E7)/1000000</f>
        <v>2.8302260837750595</v>
      </c>
    </row>
    <row r="25" spans="1:23">
      <c r="A25" s="9" t="str">
        <f>'Water Heaters Purchased'!A9</f>
        <v>Instant Gas</v>
      </c>
      <c r="B25" s="123">
        <f>('Water Heaters Purchased'!B9*'Capital Cost'!$E8)/1000000</f>
        <v>0</v>
      </c>
      <c r="C25" s="123">
        <f>('Water Heaters Purchased'!C9*'Capital Cost'!$E8)/1000000</f>
        <v>2.6986014468680718E-3</v>
      </c>
      <c r="D25" s="123">
        <f>('Water Heaters Purchased'!D9*'Capital Cost'!$E8)/1000000</f>
        <v>5.4212454318383141E-3</v>
      </c>
      <c r="E25" s="123">
        <f>('Water Heaters Purchased'!E9*'Capital Cost'!$E8)/1000000</f>
        <v>1.0354130539037113E-2</v>
      </c>
      <c r="F25" s="123">
        <f>('Water Heaters Purchased'!F9*'Capital Cost'!$E8)/1000000</f>
        <v>1.8868744194406633E-2</v>
      </c>
      <c r="G25" s="123">
        <f>('Water Heaters Purchased'!G9*'Capital Cost'!$E8)/1000000</f>
        <v>3.2916093925149617E-2</v>
      </c>
      <c r="H25" s="123">
        <f>('Water Heaters Purchased'!H9*'Capital Cost'!$E8)/1000000</f>
        <v>5.5131038318506145E-2</v>
      </c>
      <c r="I25" s="123">
        <f>('Water Heaters Purchased'!I9*'Capital Cost'!$E8)/1000000</f>
        <v>8.8892345629426023E-2</v>
      </c>
      <c r="J25" s="123">
        <f>('Water Heaters Purchased'!J9*'Capital Cost'!$E8)/1000000</f>
        <v>0.13830848798704279</v>
      </c>
      <c r="K25" s="123">
        <f>('Water Heaters Purchased'!K9*'Capital Cost'!$E8)/1000000</f>
        <v>0.20810056872124738</v>
      </c>
      <c r="L25" s="123">
        <f>('Water Heaters Purchased'!L9*'Capital Cost'!$E8)/1000000</f>
        <v>0.30336224904064379</v>
      </c>
      <c r="M25" s="123">
        <f>('Water Heaters Purchased'!M9*'Capital Cost'!$E8)/1000000</f>
        <v>0.4291935587370006</v>
      </c>
      <c r="N25" s="123">
        <f>('Water Heaters Purchased'!N9*'Capital Cost'!$E8)/1000000</f>
        <v>0.59023052674154364</v>
      </c>
      <c r="O25" s="123">
        <f>('Water Heaters Purchased'!O9*'Capital Cost'!$E8)/1000000</f>
        <v>0.79012179801607929</v>
      </c>
      <c r="P25" s="123">
        <f>('Water Heaters Purchased'!P9*'Capital Cost'!$E8)/1000000</f>
        <v>1.0310291748781131</v>
      </c>
      <c r="Q25" s="123">
        <f>('Water Heaters Purchased'!Q9*'Capital Cost'!$E8)/1000000</f>
        <v>1.3132414704310311</v>
      </c>
      <c r="R25" s="123">
        <f>('Water Heaters Purchased'!R9*'Capital Cost'!$E8)/1000000</f>
        <v>1.6349819640964642</v>
      </c>
      <c r="S25" s="123">
        <f>('Water Heaters Purchased'!S9*'Capital Cost'!$E8)/1000000</f>
        <v>1.9924572641829874</v>
      </c>
      <c r="T25" s="123">
        <f>('Water Heaters Purchased'!T9*'Capital Cost'!$E8)/1000000</f>
        <v>2.3801468014005476</v>
      </c>
      <c r="U25" s="123">
        <f>('Water Heaters Purchased'!U9*'Capital Cost'!$E8)/1000000</f>
        <v>2.7912821599694055</v>
      </c>
      <c r="V25" s="123">
        <f>('Water Heaters Purchased'!V9*'Capital Cost'!$E8)/1000000</f>
        <v>3.218429910791857</v>
      </c>
      <c r="W25" s="123">
        <f>('Water Heaters Purchased'!W9*'Capital Cost'!$E8)/1000000</f>
        <v>3.6540805607977522</v>
      </c>
    </row>
    <row r="26" spans="1:23">
      <c r="A26" s="9" t="str">
        <f>'Water Heaters Purchased'!A10</f>
        <v>Condensing Gas</v>
      </c>
      <c r="B26" s="123">
        <f>('Water Heaters Purchased'!B10*'Capital Cost'!$E9)/1000000</f>
        <v>0</v>
      </c>
      <c r="C26" s="123">
        <f>('Water Heaters Purchased'!C10*'Capital Cost'!$E9)/1000000</f>
        <v>5.856432160646516E-3</v>
      </c>
      <c r="D26" s="123">
        <f>('Water Heaters Purchased'!D10*'Capital Cost'!$E9)/1000000</f>
        <v>1.1737955548081725E-2</v>
      </c>
      <c r="E26" s="123">
        <f>('Water Heaters Purchased'!E10*'Capital Cost'!$E9)/1000000</f>
        <v>2.2366605021889079E-2</v>
      </c>
      <c r="F26" s="123">
        <f>('Water Heaters Purchased'!F10*'Capital Cost'!$E9)/1000000</f>
        <v>4.0664603923001579E-2</v>
      </c>
      <c r="G26" s="123">
        <f>('Water Heaters Purchased'!G10*'Capital Cost'!$E9)/1000000</f>
        <v>7.0772265262237788E-2</v>
      </c>
      <c r="H26" s="123">
        <f>('Water Heaters Purchased'!H10*'Capital Cost'!$E9)/1000000</f>
        <v>0.11825688315288936</v>
      </c>
      <c r="I26" s="123">
        <f>('Water Heaters Purchased'!I10*'Capital Cost'!$E9)/1000000</f>
        <v>0.19022357453521563</v>
      </c>
      <c r="J26" s="123">
        <f>('Water Heaters Purchased'!J10*'Capital Cost'!$E9)/1000000</f>
        <v>0.29526559895734966</v>
      </c>
      <c r="K26" s="123">
        <f>('Water Heaters Purchased'!K10*'Capital Cost'!$E9)/1000000</f>
        <v>0.44319589277226162</v>
      </c>
      <c r="L26" s="123">
        <f>('Water Heaters Purchased'!L10*'Capital Cost'!$E9)/1000000</f>
        <v>0.6445207530061583</v>
      </c>
      <c r="M26" s="123">
        <f>('Water Heaters Purchased'!M10*'Capital Cost'!$E9)/1000000</f>
        <v>0.9096535453023189</v>
      </c>
      <c r="N26" s="123">
        <f>('Water Heaters Purchased'!N10*'Capital Cost'!$E9)/1000000</f>
        <v>1.2479194485673313</v>
      </c>
      <c r="O26" s="123">
        <f>('Water Heaters Purchased'!O10*'Capital Cost'!$E9)/1000000</f>
        <v>1.6664630325419099</v>
      </c>
      <c r="P26" s="123">
        <f>('Water Heaters Purchased'!P10*'Capital Cost'!$E9)/1000000</f>
        <v>2.1692225911694361</v>
      </c>
      <c r="Q26" s="123">
        <f>('Water Heaters Purchased'!Q10*'Capital Cost'!$E9)/1000000</f>
        <v>2.7561580894040465</v>
      </c>
      <c r="R26" s="123">
        <f>('Water Heaters Purchased'!R10*'Capital Cost'!$E9)/1000000</f>
        <v>3.4228967876071694</v>
      </c>
      <c r="S26" s="123">
        <f>('Water Heaters Purchased'!S10*'Capital Cost'!$E9)/1000000</f>
        <v>4.1608893662109878</v>
      </c>
      <c r="T26" s="123">
        <f>('Water Heaters Purchased'!T10*'Capital Cost'!$E9)/1000000</f>
        <v>4.9580661056169504</v>
      </c>
      <c r="U26" s="123">
        <f>('Water Heaters Purchased'!U10*'Capital Cost'!$E9)/1000000</f>
        <v>5.7998787063100554</v>
      </c>
      <c r="V26" s="123">
        <f>('Water Heaters Purchased'!V10*'Capital Cost'!$E9)/1000000</f>
        <v>6.6705417391311528</v>
      </c>
      <c r="W26" s="123">
        <f>('Water Heaters Purchased'!W10*'Capital Cost'!$E9)/1000000</f>
        <v>7.5542684628547541</v>
      </c>
    </row>
    <row r="27" spans="1:23">
      <c r="A27" s="12"/>
    </row>
    <row r="28" spans="1:23">
      <c r="A28" s="12" t="s">
        <v>118</v>
      </c>
    </row>
    <row r="29" spans="1:23">
      <c r="A29" s="14" t="str">
        <f>'Energy Usage'!A16</f>
        <v>Water Heat Ending</v>
      </c>
      <c r="B29" s="9">
        <f>'Water Heater Stock'!B13</f>
        <v>2014</v>
      </c>
      <c r="C29" s="9">
        <f>'Water Heater Stock'!C13</f>
        <v>2015</v>
      </c>
      <c r="D29" s="9">
        <f>'Water Heater Stock'!D13</f>
        <v>2016</v>
      </c>
      <c r="E29" s="9">
        <f>'Water Heater Stock'!E13</f>
        <v>2017</v>
      </c>
      <c r="F29" s="9">
        <f>'Water Heater Stock'!F13</f>
        <v>2018</v>
      </c>
      <c r="G29" s="9">
        <f>'Water Heater Stock'!G13</f>
        <v>2019</v>
      </c>
      <c r="H29" s="9">
        <f>'Water Heater Stock'!H13</f>
        <v>2020</v>
      </c>
      <c r="I29" s="9">
        <f>'Water Heater Stock'!I13</f>
        <v>2021</v>
      </c>
      <c r="J29" s="9">
        <f>'Water Heater Stock'!J13</f>
        <v>2022</v>
      </c>
      <c r="K29" s="9">
        <f>'Water Heater Stock'!K13</f>
        <v>2023</v>
      </c>
      <c r="L29" s="9">
        <f>'Water Heater Stock'!L13</f>
        <v>2024</v>
      </c>
      <c r="M29" s="9">
        <f>'Water Heater Stock'!M13</f>
        <v>2025</v>
      </c>
      <c r="N29" s="9">
        <f>'Water Heater Stock'!N13</f>
        <v>2026</v>
      </c>
      <c r="O29" s="9">
        <f>'Water Heater Stock'!O13</f>
        <v>2027</v>
      </c>
      <c r="P29" s="9">
        <f>'Water Heater Stock'!P13</f>
        <v>2028</v>
      </c>
      <c r="Q29" s="9">
        <f>'Water Heater Stock'!Q13</f>
        <v>2029</v>
      </c>
      <c r="R29" s="9">
        <f>'Water Heater Stock'!R13</f>
        <v>2030</v>
      </c>
      <c r="S29" s="9">
        <f>'Water Heater Stock'!S13</f>
        <v>2031</v>
      </c>
      <c r="T29" s="9">
        <f>'Water Heater Stock'!T13</f>
        <v>2032</v>
      </c>
      <c r="U29" s="9">
        <f>'Water Heater Stock'!U13</f>
        <v>2033</v>
      </c>
      <c r="V29" s="9">
        <f>'Water Heater Stock'!V13</f>
        <v>2034</v>
      </c>
      <c r="W29" s="9">
        <f>'Water Heater Stock'!W13</f>
        <v>2035</v>
      </c>
    </row>
    <row r="30" spans="1:23" ht="16.5" thickBot="1">
      <c r="A30" s="48" t="s">
        <v>48</v>
      </c>
      <c r="B30" s="129">
        <f t="shared" ref="B30:W30" si="8">SUM(B31:B35)</f>
        <v>1.8639130296825939</v>
      </c>
      <c r="C30" s="129">
        <f t="shared" si="8"/>
        <v>1.9124008794562224</v>
      </c>
      <c r="D30" s="129">
        <f t="shared" si="8"/>
        <v>1.9575313062206152</v>
      </c>
      <c r="E30" s="129">
        <f t="shared" si="8"/>
        <v>1.9996168487367718</v>
      </c>
      <c r="F30" s="129">
        <f t="shared" si="8"/>
        <v>2.0389938797444884</v>
      </c>
      <c r="G30" s="129">
        <f t="shared" si="8"/>
        <v>2.0760402613011784</v>
      </c>
      <c r="H30" s="129">
        <f t="shared" si="8"/>
        <v>2.111195136120549</v>
      </c>
      <c r="I30" s="129">
        <f t="shared" si="8"/>
        <v>2.1449791826869253</v>
      </c>
      <c r="J30" s="129">
        <f t="shared" si="8"/>
        <v>2.1780127851719393</v>
      </c>
      <c r="K30" s="129">
        <f t="shared" si="8"/>
        <v>2.2110288121785371</v>
      </c>
      <c r="L30" s="129">
        <f t="shared" si="8"/>
        <v>2.244876289624103</v>
      </c>
      <c r="M30" s="129">
        <f t="shared" si="8"/>
        <v>2.2805114511220341</v>
      </c>
      <c r="N30" s="129">
        <f t="shared" si="8"/>
        <v>2.3189736730562731</v>
      </c>
      <c r="O30" s="129">
        <f t="shared" si="8"/>
        <v>2.3613457222481076</v>
      </c>
      <c r="P30" s="129">
        <f t="shared" si="8"/>
        <v>2.408700370786895</v>
      </c>
      <c r="Q30" s="129">
        <f t="shared" si="8"/>
        <v>2.4620382604664011</v>
      </c>
      <c r="R30" s="129">
        <f t="shared" si="8"/>
        <v>2.5222241913320795</v>
      </c>
      <c r="S30" s="129">
        <f t="shared" si="8"/>
        <v>2.5899300287681752</v>
      </c>
      <c r="T30" s="129">
        <f t="shared" si="8"/>
        <v>2.6655917399178128</v>
      </c>
      <c r="U30" s="129">
        <f t="shared" si="8"/>
        <v>2.7493857758264286</v>
      </c>
      <c r="V30" s="129">
        <f t="shared" si="8"/>
        <v>2.8412267246493723</v>
      </c>
      <c r="W30" s="129">
        <f t="shared" si="8"/>
        <v>2.9407847691602722</v>
      </c>
    </row>
    <row r="31" spans="1:23" ht="16.5" thickTop="1">
      <c r="A31" s="9" t="str">
        <f>'Energy Usage'!A18</f>
        <v>Electric Resistance</v>
      </c>
      <c r="B31" s="123">
        <f>'Water Heater Stock'!B6*'O&amp;M Cost'!$D5/1000000</f>
        <v>1.8639130296825939</v>
      </c>
      <c r="C31" s="123">
        <f>'Water Heater Stock'!C6*'O&amp;M Cost'!$D5/1000000</f>
        <v>1.8406187698463194</v>
      </c>
      <c r="D31" s="123">
        <f>'Water Heater Stock'!D6*'O&amp;M Cost'!$D5/1000000</f>
        <v>1.8189566853860315</v>
      </c>
      <c r="E31" s="123">
        <f>'Water Heater Stock'!E6*'O&amp;M Cost'!$D5/1000000</f>
        <v>1.798790898146277</v>
      </c>
      <c r="F31" s="123">
        <f>'Water Heater Stock'!F6*'O&amp;M Cost'!$D5/1000000</f>
        <v>1.7799827948265425</v>
      </c>
      <c r="G31" s="123">
        <f>'Water Heater Stock'!G6*'O&amp;M Cost'!$D5/1000000</f>
        <v>1.7623860551317789</v>
      </c>
      <c r="H31" s="123">
        <f>'Water Heater Stock'!H6*'O&amp;M Cost'!$D5/1000000</f>
        <v>1.7458411585047457</v>
      </c>
      <c r="I31" s="123">
        <f>'Water Heater Stock'!I6*'O&amp;M Cost'!$D5/1000000</f>
        <v>1.7301698262243428</v>
      </c>
      <c r="J31" s="123">
        <f>'Water Heater Stock'!J6*'O&amp;M Cost'!$D5/1000000</f>
        <v>1.715170086899475</v>
      </c>
      <c r="K31" s="123">
        <f>'Water Heater Stock'!K6*'O&amp;M Cost'!$D5/1000000</f>
        <v>1.7006128491990236</v>
      </c>
      <c r="L31" s="123">
        <f>'Water Heater Stock'!L6*'O&amp;M Cost'!$D5/1000000</f>
        <v>1.6862409650989452</v>
      </c>
      <c r="M31" s="123">
        <f>'Water Heater Stock'!M6*'O&amp;M Cost'!$D5/1000000</f>
        <v>1.6717717020538645</v>
      </c>
      <c r="N31" s="123">
        <f>'Water Heater Stock'!N6*'O&amp;M Cost'!$D5/1000000</f>
        <v>1.6569032570873969</v>
      </c>
      <c r="O31" s="123">
        <f>'Water Heater Stock'!O6*'O&amp;M Cost'!$D5/1000000</f>
        <v>1.6413254241552078</v>
      </c>
      <c r="P31" s="123">
        <f>'Water Heater Stock'!P6*'O&amp;M Cost'!$D5/1000000</f>
        <v>1.6247338228407933</v>
      </c>
      <c r="Q31" s="123">
        <f>'Water Heater Stock'!Q6*'O&amp;M Cost'!$D5/1000000</f>
        <v>1.6068463488823033</v>
      </c>
      <c r="R31" s="123">
        <f>'Water Heater Stock'!R6*'O&amp;M Cost'!$D5/1000000</f>
        <v>1.5874199121480139</v>
      </c>
      <c r="S31" s="123">
        <f>'Water Heater Stock'!S6*'O&amp;M Cost'!$D5/1000000</f>
        <v>1.5662652789855234</v>
      </c>
      <c r="T31" s="123">
        <f>'Water Heater Stock'!T6*'O&amp;M Cost'!$D5/1000000</f>
        <v>1.5432580427405296</v>
      </c>
      <c r="U31" s="123">
        <f>'Water Heater Stock'!U6*'O&amp;M Cost'!$D5/1000000</f>
        <v>1.5183443773298526</v>
      </c>
      <c r="V31" s="123">
        <f>'Water Heater Stock'!V6*'O&amp;M Cost'!$D5/1000000</f>
        <v>1.4915411152975855</v>
      </c>
      <c r="W31" s="123">
        <f>'Water Heater Stock'!W6*'O&amp;M Cost'!$D5/1000000</f>
        <v>1.4629305934301799</v>
      </c>
    </row>
    <row r="32" spans="1:23">
      <c r="A32" s="9" t="str">
        <f>'Energy Usage'!A19</f>
        <v>HPWH</v>
      </c>
      <c r="B32" s="123">
        <f>'Water Heater Stock'!B7*'O&amp;M Cost'!$D6/1000000</f>
        <v>0</v>
      </c>
      <c r="C32" s="123">
        <f>'Water Heater Stock'!C7*'O&amp;M Cost'!$D6/1000000</f>
        <v>3.2026889119243977E-5</v>
      </c>
      <c r="D32" s="123">
        <f>'Water Heater Stock'!D7*'O&amp;M Cost'!$D6/1000000</f>
        <v>9.3805095066848342E-5</v>
      </c>
      <c r="E32" s="123">
        <f>'Water Heater Stock'!E7*'O&amp;M Cost'!$D6/1000000</f>
        <v>2.0894603960712555E-4</v>
      </c>
      <c r="F32" s="123">
        <f>'Water Heater Stock'!F7*'O&amp;M Cost'!$D6/1000000</f>
        <v>4.1511667971503094E-4</v>
      </c>
      <c r="G32" s="123">
        <f>'Water Heater Stock'!G7*'O&amp;M Cost'!$D6/1000000</f>
        <v>7.6952907065681679E-4</v>
      </c>
      <c r="H32" s="123">
        <f>'Water Heater Stock'!H7*'O&amp;M Cost'!$D6/1000000</f>
        <v>1.3551111371983707E-3</v>
      </c>
      <c r="I32" s="123">
        <f>'Water Heater Stock'!I7*'O&amp;M Cost'!$D6/1000000</f>
        <v>2.2867697374701753E-3</v>
      </c>
      <c r="J32" s="123">
        <f>'Water Heater Stock'!J7*'O&amp;M Cost'!$D6/1000000</f>
        <v>3.7168694709685608E-3</v>
      </c>
      <c r="K32" s="123">
        <f>'Water Heater Stock'!K7*'O&amp;M Cost'!$D6/1000000</f>
        <v>5.8388108106650445E-3</v>
      </c>
      <c r="L32" s="123">
        <f>'Water Heater Stock'!L7*'O&amp;M Cost'!$D6/1000000</f>
        <v>8.8874755450599613E-3</v>
      </c>
      <c r="M32" s="123">
        <f>'Water Heater Stock'!M7*'O&amp;M Cost'!$D6/1000000</f>
        <v>1.3135400598216796E-2</v>
      </c>
      <c r="N32" s="123">
        <f>'Water Heater Stock'!N7*'O&amp;M Cost'!$D6/1000000</f>
        <v>1.8883911610335109E-2</v>
      </c>
      <c r="O32" s="123">
        <f>'Water Heater Stock'!O7*'O&amp;M Cost'!$D6/1000000</f>
        <v>2.6449111838918061E-2</v>
      </c>
      <c r="P32" s="123">
        <f>'Water Heater Stock'!P7*'O&amp;M Cost'!$D6/1000000</f>
        <v>3.6143508008131701E-2</v>
      </c>
      <c r="Q32" s="123">
        <f>'Water Heater Stock'!Q7*'O&amp;M Cost'!$D6/1000000</f>
        <v>4.8254987559029461E-2</v>
      </c>
      <c r="R32" s="123">
        <f>'Water Heater Stock'!R7*'O&amp;M Cost'!$D6/1000000</f>
        <v>6.3025593632100627E-2</v>
      </c>
      <c r="S32" s="123">
        <f>'Water Heater Stock'!S7*'O&amp;M Cost'!$D6/1000000</f>
        <v>8.0632834728384284E-2</v>
      </c>
      <c r="T32" s="123">
        <f>'Water Heater Stock'!T7*'O&amp;M Cost'!$D6/1000000</f>
        <v>0.10117598332622914</v>
      </c>
      <c r="U32" s="123">
        <f>'Water Heater Stock'!U7*'O&amp;M Cost'!$D6/1000000</f>
        <v>0.12466900733942463</v>
      </c>
      <c r="V32" s="123">
        <f>'Water Heater Stock'!V7*'O&amp;M Cost'!$D6/1000000</f>
        <v>0.15104065680417092</v>
      </c>
      <c r="W32" s="123">
        <f>'Water Heater Stock'!W7*'O&amp;M Cost'!$D6/1000000</f>
        <v>0.1801410988322403</v>
      </c>
    </row>
    <row r="33" spans="1:23">
      <c r="A33" s="45" t="str">
        <f>'Energy Usage'!A20</f>
        <v>Gas Tank</v>
      </c>
      <c r="B33" s="123">
        <f>'Water Heater Stock'!B8*'O&amp;M Cost'!$D7/1000000</f>
        <v>0</v>
      </c>
      <c r="C33" s="123">
        <f>'Water Heater Stock'!C8*'O&amp;M Cost'!$D7/1000000</f>
        <v>7.1648933680025895E-2</v>
      </c>
      <c r="D33" s="123">
        <f>'Water Heater Stock'!D8*'O&amp;M Cost'!$D7/1000000</f>
        <v>0.13818390766855543</v>
      </c>
      <c r="E33" s="123">
        <f>'Water Heater Stock'!E8*'O&amp;M Cost'!$D7/1000000</f>
        <v>0.19995403428995176</v>
      </c>
      <c r="F33" s="123">
        <f>'Water Heater Stock'!F8*'O&amp;M Cost'!$D7/1000000</f>
        <v>0.25727537032636549</v>
      </c>
      <c r="G33" s="123">
        <f>'Water Heater Stock'!G8*'O&amp;M Cost'!$D7/1000000</f>
        <v>0.31042990250516506</v>
      </c>
      <c r="H33" s="123">
        <f>'Water Heater Stock'!H8*'O&amp;M Cost'!$D7/1000000</f>
        <v>0.35966403453533002</v>
      </c>
      <c r="I33" s="123">
        <f>'Water Heater Stock'!I8*'O&amp;M Cost'!$D7/1000000</f>
        <v>0.40518688744519599</v>
      </c>
      <c r="J33" s="123">
        <f>'Water Heater Stock'!J8*'O&amp;M Cost'!$D7/1000000</f>
        <v>0.44716887571008485</v>
      </c>
      <c r="K33" s="123">
        <f>'Water Heater Stock'!K8*'O&amp;M Cost'!$D7/1000000</f>
        <v>0.48574114888428116</v>
      </c>
      <c r="L33" s="123">
        <f>'Water Heater Stock'!L8*'O&amp;M Cost'!$D7/1000000</f>
        <v>0.52099655210297835</v>
      </c>
      <c r="M33" s="123">
        <f>'Water Heater Stock'!M8*'O&amp;M Cost'!$D7/1000000</f>
        <v>0.5529927143481761</v>
      </c>
      <c r="N33" s="123">
        <f>'Water Heater Stock'!N8*'O&amp;M Cost'!$D7/1000000</f>
        <v>0.58175768408919581</v>
      </c>
      <c r="O33" s="123">
        <f>'Water Heater Stock'!O8*'O&amp;M Cost'!$D7/1000000</f>
        <v>0.6072981879006879</v>
      </c>
      <c r="P33" s="123">
        <f>'Water Heater Stock'!P8*'O&amp;M Cost'!$D7/1000000</f>
        <v>0.62961012521739435</v>
      </c>
      <c r="Q33" s="123">
        <f>'Water Heater Stock'!Q8*'O&amp;M Cost'!$D7/1000000</f>
        <v>0.64869042206266814</v>
      </c>
      <c r="R33" s="123">
        <f>'Water Heater Stock'!R8*'O&amp;M Cost'!$D7/1000000</f>
        <v>0.66454897774643529</v>
      </c>
      <c r="S33" s="123">
        <f>'Water Heater Stock'!S8*'O&amp;M Cost'!$D7/1000000</f>
        <v>0.67721927784390323</v>
      </c>
      <c r="T33" s="123">
        <f>'Water Heater Stock'!T8*'O&amp;M Cost'!$D7/1000000</f>
        <v>0.68676638531257606</v>
      </c>
      <c r="U33" s="123">
        <f>'Water Heater Stock'!U8*'O&amp;M Cost'!$D7/1000000</f>
        <v>0.69329143795085424</v>
      </c>
      <c r="V33" s="123">
        <f>'Water Heater Stock'!V8*'O&amp;M Cost'!$D7/1000000</f>
        <v>0.69693236311209106</v>
      </c>
      <c r="W33" s="123">
        <f>'Water Heater Stock'!W8*'O&amp;M Cost'!$D7/1000000</f>
        <v>0.69786111168522402</v>
      </c>
    </row>
    <row r="34" spans="1:23">
      <c r="A34" s="44" t="str">
        <f>'Energy Usage'!A21</f>
        <v>Instant Gas</v>
      </c>
      <c r="B34" s="123">
        <f>'Water Heater Stock'!B9*'O&amp;M Cost'!$D8/1000000</f>
        <v>0</v>
      </c>
      <c r="C34" s="123">
        <f>'Water Heater Stock'!C9*'O&amp;M Cost'!$D8/1000000</f>
        <v>5.4600109666821562E-5</v>
      </c>
      <c r="D34" s="123">
        <f>'Water Heater Stock'!D9*'O&amp;M Cost'!$D8/1000000</f>
        <v>1.6038676766279335E-4</v>
      </c>
      <c r="E34" s="123">
        <f>'Water Heater Stock'!E9*'O&amp;M Cost'!$D8/1000000</f>
        <v>3.5842303266734557E-4</v>
      </c>
      <c r="F34" s="123">
        <f>'Water Heater Stock'!F9*'O&amp;M Cost'!$D8/1000000</f>
        <v>7.1458784042431698E-4</v>
      </c>
      <c r="G34" s="123">
        <f>'Water Heater Stock'!G9*'O&amp;M Cost'!$D8/1000000</f>
        <v>1.329528722395179E-3</v>
      </c>
      <c r="H34" s="123">
        <f>'Water Heater Stock'!H9*'O&amp;M Cost'!$D8/1000000</f>
        <v>2.3500145174180425E-3</v>
      </c>
      <c r="I34" s="123">
        <f>'Water Heater Stock'!I9*'O&amp;M Cost'!$D8/1000000</f>
        <v>3.98069232576795E-3</v>
      </c>
      <c r="J34" s="123">
        <f>'Water Heater Stock'!J9*'O&amp;M Cost'!$D8/1000000</f>
        <v>6.4947172586140708E-3</v>
      </c>
      <c r="K34" s="123">
        <f>'Water Heater Stock'!K9*'O&amp;M Cost'!$D8/1000000</f>
        <v>1.0241254218339E-2</v>
      </c>
      <c r="L34" s="123">
        <f>'Water Heater Stock'!L9*'O&amp;M Cost'!$D8/1000000</f>
        <v>1.5647586495568775E-2</v>
      </c>
      <c r="M34" s="123">
        <f>'Water Heater Stock'!M9*'O&amp;M Cost'!$D8/1000000</f>
        <v>2.3213664738205096E-2</v>
      </c>
      <c r="N34" s="123">
        <f>'Water Heater Stock'!N9*'O&amp;M Cost'!$D8/1000000</f>
        <v>3.3497528415719659E-2</v>
      </c>
      <c r="O34" s="123">
        <f>'Water Heater Stock'!O9*'O&amp;M Cost'!$D8/1000000</f>
        <v>4.70911791314692E-2</v>
      </c>
      <c r="P34" s="123">
        <f>'Water Heater Stock'!P9*'O&amp;M Cost'!$D8/1000000</f>
        <v>6.4588071850812639E-2</v>
      </c>
      <c r="Q34" s="123">
        <f>'Water Heater Stock'!Q9*'O&amp;M Cost'!$D8/1000000</f>
        <v>8.6545115380036175E-2</v>
      </c>
      <c r="R34" s="123">
        <f>'Water Heater Stock'!R9*'O&amp;M Cost'!$D8/1000000</f>
        <v>0.11344349139404454</v>
      </c>
      <c r="S34" s="123">
        <f>'Water Heater Stock'!S9*'O&amp;M Cost'!$D8/1000000</f>
        <v>0.14565326072872861</v>
      </c>
      <c r="T34" s="123">
        <f>'Water Heater Stock'!T9*'O&amp;M Cost'!$D8/1000000</f>
        <v>0.18340635504319877</v>
      </c>
      <c r="U34" s="123">
        <f>'Water Heater Stock'!U9*'O&amp;M Cost'!$D8/1000000</f>
        <v>0.226781195832164</v>
      </c>
      <c r="V34" s="123">
        <f>'Water Heater Stock'!V9*'O&amp;M Cost'!$D8/1000000</f>
        <v>0.27570020439408832</v>
      </c>
      <c r="W34" s="123">
        <f>'Water Heater Stock'!W9*'O&amp;M Cost'!$D8/1000000</f>
        <v>0.32993940571954122</v>
      </c>
    </row>
    <row r="35" spans="1:23">
      <c r="A35" s="45" t="str">
        <f>'Energy Usage'!A22</f>
        <v>Condensing Gas</v>
      </c>
      <c r="B35" s="123">
        <f>'Water Heater Stock'!B10*'O&amp;M Cost'!$D9/1000000</f>
        <v>0</v>
      </c>
      <c r="C35" s="123">
        <f>'Water Heater Stock'!C10*'O&amp;M Cost'!$D9/1000000</f>
        <v>4.6548931091087879E-5</v>
      </c>
      <c r="D35" s="123">
        <f>'Water Heater Stock'!D10*'O&amp;M Cost'!$D9/1000000</f>
        <v>1.3652130329865975E-4</v>
      </c>
      <c r="E35" s="123">
        <f>'Water Heater Stock'!E10*'O&amp;M Cost'!$D9/1000000</f>
        <v>3.0454722826855809E-4</v>
      </c>
      <c r="F35" s="123">
        <f>'Water Heater Stock'!F10*'O&amp;M Cost'!$D9/1000000</f>
        <v>6.0601007144120065E-4</v>
      </c>
      <c r="G35" s="123">
        <f>'Water Heater Stock'!G10*'O&amp;M Cost'!$D9/1000000</f>
        <v>1.1252458711821344E-3</v>
      </c>
      <c r="H35" s="123">
        <f>'Water Heater Stock'!H10*'O&amp;M Cost'!$D9/1000000</f>
        <v>1.9848174258564684E-3</v>
      </c>
      <c r="I35" s="123">
        <f>'Water Heater Stock'!I10*'O&amp;M Cost'!$D9/1000000</f>
        <v>3.3550069541482255E-3</v>
      </c>
      <c r="J35" s="123">
        <f>'Water Heater Stock'!J10*'O&amp;M Cost'!$D9/1000000</f>
        <v>5.4622358327964041E-3</v>
      </c>
      <c r="K35" s="123">
        <f>'Water Heater Stock'!K10*'O&amp;M Cost'!$D9/1000000</f>
        <v>8.5947490662283584E-3</v>
      </c>
      <c r="L35" s="123">
        <f>'Water Heater Stock'!L10*'O&amp;M Cost'!$D9/1000000</f>
        <v>1.3103710381550492E-2</v>
      </c>
      <c r="M35" s="123">
        <f>'Water Heater Stock'!M10*'O&amp;M Cost'!$D9/1000000</f>
        <v>1.93979693835718E-2</v>
      </c>
      <c r="N35" s="123">
        <f>'Water Heater Stock'!N10*'O&amp;M Cost'!$D9/1000000</f>
        <v>2.7931291853625501E-2</v>
      </c>
      <c r="O35" s="123">
        <f>'Water Heater Stock'!O10*'O&amp;M Cost'!$D9/1000000</f>
        <v>3.9181819221824545E-2</v>
      </c>
      <c r="P35" s="123">
        <f>'Water Heater Stock'!P10*'O&amp;M Cost'!$D9/1000000</f>
        <v>5.3624842869763496E-2</v>
      </c>
      <c r="Q35" s="123">
        <f>'Water Heater Stock'!Q10*'O&amp;M Cost'!$D9/1000000</f>
        <v>7.1701386582364024E-2</v>
      </c>
      <c r="R35" s="123">
        <f>'Water Heater Stock'!R10*'O&amp;M Cost'!$D9/1000000</f>
        <v>9.3786216411484657E-2</v>
      </c>
      <c r="S35" s="123">
        <f>'Water Heater Stock'!S10*'O&amp;M Cost'!$D9/1000000</f>
        <v>0.12015937648163583</v>
      </c>
      <c r="T35" s="123">
        <f>'Water Heater Stock'!T10*'O&amp;M Cost'!$D9/1000000</f>
        <v>0.15098497349527917</v>
      </c>
      <c r="U35" s="123">
        <f>'Water Heater Stock'!U10*'O&amp;M Cost'!$D9/1000000</f>
        <v>0.18629975737413301</v>
      </c>
      <c r="V35" s="123">
        <f>'Water Heater Stock'!V10*'O&amp;M Cost'!$D9/1000000</f>
        <v>0.22601238504143639</v>
      </c>
      <c r="W35" s="123">
        <f>'Water Heater Stock'!W10*'O&amp;M Cost'!$D9/1000000</f>
        <v>0.26991255949308723</v>
      </c>
    </row>
    <row r="37" spans="1:23">
      <c r="A37" s="12" t="s">
        <v>119</v>
      </c>
    </row>
    <row r="38" spans="1:23">
      <c r="A38" s="14" t="str">
        <f>'Energy Usage'!A25</f>
        <v>Water Heat Ending</v>
      </c>
      <c r="B38" s="9">
        <f>'Energy Usage'!B25</f>
        <v>2014</v>
      </c>
      <c r="C38" s="9">
        <f>'Energy Usage'!C25</f>
        <v>2015</v>
      </c>
      <c r="D38" s="9">
        <f>'Energy Usage'!D25</f>
        <v>2016</v>
      </c>
      <c r="E38" s="9">
        <f>'Energy Usage'!E25</f>
        <v>2017</v>
      </c>
      <c r="F38" s="9">
        <f>'Energy Usage'!F25</f>
        <v>2018</v>
      </c>
      <c r="G38" s="9">
        <f>'Energy Usage'!G25</f>
        <v>2019</v>
      </c>
      <c r="H38" s="9">
        <f>'Energy Usage'!H25</f>
        <v>2020</v>
      </c>
      <c r="I38" s="9">
        <f>'Energy Usage'!I25</f>
        <v>2021</v>
      </c>
      <c r="J38" s="9">
        <f>'Energy Usage'!J25</f>
        <v>2022</v>
      </c>
      <c r="K38" s="9">
        <f>'Energy Usage'!K25</f>
        <v>2023</v>
      </c>
      <c r="L38" s="9">
        <f>'Energy Usage'!L25</f>
        <v>2024</v>
      </c>
      <c r="M38" s="9">
        <f>'Energy Usage'!M25</f>
        <v>2025</v>
      </c>
      <c r="N38" s="9">
        <f>'Energy Usage'!N25</f>
        <v>2026</v>
      </c>
      <c r="O38" s="9">
        <f>'Energy Usage'!O25</f>
        <v>2027</v>
      </c>
      <c r="P38" s="9">
        <f>'Energy Usage'!P25</f>
        <v>2028</v>
      </c>
      <c r="Q38" s="9">
        <f>'Energy Usage'!Q25</f>
        <v>2029</v>
      </c>
      <c r="R38" s="9">
        <f>'Energy Usage'!R25</f>
        <v>2030</v>
      </c>
      <c r="S38" s="9">
        <f>'Energy Usage'!S25</f>
        <v>2031</v>
      </c>
      <c r="T38" s="9">
        <f>'Energy Usage'!T25</f>
        <v>2032</v>
      </c>
      <c r="U38" s="9">
        <f>'Energy Usage'!U25</f>
        <v>2033</v>
      </c>
      <c r="V38" s="9">
        <f>'Energy Usage'!V25</f>
        <v>2034</v>
      </c>
      <c r="W38" s="9">
        <f>'Energy Usage'!W25</f>
        <v>2035</v>
      </c>
    </row>
    <row r="39" spans="1:23" ht="16.5" thickBot="1">
      <c r="A39" s="48" t="s">
        <v>48</v>
      </c>
      <c r="B39" s="129">
        <f t="shared" ref="B39" si="9">SUM(B40:B44)</f>
        <v>121.961288457669</v>
      </c>
      <c r="C39" s="129">
        <f t="shared" ref="C39:W39" si="10">SUM(C40:C44)</f>
        <v>123.08801076002045</v>
      </c>
      <c r="D39" s="129">
        <f t="shared" si="10"/>
        <v>124.25962440685204</v>
      </c>
      <c r="E39" s="129">
        <f t="shared" si="10"/>
        <v>125.47399542155969</v>
      </c>
      <c r="F39" s="129">
        <f t="shared" si="10"/>
        <v>126.72858071448776</v>
      </c>
      <c r="G39" s="129">
        <f t="shared" si="10"/>
        <v>128.02020255896042</v>
      </c>
      <c r="H39" s="129">
        <f t="shared" si="10"/>
        <v>129.34478345260587</v>
      </c>
      <c r="I39" s="129">
        <f t="shared" si="10"/>
        <v>130.69705882109437</v>
      </c>
      <c r="J39" s="129">
        <f t="shared" si="10"/>
        <v>132.07029727709988</v>
      </c>
      <c r="K39" s="129">
        <f t="shared" si="10"/>
        <v>133.45607008191766</v>
      </c>
      <c r="L39" s="129">
        <f t="shared" si="10"/>
        <v>134.84412015037748</v>
      </c>
      <c r="M39" s="129">
        <f t="shared" si="10"/>
        <v>136.22238274783146</v>
      </c>
      <c r="N39" s="129">
        <f t="shared" si="10"/>
        <v>137.57720138639147</v>
      </c>
      <c r="O39" s="129">
        <f t="shared" si="10"/>
        <v>138.8937612721837</v>
      </c>
      <c r="P39" s="129">
        <f t="shared" si="10"/>
        <v>140.15673011735743</v>
      </c>
      <c r="Q39" s="129">
        <f t="shared" si="10"/>
        <v>141.35105764890062</v>
      </c>
      <c r="R39" s="129">
        <f t="shared" si="10"/>
        <v>142.4628499509507</v>
      </c>
      <c r="S39" s="129">
        <f t="shared" si="10"/>
        <v>143.48021324453148</v>
      </c>
      <c r="T39" s="129">
        <f t="shared" si="10"/>
        <v>144.39396134328618</v>
      </c>
      <c r="U39" s="129">
        <f t="shared" si="10"/>
        <v>145.19810301296366</v>
      </c>
      <c r="V39" s="129">
        <f t="shared" si="10"/>
        <v>145.89006382128355</v>
      </c>
      <c r="W39" s="129">
        <f t="shared" si="10"/>
        <v>146.47064101650906</v>
      </c>
    </row>
    <row r="40" spans="1:23" ht="16.5" thickTop="1">
      <c r="A40" s="9" t="str">
        <f>'Energy Usage'!A27</f>
        <v>Electric Resistance</v>
      </c>
      <c r="B40" s="123">
        <f>(('Energy Usage'!B18*'Retail Rates'!B$5*'Device Energy Use'!$E5+'Energy Usage'!B18*'Retail Rates'!B$6*(1-'Device Energy Use'!$E5)))/1000000</f>
        <v>121.961288457669</v>
      </c>
      <c r="C40" s="123">
        <f>(('Energy Usage'!C18*'Retail Rates'!C$5*'Device Energy Use'!$E5+'Energy Usage'!C18*'Retail Rates'!C$6*(1-'Device Energy Use'!$E5)))/1000000</f>
        <v>122.00275881221721</v>
      </c>
      <c r="D40" s="123">
        <f>(('Energy Usage'!D18*'Retail Rates'!D$5*'Device Energy Use'!$E5+'Energy Usage'!D18*'Retail Rates'!D$6*(1-'Device Energy Use'!$E5)))/1000000</f>
        <v>122.13428875056674</v>
      </c>
      <c r="E40" s="123">
        <f>(('Energy Usage'!E18*'Retail Rates'!E$5*'Device Energy Use'!$E5+'Energy Usage'!E18*'Retail Rates'!E$6*(1-'Device Energy Use'!$E5)))/1000000</f>
        <v>122.35039534175971</v>
      </c>
      <c r="F40" s="123">
        <f>(('Energy Usage'!F18*'Retail Rates'!F$5*'Device Energy Use'!$E5+'Energy Usage'!F18*'Retail Rates'!F$6*(1-'Device Energy Use'!$E5)))/1000000</f>
        <v>122.64502764514708</v>
      </c>
      <c r="G40" s="123">
        <f>(('Energy Usage'!G18*'Retail Rates'!G$5*'Device Energy Use'!$E5+'Energy Usage'!G18*'Retail Rates'!G$6*(1-'Device Energy Use'!$E5)))/1000000</f>
        <v>123.01119404824679</v>
      </c>
      <c r="H40" s="123">
        <f>(('Energy Usage'!H18*'Retail Rates'!H$5*'Device Energy Use'!$E5+'Energy Usage'!H18*'Retail Rates'!H$6*(1-'Device Energy Use'!$E5)))/1000000</f>
        <v>123.44052482974143</v>
      </c>
      <c r="I40" s="123">
        <f>(('Energy Usage'!I18*'Retail Rates'!I$5*'Device Energy Use'!$E5+'Energy Usage'!I18*'Retail Rates'!I$6*(1-'Device Energy Use'!$E5)))/1000000</f>
        <v>123.92279805519638</v>
      </c>
      <c r="J40" s="123">
        <f>(('Energy Usage'!J18*'Retail Rates'!J$5*'Device Energy Use'!$E5+'Energy Usage'!J18*'Retail Rates'!J$6*(1-'Device Energy Use'!$E5)))/1000000</f>
        <v>124.44547687612824</v>
      </c>
      <c r="K40" s="123">
        <f>(('Energy Usage'!K18*'Retail Rates'!K$5*'Device Energy Use'!$E5+'Energy Usage'!K18*'Retail Rates'!K$6*(1-'Device Energy Use'!$E5)))/1000000</f>
        <v>124.99332581574562</v>
      </c>
      <c r="L40" s="123">
        <f>(('Energy Usage'!L18*'Retail Rates'!L$5*'Device Energy Use'!$E5+'Energy Usage'!L18*'Retail Rates'!L$6*(1-'Device Energy Use'!$E5)))/1000000</f>
        <v>125.54818794744439</v>
      </c>
      <c r="M40" s="123">
        <f>(('Energy Usage'!M18*'Retail Rates'!M$5*'Device Energy Use'!$E5+'Energy Usage'!M18*'Retail Rates'!M$6*(1-'Device Energy Use'!$E5)))/1000000</f>
        <v>126.08900807027449</v>
      </c>
      <c r="N40" s="123">
        <f>(('Energy Usage'!N18*'Retail Rates'!N$5*'Device Energy Use'!$E5+'Energy Usage'!N18*'Retail Rates'!N$6*(1-'Device Energy Use'!$E5)))/1000000</f>
        <v>126.59217322590338</v>
      </c>
      <c r="O40" s="123">
        <f>(('Energy Usage'!O18*'Retail Rates'!O$5*'Device Energy Use'!$E5+'Energy Usage'!O18*'Retail Rates'!O$6*(1-'Device Energy Use'!$E5)))/1000000</f>
        <v>127.03220776216067</v>
      </c>
      <c r="P40" s="123">
        <f>(('Energy Usage'!P18*'Retail Rates'!P$5*'Device Energy Use'!$E5+'Energy Usage'!P18*'Retail Rates'!P$6*(1-'Device Energy Use'!$E5)))/1000000</f>
        <v>127.38280738444685</v>
      </c>
      <c r="Q40" s="123">
        <f>(('Energy Usage'!Q18*'Retail Rates'!Q$5*'Device Energy Use'!$E5+'Energy Usage'!Q18*'Retail Rates'!Q$6*(1-'Device Energy Use'!$E5)))/1000000</f>
        <v>127.61813401531113</v>
      </c>
      <c r="R40" s="123">
        <f>(('Energy Usage'!R18*'Retail Rates'!R$5*'Device Energy Use'!$E5+'Energy Usage'!R18*'Retail Rates'!R$6*(1-'Device Energy Use'!$E5)))/1000000</f>
        <v>127.71423577740113</v>
      </c>
      <c r="S40" s="123">
        <f>(('Energy Usage'!S18*'Retail Rates'!S$5*'Device Energy Use'!$E5+'Energy Usage'!S18*'Retail Rates'!S$6*(1-'Device Energy Use'!$E5)))/1000000</f>
        <v>127.65042093166974</v>
      </c>
      <c r="T40" s="123">
        <f>(('Energy Usage'!T18*'Retail Rates'!T$5*'Device Energy Use'!$E5+'Energy Usage'!T18*'Retail Rates'!T$6*(1-'Device Energy Use'!$E5)))/1000000</f>
        <v>127.41041344871948</v>
      </c>
      <c r="U40" s="123">
        <f>(('Energy Usage'!U18*'Retail Rates'!U$5*'Device Energy Use'!$E5+'Energy Usage'!U18*'Retail Rates'!U$6*(1-'Device Energy Use'!$E5)))/1000000</f>
        <v>126.98315314040725</v>
      </c>
      <c r="V40" s="123">
        <f>(('Energy Usage'!V18*'Retail Rates'!V$5*'Device Energy Use'!$E5+'Energy Usage'!V18*'Retail Rates'!V$6*(1-'Device Energy Use'!$E5)))/1000000</f>
        <v>126.36316532921404</v>
      </c>
      <c r="W40" s="123">
        <f>(('Energy Usage'!W18*'Retail Rates'!W$5*'Device Energy Use'!$E5+'Energy Usage'!W18*'Retail Rates'!W$6*(1-'Device Energy Use'!$E5)))/1000000</f>
        <v>125.55049642810363</v>
      </c>
    </row>
    <row r="41" spans="1:23">
      <c r="A41" s="9" t="str">
        <f>'Energy Usage'!A28</f>
        <v>HPWH</v>
      </c>
      <c r="B41" s="123">
        <f>(('Energy Usage'!B19*'Retail Rates'!B$5*'Device Energy Use'!$E6+'Energy Usage'!B19*'Retail Rates'!B$6*(1-'Device Energy Use'!$E6)))/1000000</f>
        <v>0</v>
      </c>
      <c r="C41" s="123">
        <f>(('Energy Usage'!C19*'Retail Rates'!C$5*'Device Energy Use'!$E6+'Energy Usage'!C19*'Retail Rates'!C$6*(1-'Device Energy Use'!$E6)))/1000000</f>
        <v>4.553120026425499E-4</v>
      </c>
      <c r="D41" s="123">
        <f>(('Energy Usage'!D19*'Retail Rates'!D$5*'Device Energy Use'!$E6+'Energy Usage'!D19*'Retail Rates'!D$6*(1-'Device Energy Use'!$E6)))/1000000</f>
        <v>1.3509218190340217E-3</v>
      </c>
      <c r="E41" s="123">
        <f>(('Energy Usage'!E19*'Retail Rates'!E$5*'Device Energy Use'!$E6+'Energy Usage'!E19*'Retail Rates'!E$6*(1-'Device Energy Use'!$E6)))/1000000</f>
        <v>3.0482275044124416E-3</v>
      </c>
      <c r="F41" s="123">
        <f>(('Energy Usage'!F19*'Retail Rates'!F$5*'Device Energy Use'!$E6+'Energy Usage'!F19*'Retail Rates'!F$6*(1-'Device Energy Use'!$E6)))/1000000</f>
        <v>6.1346934074764589E-3</v>
      </c>
      <c r="G41" s="123">
        <f>(('Energy Usage'!G19*'Retail Rates'!G$5*'Device Energy Use'!$E6+'Energy Usage'!G19*'Retail Rates'!G$6*(1-'Device Energy Use'!$E6)))/1000000</f>
        <v>1.1520124037942284E-2</v>
      </c>
      <c r="H41" s="123">
        <f>(('Energy Usage'!H19*'Retail Rates'!H$5*'Device Energy Use'!$E6+'Energy Usage'!H19*'Retail Rates'!H$6*(1-'Device Energy Use'!$E6)))/1000000</f>
        <v>2.0550220411087158E-2</v>
      </c>
      <c r="I41" s="123">
        <f>(('Energy Usage'!I19*'Retail Rates'!I$5*'Device Energy Use'!$E6+'Energy Usage'!I19*'Retail Rates'!I$6*(1-'Device Energy Use'!$E6)))/1000000</f>
        <v>3.5129619936991721E-2</v>
      </c>
      <c r="J41" s="123">
        <f>(('Energy Usage'!J19*'Retail Rates'!J$5*'Device Energy Use'!$E6+'Energy Usage'!J19*'Retail Rates'!J$6*(1-'Device Energy Use'!$E6)))/1000000</f>
        <v>5.7841263358320565E-2</v>
      </c>
      <c r="K41" s="123">
        <f>(('Energy Usage'!K19*'Retail Rates'!K$5*'Device Energy Use'!$E6+'Energy Usage'!K19*'Retail Rates'!K$6*(1-'Device Energy Use'!$E6)))/1000000</f>
        <v>9.2043751062725387E-2</v>
      </c>
      <c r="L41" s="123">
        <f>(('Energy Usage'!L19*'Retail Rates'!L$5*'Device Energy Use'!$E6+'Energy Usage'!L19*'Retail Rates'!L$6*(1-'Device Energy Use'!$E6)))/1000000</f>
        <v>0.14192462971369418</v>
      </c>
      <c r="M41" s="123">
        <f>(('Energy Usage'!M19*'Retail Rates'!M$5*'Device Energy Use'!$E6+'Energy Usage'!M19*'Retail Rates'!M$6*(1-'Device Energy Use'!$E6)))/1000000</f>
        <v>0.21248687951115744</v>
      </c>
      <c r="N41" s="123">
        <f>(('Energy Usage'!N19*'Retail Rates'!N$5*'Device Energy Use'!$E6+'Energy Usage'!N19*'Retail Rates'!N$6*(1-'Device Energy Use'!$E6)))/1000000</f>
        <v>0.30944979603134559</v>
      </c>
      <c r="O41" s="123">
        <f>(('Energy Usage'!O19*'Retail Rates'!O$5*'Device Energy Use'!$E6+'Energy Usage'!O19*'Retail Rates'!O$6*(1-'Device Energy Use'!$E6)))/1000000</f>
        <v>0.43905485125521815</v>
      </c>
      <c r="P41" s="123">
        <f>(('Energy Usage'!P19*'Retail Rates'!P$5*'Device Energy Use'!$E6+'Energy Usage'!P19*'Retail Rates'!P$6*(1-'Device Energy Use'!$E6)))/1000000</f>
        <v>0.60778144094876363</v>
      </c>
      <c r="Q41" s="123">
        <f>(('Energy Usage'!Q19*'Retail Rates'!Q$5*'Device Energy Use'!$E6+'Energy Usage'!Q19*'Retail Rates'!Q$6*(1-'Device Energy Use'!$E6)))/1000000</f>
        <v>0.82199426190833691</v>
      </c>
      <c r="R41" s="123">
        <f>(('Energy Usage'!R19*'Retail Rates'!R$5*'Device Energy Use'!$E6+'Energy Usage'!R19*'Retail Rates'!R$6*(1-'Device Energy Use'!$E6)))/1000000</f>
        <v>1.0875593542926871</v>
      </c>
      <c r="S41" s="123">
        <f>(('Energy Usage'!S19*'Retail Rates'!S$5*'Device Energy Use'!$E6+'Energy Usage'!S19*'Retail Rates'!S$6*(1-'Device Energy Use'!$E6)))/1000000</f>
        <v>1.4094750635475393</v>
      </c>
      <c r="T41" s="123">
        <f>(('Energy Usage'!T19*'Retail Rates'!T$5*'Device Energy Use'!$E6+'Energy Usage'!T19*'Retail Rates'!T$6*(1-'Device Energy Use'!$E6)))/1000000</f>
        <v>1.7915640861034519</v>
      </c>
      <c r="U41" s="123">
        <f>(('Energy Usage'!U19*'Retail Rates'!U$5*'Device Energy Use'!$E6+'Energy Usage'!U19*'Retail Rates'!U$6*(1-'Device Energy Use'!$E6)))/1000000</f>
        <v>2.2362629101467677</v>
      </c>
      <c r="V41" s="123">
        <f>(('Energy Usage'!V19*'Retail Rates'!V$5*'Device Energy Use'!$E6+'Energy Usage'!V19*'Retail Rates'!V$6*(1-'Device Energy Use'!$E6)))/1000000</f>
        <v>2.7445280273017172</v>
      </c>
      <c r="W41" s="123">
        <f>(('Energy Usage'!W19*'Retail Rates'!W$5*'Device Energy Use'!$E6+'Energy Usage'!W19*'Retail Rates'!W$6*(1-'Device Energy Use'!$E6)))/1000000</f>
        <v>3.3158590212788588</v>
      </c>
    </row>
    <row r="42" spans="1:23">
      <c r="A42" s="9" t="str">
        <f>'Energy Usage'!A29</f>
        <v>Gas Tank</v>
      </c>
      <c r="B42" s="123">
        <f>(('Energy Usage'!B20*'Retail Rates'!B$5*'Device Energy Use'!$E7+'Energy Usage'!B20*'Retail Rates'!B$6*(1-'Device Energy Use'!$E7)))/1000000</f>
        <v>0</v>
      </c>
      <c r="C42" s="123">
        <f>(('Energy Usage'!C20*'Retail Rates'!C$5*'Device Energy Use'!$E7+'Energy Usage'!C20*'Retail Rates'!C$6*(1-'Device Energy Use'!$E7)))/1000000</f>
        <v>1.0843688380675733</v>
      </c>
      <c r="D42" s="123">
        <f>(('Energy Usage'!D20*'Retail Rates'!D$5*'Device Energy Use'!$E7+'Energy Usage'!D20*'Retail Rates'!D$6*(1-'Device Energy Use'!$E7)))/1000000</f>
        <v>2.1227107011581432</v>
      </c>
      <c r="E42" s="123">
        <f>(('Energy Usage'!E20*'Retail Rates'!E$5*'Device Energy Use'!$E7+'Energy Usage'!E20*'Retail Rates'!E$6*(1-'Device Energy Use'!$E7)))/1000000</f>
        <v>3.1176657551562492</v>
      </c>
      <c r="F42" s="123">
        <f>(('Energy Usage'!F20*'Retail Rates'!F$5*'Device Energy Use'!$E7+'Energy Usage'!F20*'Retail Rates'!F$6*(1-'Device Energy Use'!$E7)))/1000000</f>
        <v>4.071586221195032</v>
      </c>
      <c r="G42" s="123">
        <f>(('Energy Usage'!G20*'Retail Rates'!G$5*'Device Energy Use'!$E7+'Energy Usage'!G20*'Retail Rates'!G$6*(1-'Device Energy Use'!$E7)))/1000000</f>
        <v>4.9864907152396025</v>
      </c>
      <c r="H42" s="123">
        <f>(('Energy Usage'!H20*'Retail Rates'!H$5*'Device Energy Use'!$E7+'Energy Usage'!H20*'Retail Rates'!H$6*(1-'Device Energy Use'!$E7)))/1000000</f>
        <v>5.8640075413417714</v>
      </c>
      <c r="I42" s="123">
        <f>(('Energy Usage'!I20*'Retail Rates'!I$5*'Device Energy Use'!$E7+'Energy Usage'!I20*'Retail Rates'!I$6*(1-'Device Energy Use'!$E7)))/1000000</f>
        <v>6.7053111140280039</v>
      </c>
      <c r="J42" s="123">
        <f>(('Energy Usage'!J20*'Retail Rates'!J$5*'Device Energy Use'!$E7+'Energy Usage'!J20*'Retail Rates'!J$6*(1-'Device Energy Use'!$E7)))/1000000</f>
        <v>7.5110587803512487</v>
      </c>
      <c r="K42" s="123">
        <f>(('Energy Usage'!K20*'Retail Rates'!K$5*'Device Energy Use'!$E7+'Energy Usage'!K20*'Retail Rates'!K$6*(1-'Device Energy Use'!$E7)))/1000000</f>
        <v>8.2813383875259827</v>
      </c>
      <c r="L42" s="123">
        <f>(('Energy Usage'!L20*'Retail Rates'!L$5*'Device Energy Use'!$E7+'Energy Usage'!L20*'Retail Rates'!L$6*(1-'Device Energy Use'!$E7)))/1000000</f>
        <v>9.0156392719836056</v>
      </c>
      <c r="M42" s="123">
        <f>(('Energy Usage'!M20*'Retail Rates'!M$5*'Device Energy Use'!$E7+'Energy Usage'!M20*'Retail Rates'!M$6*(1-'Device Energy Use'!$E7)))/1000000</f>
        <v>9.7128600077318517</v>
      </c>
      <c r="N42" s="123">
        <f>(('Energy Usage'!N20*'Retail Rates'!N$5*'Device Energy Use'!$E7+'Energy Usage'!N20*'Retail Rates'!N$6*(1-'Device Energy Use'!$E7)))/1000000</f>
        <v>10.371364322404611</v>
      </c>
      <c r="O42" s="123">
        <f>(('Energy Usage'!O20*'Retail Rates'!O$5*'Device Energy Use'!$E7+'Energy Usage'!O20*'Retail Rates'!O$6*(1-'Device Energy Use'!$E7)))/1000000</f>
        <v>10.98909149854873</v>
      </c>
      <c r="P42" s="123">
        <f>(('Energy Usage'!P20*'Retail Rates'!P$5*'Device Energy Use'!$E7+'Energy Usage'!P20*'Retail Rates'!P$6*(1-'Device Energy Use'!$E7)))/1000000</f>
        <v>11.563719542485257</v>
      </c>
      <c r="Q42" s="123">
        <f>(('Energy Usage'!Q20*'Retail Rates'!Q$5*'Device Energy Use'!$E7+'Energy Usage'!Q20*'Retail Rates'!Q$6*(1-'Device Energy Use'!$E7)))/1000000</f>
        <v>12.092869725784031</v>
      </c>
      <c r="R42" s="123">
        <f>(('Energy Usage'!R20*'Retail Rates'!R$5*'Device Energy Use'!$E7+'Energy Usage'!R20*'Retail Rates'!R$6*(1-'Device Energy Use'!$E7)))/1000000</f>
        <v>12.574332069784964</v>
      </c>
      <c r="S42" s="123">
        <f>(('Energy Usage'!S20*'Retail Rates'!S$5*'Device Energy Use'!$E7+'Energy Usage'!S20*'Retail Rates'!S$6*(1-'Device Energy Use'!$E7)))/1000000</f>
        <v>13.006285577678186</v>
      </c>
      <c r="T42" s="123">
        <f>(('Energy Usage'!T20*'Retail Rates'!T$5*'Device Energy Use'!$E7+'Energy Usage'!T20*'Retail Rates'!T$6*(1-'Device Energy Use'!$E7)))/1000000</f>
        <v>13.387486483517909</v>
      </c>
      <c r="U42" s="123">
        <f>(('Energy Usage'!U20*'Retail Rates'!U$5*'Device Energy Use'!$E7+'Energy Usage'!U20*'Retail Rates'!U$6*(1-'Device Energy Use'!$E7)))/1000000</f>
        <v>13.717402893472444</v>
      </c>
      <c r="V42" s="123">
        <f>(('Energy Usage'!V20*'Retail Rates'!V$5*'Device Energy Use'!$E7+'Energy Usage'!V20*'Retail Rates'!V$6*(1-'Device Energy Use'!$E7)))/1000000</f>
        <v>13.996283544483742</v>
      </c>
      <c r="W42" s="123">
        <f>(('Energy Usage'!W20*'Retail Rates'!W$5*'Device Energy Use'!$E7+'Energy Usage'!W20*'Retail Rates'!W$6*(1-'Device Energy Use'!$E7)))/1000000</f>
        <v>14.225159353272479</v>
      </c>
    </row>
    <row r="43" spans="1:23">
      <c r="A43" s="9" t="str">
        <f>'Energy Usage'!A30</f>
        <v>Instant Gas</v>
      </c>
      <c r="B43" s="123">
        <f>(('Energy Usage'!B21*'Retail Rates'!B$5*'Device Energy Use'!$E8+'Energy Usage'!B21*'Retail Rates'!B$6*(1-'Device Energy Use'!$E8)))/1000000</f>
        <v>0</v>
      </c>
      <c r="C43" s="123">
        <f>(('Energy Usage'!C21*'Retail Rates'!C$5*'Device Energy Use'!$E8+'Energy Usage'!C21*'Retail Rates'!C$6*(1-'Device Energy Use'!$E8)))/1000000</f>
        <v>1.159297550916721E-4</v>
      </c>
      <c r="D43" s="123">
        <f>(('Energy Usage'!D21*'Retail Rates'!D$5*'Device Energy Use'!$E8+'Energy Usage'!D21*'Retail Rates'!D$6*(1-'Device Energy Use'!$E8)))/1000000</f>
        <v>3.4564953789803553E-4</v>
      </c>
      <c r="E43" s="123">
        <f>(('Energy Usage'!E21*'Retail Rates'!E$5*'Device Energy Use'!$E8+'Energy Usage'!E21*'Retail Rates'!E$6*(1-'Device Energy Use'!$E8)))/1000000</f>
        <v>7.8402407368206829E-4</v>
      </c>
      <c r="F43" s="123">
        <f>(('Energy Usage'!F21*'Retail Rates'!F$5*'Device Energy Use'!$E8+'Energy Usage'!F21*'Retail Rates'!F$6*(1-'Device Energy Use'!$E8)))/1000000</f>
        <v>1.5865550728312611E-3</v>
      </c>
      <c r="G43" s="123">
        <f>(('Energy Usage'!G21*'Retail Rates'!G$5*'Device Energy Use'!$E8+'Energy Usage'!G21*'Retail Rates'!G$6*(1-'Device Energy Use'!$E8)))/1000000</f>
        <v>2.9961482353302914E-3</v>
      </c>
      <c r="H43" s="123">
        <f>(('Energy Usage'!H21*'Retail Rates'!H$5*'Device Energy Use'!$E8+'Energy Usage'!H21*'Retail Rates'!H$6*(1-'Device Energy Use'!$E8)))/1000000</f>
        <v>5.375293219862359E-3</v>
      </c>
      <c r="I43" s="123">
        <f>(('Energy Usage'!I21*'Retail Rates'!I$5*'Device Energy Use'!$E8+'Energy Usage'!I21*'Retail Rates'!I$6*(1-'Device Energy Use'!$E8)))/1000000</f>
        <v>9.2417936719626694E-3</v>
      </c>
      <c r="J43" s="123">
        <f>(('Energy Usage'!J21*'Retail Rates'!J$5*'Device Energy Use'!$E8+'Energy Usage'!J21*'Retail Rates'!J$6*(1-'Device Energy Use'!$E8)))/1000000</f>
        <v>1.5304669245699792E-2</v>
      </c>
      <c r="K43" s="123">
        <f>(('Energy Usage'!K21*'Retail Rates'!K$5*'Device Energy Use'!$E8+'Energy Usage'!K21*'Retail Rates'!K$6*(1-'Device Energy Use'!$E8)))/1000000</f>
        <v>2.4495307072666471E-2</v>
      </c>
      <c r="L43" s="123">
        <f>(('Energy Usage'!L21*'Retail Rates'!L$5*'Device Energy Use'!$E8+'Energy Usage'!L21*'Retail Rates'!L$6*(1-'Device Energy Use'!$E8)))/1000000</f>
        <v>3.7987712676903915E-2</v>
      </c>
      <c r="M43" s="123">
        <f>(('Energy Usage'!M21*'Retail Rates'!M$5*'Device Energy Use'!$E8+'Energy Usage'!M21*'Retail Rates'!M$6*(1-'Device Energy Use'!$E8)))/1000000</f>
        <v>5.7201251892755253E-2</v>
      </c>
      <c r="N43" s="123">
        <f>(('Energy Usage'!N21*'Retail Rates'!N$5*'Device Energy Use'!$E8+'Energy Usage'!N21*'Retail Rates'!N$6*(1-'Device Energy Use'!$E8)))/1000000</f>
        <v>8.3780053302047838E-2</v>
      </c>
      <c r="O43" s="123">
        <f>(('Energy Usage'!O21*'Retail Rates'!O$5*'Device Energy Use'!$E8+'Energy Usage'!O21*'Retail Rates'!O$6*(1-'Device Energy Use'!$E8)))/1000000</f>
        <v>0.11954556677909758</v>
      </c>
      <c r="P43" s="123">
        <f>(('Energy Usage'!P21*'Retail Rates'!P$5*'Device Energy Use'!$E8+'Energy Usage'!P21*'Retail Rates'!P$6*(1-'Device Energy Use'!$E8)))/1000000</f>
        <v>0.16642258839056989</v>
      </c>
      <c r="Q43" s="123">
        <f>(('Energy Usage'!Q21*'Retail Rates'!Q$5*'Device Energy Use'!$E8+'Energy Usage'!Q21*'Retail Rates'!Q$6*(1-'Device Energy Use'!$E8)))/1000000</f>
        <v>0.22634377566782549</v>
      </c>
      <c r="R43" s="123">
        <f>(('Energy Usage'!R21*'Retail Rates'!R$5*'Device Energy Use'!$E8+'Energy Usage'!R21*'Retail Rates'!R$6*(1-'Device Energy Use'!$E8)))/1000000</f>
        <v>0.3011422016728455</v>
      </c>
      <c r="S43" s="123">
        <f>(('Energy Usage'!S21*'Retail Rates'!S$5*'Device Energy Use'!$E8+'Energy Usage'!S21*'Retail Rates'!S$6*(1-'Device Energy Use'!$E8)))/1000000</f>
        <v>0.39244453977785188</v>
      </c>
      <c r="T43" s="123">
        <f>(('Energy Usage'!T21*'Retail Rates'!T$5*'Device Energy Use'!$E8+'Energy Usage'!T21*'Retail Rates'!T$6*(1-'Device Energy Use'!$E8)))/1000000</f>
        <v>0.50157802558422715</v>
      </c>
      <c r="U43" s="123">
        <f>(('Energy Usage'!U21*'Retail Rates'!U$5*'Device Energy Use'!$E8+'Energy Usage'!U21*'Retail Rates'!U$6*(1-'Device Energy Use'!$E8)))/1000000</f>
        <v>0.62950213139893629</v>
      </c>
      <c r="V43" s="123">
        <f>(('Energy Usage'!V21*'Retail Rates'!V$5*'Device Energy Use'!$E8+'Energy Usage'!V21*'Retail Rates'!V$6*(1-'Device Energy Use'!$E8)))/1000000</f>
        <v>0.77677152041287068</v>
      </c>
      <c r="W43" s="123">
        <f>(('Energy Usage'!W21*'Retail Rates'!W$5*'Device Energy Use'!$E8+'Energy Usage'!W21*'Retail Rates'!W$6*(1-'Device Energy Use'!$E8)))/1000000</f>
        <v>0.94353157047510039</v>
      </c>
    </row>
    <row r="44" spans="1:23">
      <c r="A44" s="9" t="str">
        <f>'Energy Usage'!A31</f>
        <v>Condensing Gas</v>
      </c>
      <c r="B44" s="123">
        <f>(('Energy Usage'!B22*'Retail Rates'!B$5*'Device Energy Use'!$E9+'Energy Usage'!B22*'Retail Rates'!B$6*(1-'Device Energy Use'!$E9)))/1000000</f>
        <v>0</v>
      </c>
      <c r="C44" s="123">
        <f>(('Energy Usage'!C22*'Retail Rates'!C$5*'Device Energy Use'!$E9+'Energy Usage'!C22*'Retail Rates'!C$6*(1-'Device Energy Use'!$E9)))/1000000</f>
        <v>3.1186797793074779E-4</v>
      </c>
      <c r="D44" s="123">
        <f>(('Energy Usage'!D22*'Retail Rates'!D$5*'Device Energy Use'!$E9+'Energy Usage'!D22*'Retail Rates'!D$6*(1-'Device Energy Use'!$E9)))/1000000</f>
        <v>9.2838377022497437E-4</v>
      </c>
      <c r="E44" s="123">
        <f>(('Energy Usage'!E22*'Retail Rates'!E$5*'Device Energy Use'!$E9+'Energy Usage'!E22*'Retail Rates'!E$6*(1-'Device Energy Use'!$E9)))/1000000</f>
        <v>2.1020730656489423E-3</v>
      </c>
      <c r="F44" s="123">
        <f>(('Energy Usage'!F22*'Retail Rates'!F$5*'Device Energy Use'!$E9+'Energy Usage'!F22*'Retail Rates'!F$6*(1-'Device Energy Use'!$E9)))/1000000</f>
        <v>4.2455996653454247E-3</v>
      </c>
      <c r="G44" s="123">
        <f>(('Energy Usage'!G22*'Retail Rates'!G$5*'Device Energy Use'!$E9+'Energy Usage'!G22*'Retail Rates'!G$6*(1-'Device Energy Use'!$E9)))/1000000</f>
        <v>8.0015232007650018E-3</v>
      </c>
      <c r="H44" s="123">
        <f>(('Energy Usage'!H22*'Retail Rates'!H$5*'Device Energy Use'!$E9+'Energy Usage'!H22*'Retail Rates'!H$6*(1-'Device Energy Use'!$E9)))/1000000</f>
        <v>1.43255678917289E-2</v>
      </c>
      <c r="I44" s="123">
        <f>(('Energy Usage'!I22*'Retail Rates'!I$5*'Device Energy Use'!$E9+'Energy Usage'!I22*'Retail Rates'!I$6*(1-'Device Energy Use'!$E9)))/1000000</f>
        <v>2.457823826103582E-2</v>
      </c>
      <c r="J44" s="123">
        <f>(('Energy Usage'!J22*'Retail Rates'!J$5*'Device Energy Use'!$E9+'Energy Usage'!J22*'Retail Rates'!J$6*(1-'Device Energy Use'!$E9)))/1000000</f>
        <v>4.0615688016384273E-2</v>
      </c>
      <c r="K44" s="123">
        <f>(('Energy Usage'!K22*'Retail Rates'!K$5*'Device Energy Use'!$E9+'Energy Usage'!K22*'Retail Rates'!K$6*(1-'Device Energy Use'!$E9)))/1000000</f>
        <v>6.4866820510648446E-2</v>
      </c>
      <c r="L44" s="123">
        <f>(('Energy Usage'!L22*'Retail Rates'!L$5*'Device Energy Use'!$E9+'Energy Usage'!L22*'Retail Rates'!L$6*(1-'Device Energy Use'!$E9)))/1000000</f>
        <v>0.10038058855885938</v>
      </c>
      <c r="M44" s="123">
        <f>(('Energy Usage'!M22*'Retail Rates'!M$5*'Device Energy Use'!$E9+'Energy Usage'!M22*'Retail Rates'!M$6*(1-'Device Energy Use'!$E9)))/1000000</f>
        <v>0.15082653842120108</v>
      </c>
      <c r="N44" s="123">
        <f>(('Energy Usage'!N22*'Retail Rates'!N$5*'Device Energy Use'!$E9+'Energy Usage'!N22*'Retail Rates'!N$6*(1-'Device Energy Use'!$E9)))/1000000</f>
        <v>0.22043398875011527</v>
      </c>
      <c r="O44" s="123">
        <f>(('Energy Usage'!O22*'Retail Rates'!O$5*'Device Energy Use'!$E9+'Energy Usage'!O22*'Retail Rates'!O$6*(1-'Device Energy Use'!$E9)))/1000000</f>
        <v>0.31386159343997927</v>
      </c>
      <c r="P44" s="123">
        <f>(('Energy Usage'!P22*'Retail Rates'!P$5*'Device Energy Use'!$E9+'Energy Usage'!P22*'Retail Rates'!P$6*(1-'Device Energy Use'!$E9)))/1000000</f>
        <v>0.43599916108599379</v>
      </c>
      <c r="Q44" s="123">
        <f>(('Energy Usage'!Q22*'Retail Rates'!Q$5*'Device Energy Use'!$E9+'Energy Usage'!Q22*'Retail Rates'!Q$6*(1-'Device Energy Use'!$E9)))/1000000</f>
        <v>0.59171587022931604</v>
      </c>
      <c r="R44" s="123">
        <f>(('Energy Usage'!R22*'Retail Rates'!R$5*'Device Energy Use'!$E9+'Energy Usage'!R22*'Retail Rates'!R$6*(1-'Device Energy Use'!$E9)))/1000000</f>
        <v>0.78558054779909425</v>
      </c>
      <c r="S44" s="123">
        <f>(('Energy Usage'!S22*'Retail Rates'!S$5*'Device Energy Use'!$E9+'Energy Usage'!S22*'Retail Rates'!S$6*(1-'Device Energy Use'!$E9)))/1000000</f>
        <v>1.0215871318581429</v>
      </c>
      <c r="T44" s="123">
        <f>(('Energy Usage'!T22*'Retail Rates'!T$5*'Device Energy Use'!$E9+'Energy Usage'!T22*'Retail Rates'!T$6*(1-'Device Energy Use'!$E9)))/1000000</f>
        <v>1.3029192993611094</v>
      </c>
      <c r="U44" s="123">
        <f>(('Energy Usage'!U22*'Retail Rates'!U$5*'Device Energy Use'!$E9+'Energy Usage'!U22*'Retail Rates'!U$6*(1-'Device Energy Use'!$E9)))/1000000</f>
        <v>1.6317819375382359</v>
      </c>
      <c r="V44" s="123">
        <f>(('Energy Usage'!V22*'Retail Rates'!V$5*'Device Energy Use'!$E9+'Energy Usage'!V22*'Retail Rates'!V$6*(1-'Device Energy Use'!$E9)))/1000000</f>
        <v>2.0093153998711863</v>
      </c>
      <c r="W44" s="123">
        <f>(('Energy Usage'!W22*'Retail Rates'!W$5*'Device Energy Use'!$E9+'Energy Usage'!W22*'Retail Rates'!W$6*(1-'Device Energy Use'!$E9)))/1000000</f>
        <v>2.4355946433789781</v>
      </c>
    </row>
    <row r="47" spans="1:23">
      <c r="A47" s="12" t="s">
        <v>120</v>
      </c>
    </row>
    <row r="48" spans="1:23">
      <c r="A48" s="14" t="str">
        <f t="shared" ref="A48:W48" si="11">A57</f>
        <v>Water Heat Ending</v>
      </c>
      <c r="B48" s="9">
        <f t="shared" si="11"/>
        <v>2014</v>
      </c>
      <c r="C48" s="9">
        <f t="shared" si="11"/>
        <v>2015</v>
      </c>
      <c r="D48" s="9">
        <f t="shared" si="11"/>
        <v>2016</v>
      </c>
      <c r="E48" s="9">
        <f t="shared" si="11"/>
        <v>2017</v>
      </c>
      <c r="F48" s="9">
        <f t="shared" si="11"/>
        <v>2018</v>
      </c>
      <c r="G48" s="9">
        <f t="shared" si="11"/>
        <v>2019</v>
      </c>
      <c r="H48" s="9">
        <f t="shared" si="11"/>
        <v>2020</v>
      </c>
      <c r="I48" s="9">
        <f t="shared" si="11"/>
        <v>2021</v>
      </c>
      <c r="J48" s="9">
        <f t="shared" si="11"/>
        <v>2022</v>
      </c>
      <c r="K48" s="9">
        <f t="shared" si="11"/>
        <v>2023</v>
      </c>
      <c r="L48" s="9">
        <f t="shared" si="11"/>
        <v>2024</v>
      </c>
      <c r="M48" s="9">
        <f t="shared" si="11"/>
        <v>2025</v>
      </c>
      <c r="N48" s="9">
        <f t="shared" si="11"/>
        <v>2026</v>
      </c>
      <c r="O48" s="9">
        <f t="shared" si="11"/>
        <v>2027</v>
      </c>
      <c r="P48" s="9">
        <f t="shared" si="11"/>
        <v>2028</v>
      </c>
      <c r="Q48" s="9">
        <f t="shared" si="11"/>
        <v>2029</v>
      </c>
      <c r="R48" s="9">
        <f t="shared" si="11"/>
        <v>2030</v>
      </c>
      <c r="S48" s="9">
        <f t="shared" si="11"/>
        <v>2031</v>
      </c>
      <c r="T48" s="9">
        <f t="shared" si="11"/>
        <v>2032</v>
      </c>
      <c r="U48" s="9">
        <f t="shared" si="11"/>
        <v>2033</v>
      </c>
      <c r="V48" s="9">
        <f t="shared" si="11"/>
        <v>2034</v>
      </c>
      <c r="W48" s="9">
        <f t="shared" si="11"/>
        <v>2035</v>
      </c>
    </row>
    <row r="49" spans="1:23" ht="16.5" thickBot="1">
      <c r="A49" s="48" t="str">
        <f t="shared" ref="A49:A54" si="12">A58</f>
        <v>Total</v>
      </c>
      <c r="B49" s="129">
        <f t="shared" ref="B49:W49" si="13">SUM(B50:B54)</f>
        <v>123.82520148735159</v>
      </c>
      <c r="C49" s="129">
        <f t="shared" si="13"/>
        <v>145.95380396520554</v>
      </c>
      <c r="D49" s="129">
        <f t="shared" si="13"/>
        <v>145.34333529251731</v>
      </c>
      <c r="E49" s="129">
        <f t="shared" si="13"/>
        <v>144.87151566997977</v>
      </c>
      <c r="F49" s="129">
        <f t="shared" si="13"/>
        <v>144.53129516964003</v>
      </c>
      <c r="G49" s="129">
        <f t="shared" si="13"/>
        <v>144.31607677711685</v>
      </c>
      <c r="H49" s="129">
        <f t="shared" si="13"/>
        <v>144.21968932836214</v>
      </c>
      <c r="I49" s="129">
        <f t="shared" si="13"/>
        <v>144.23636207110121</v>
      </c>
      <c r="J49" s="129">
        <f t="shared" si="13"/>
        <v>144.36070075494419</v>
      </c>
      <c r="K49" s="129">
        <f t="shared" si="13"/>
        <v>144.58766515976203</v>
      </c>
      <c r="L49" s="129">
        <f t="shared" si="13"/>
        <v>144.91254797719711</v>
      </c>
      <c r="M49" s="129">
        <f t="shared" si="13"/>
        <v>145.33095496515466</v>
      </c>
      <c r="N49" s="129">
        <f t="shared" si="13"/>
        <v>145.83878629981032</v>
      </c>
      <c r="O49" s="129">
        <f t="shared" si="13"/>
        <v>169.85954440176289</v>
      </c>
      <c r="P49" s="129">
        <f t="shared" si="13"/>
        <v>167.9913449014214</v>
      </c>
      <c r="Q49" s="129">
        <f t="shared" si="13"/>
        <v>166.29244068551787</v>
      </c>
      <c r="R49" s="129">
        <f t="shared" si="13"/>
        <v>164.7539685505019</v>
      </c>
      <c r="S49" s="129">
        <f t="shared" si="13"/>
        <v>163.36758230008388</v>
      </c>
      <c r="T49" s="129">
        <f t="shared" si="13"/>
        <v>162.12542334652215</v>
      </c>
      <c r="U49" s="129">
        <f t="shared" si="13"/>
        <v>161.02009299285893</v>
      </c>
      <c r="V49" s="129">
        <f t="shared" si="13"/>
        <v>160.04462630013629</v>
      </c>
      <c r="W49" s="129">
        <f t="shared" si="13"/>
        <v>159.19246744910419</v>
      </c>
    </row>
    <row r="50" spans="1:23" ht="16.5" thickTop="1">
      <c r="A50" s="9" t="str">
        <f t="shared" si="12"/>
        <v>Electric Resistance</v>
      </c>
      <c r="B50" s="123">
        <f t="shared" ref="B50:W50" si="14">B59+B68+B77</f>
        <v>123.82520148735159</v>
      </c>
      <c r="C50" s="123">
        <f t="shared" si="14"/>
        <v>116.45279122035119</v>
      </c>
      <c r="D50" s="123">
        <f t="shared" si="14"/>
        <v>109.51959331227067</v>
      </c>
      <c r="E50" s="123">
        <f t="shared" si="14"/>
        <v>102.99942257598417</v>
      </c>
      <c r="F50" s="123">
        <f t="shared" si="14"/>
        <v>96.86765630200108</v>
      </c>
      <c r="G50" s="123">
        <f t="shared" si="14"/>
        <v>91.101140928562074</v>
      </c>
      <c r="H50" s="123">
        <f t="shared" si="14"/>
        <v>85.6781042933668</v>
      </c>
      <c r="I50" s="123">
        <f t="shared" si="14"/>
        <v>80.578073132635623</v>
      </c>
      <c r="J50" s="123">
        <f t="shared" si="14"/>
        <v>75.781795513263603</v>
      </c>
      <c r="K50" s="123">
        <f t="shared" si="14"/>
        <v>71.271167902676069</v>
      </c>
      <c r="L50" s="123">
        <f t="shared" si="14"/>
        <v>67.029166598712436</v>
      </c>
      <c r="M50" s="123">
        <f t="shared" si="14"/>
        <v>63.039783258517545</v>
      </c>
      <c r="N50" s="123">
        <f t="shared" si="14"/>
        <v>59.287964281072796</v>
      </c>
      <c r="O50" s="123">
        <f t="shared" si="14"/>
        <v>55.75955381270964</v>
      </c>
      <c r="P50" s="123">
        <f t="shared" si="14"/>
        <v>52.44124015877734</v>
      </c>
      <c r="Q50" s="123">
        <f t="shared" si="14"/>
        <v>49.320505397633511</v>
      </c>
      <c r="R50" s="123">
        <f t="shared" si="14"/>
        <v>46.385578005342822</v>
      </c>
      <c r="S50" s="123">
        <f t="shared" si="14"/>
        <v>43.625388310952886</v>
      </c>
      <c r="T50" s="123">
        <f t="shared" si="14"/>
        <v>41.029526613009637</v>
      </c>
      <c r="U50" s="123">
        <f t="shared" si="14"/>
        <v>38.588203798120858</v>
      </c>
      <c r="V50" s="123">
        <f t="shared" si="14"/>
        <v>36.292214311912929</v>
      </c>
      <c r="W50" s="123">
        <f t="shared" si="14"/>
        <v>34.132901341690804</v>
      </c>
    </row>
    <row r="51" spans="1:23">
      <c r="A51" s="9" t="str">
        <f t="shared" si="12"/>
        <v>HPWH</v>
      </c>
      <c r="B51" s="123">
        <f t="shared" ref="B51:W51" si="15">B60+B69+B78</f>
        <v>0</v>
      </c>
      <c r="C51" s="123">
        <f t="shared" si="15"/>
        <v>0</v>
      </c>
      <c r="D51" s="123">
        <f t="shared" si="15"/>
        <v>0</v>
      </c>
      <c r="E51" s="123">
        <f t="shared" si="15"/>
        <v>0</v>
      </c>
      <c r="F51" s="123">
        <f t="shared" si="15"/>
        <v>0</v>
      </c>
      <c r="G51" s="123">
        <f t="shared" si="15"/>
        <v>0</v>
      </c>
      <c r="H51" s="123">
        <f t="shared" si="15"/>
        <v>0</v>
      </c>
      <c r="I51" s="123">
        <f t="shared" si="15"/>
        <v>0</v>
      </c>
      <c r="J51" s="123">
        <f t="shared" si="15"/>
        <v>0</v>
      </c>
      <c r="K51" s="123">
        <f t="shared" si="15"/>
        <v>0</v>
      </c>
      <c r="L51" s="123">
        <f t="shared" si="15"/>
        <v>0</v>
      </c>
      <c r="M51" s="123">
        <f t="shared" si="15"/>
        <v>0</v>
      </c>
      <c r="N51" s="123">
        <f t="shared" si="15"/>
        <v>0</v>
      </c>
      <c r="O51" s="123">
        <f t="shared" si="15"/>
        <v>54.142290092140442</v>
      </c>
      <c r="P51" s="123">
        <f t="shared" si="15"/>
        <v>59.083707185173196</v>
      </c>
      <c r="Q51" s="123">
        <f t="shared" si="15"/>
        <v>63.792966810775397</v>
      </c>
      <c r="R51" s="123">
        <f t="shared" si="15"/>
        <v>68.284923174804987</v>
      </c>
      <c r="S51" s="123">
        <f t="shared" si="15"/>
        <v>72.573542810513274</v>
      </c>
      <c r="T51" s="123">
        <f t="shared" si="15"/>
        <v>76.671958614324836</v>
      </c>
      <c r="U51" s="123">
        <f t="shared" si="15"/>
        <v>80.592520590016093</v>
      </c>
      <c r="V51" s="123">
        <f t="shared" si="15"/>
        <v>84.346843502841551</v>
      </c>
      <c r="W51" s="123">
        <f t="shared" si="15"/>
        <v>87.945851632754824</v>
      </c>
    </row>
    <row r="52" spans="1:23">
      <c r="A52" s="9" t="str">
        <f t="shared" si="12"/>
        <v>Gas Tank</v>
      </c>
      <c r="B52" s="123">
        <f t="shared" ref="B52:W52" si="16">B61+B70+B79</f>
        <v>0</v>
      </c>
      <c r="C52" s="123">
        <f t="shared" si="16"/>
        <v>29.501012744854361</v>
      </c>
      <c r="D52" s="123">
        <f t="shared" si="16"/>
        <v>35.823741980246638</v>
      </c>
      <c r="E52" s="123">
        <f t="shared" si="16"/>
        <v>41.872093093995588</v>
      </c>
      <c r="F52" s="123">
        <f t="shared" si="16"/>
        <v>47.663638867638966</v>
      </c>
      <c r="G52" s="123">
        <f t="shared" si="16"/>
        <v>53.214935848554767</v>
      </c>
      <c r="H52" s="123">
        <f t="shared" si="16"/>
        <v>58.541585034995336</v>
      </c>
      <c r="I52" s="123">
        <f t="shared" si="16"/>
        <v>63.658288938465581</v>
      </c>
      <c r="J52" s="123">
        <f t="shared" si="16"/>
        <v>68.578905241680587</v>
      </c>
      <c r="K52" s="123">
        <f t="shared" si="16"/>
        <v>73.316497257085956</v>
      </c>
      <c r="L52" s="123">
        <f t="shared" si="16"/>
        <v>77.883381378484671</v>
      </c>
      <c r="M52" s="123">
        <f t="shared" si="16"/>
        <v>82.291171706637115</v>
      </c>
      <c r="N52" s="123">
        <f t="shared" si="16"/>
        <v>86.550822018737534</v>
      </c>
      <c r="O52" s="123">
        <f t="shared" si="16"/>
        <v>59.957700496912793</v>
      </c>
      <c r="P52" s="123">
        <f t="shared" si="16"/>
        <v>56.466397557470863</v>
      </c>
      <c r="Q52" s="123">
        <f t="shared" si="16"/>
        <v>53.178968477108953</v>
      </c>
      <c r="R52" s="123">
        <f t="shared" si="16"/>
        <v>50.0834673703541</v>
      </c>
      <c r="S52" s="123">
        <f t="shared" si="16"/>
        <v>47.168651178617708</v>
      </c>
      <c r="T52" s="123">
        <f t="shared" si="16"/>
        <v>44.423938119187675</v>
      </c>
      <c r="U52" s="123">
        <f t="shared" si="16"/>
        <v>41.839368604721976</v>
      </c>
      <c r="V52" s="123">
        <f t="shared" si="16"/>
        <v>39.405568485381799</v>
      </c>
      <c r="W52" s="123">
        <f t="shared" si="16"/>
        <v>37.113714474658579</v>
      </c>
    </row>
    <row r="53" spans="1:23">
      <c r="A53" s="9" t="str">
        <f t="shared" si="12"/>
        <v>Instant Gas</v>
      </c>
      <c r="B53" s="123">
        <f t="shared" ref="B53:W53" si="17">B62+B71+B80</f>
        <v>0</v>
      </c>
      <c r="C53" s="123">
        <f t="shared" si="17"/>
        <v>0</v>
      </c>
      <c r="D53" s="123">
        <f t="shared" si="17"/>
        <v>0</v>
      </c>
      <c r="E53" s="123">
        <f t="shared" si="17"/>
        <v>0</v>
      </c>
      <c r="F53" s="123">
        <f t="shared" si="17"/>
        <v>0</v>
      </c>
      <c r="G53" s="123">
        <f t="shared" si="17"/>
        <v>0</v>
      </c>
      <c r="H53" s="123">
        <f t="shared" si="17"/>
        <v>0</v>
      </c>
      <c r="I53" s="123">
        <f t="shared" si="17"/>
        <v>0</v>
      </c>
      <c r="J53" s="123">
        <f t="shared" si="17"/>
        <v>0</v>
      </c>
      <c r="K53" s="123">
        <f t="shared" si="17"/>
        <v>0</v>
      </c>
      <c r="L53" s="123">
        <f t="shared" si="17"/>
        <v>0</v>
      </c>
      <c r="M53" s="123">
        <f t="shared" si="17"/>
        <v>0</v>
      </c>
      <c r="N53" s="123">
        <f t="shared" si="17"/>
        <v>0</v>
      </c>
      <c r="O53" s="123">
        <f t="shared" si="17"/>
        <v>0</v>
      </c>
      <c r="P53" s="123">
        <f t="shared" si="17"/>
        <v>0</v>
      </c>
      <c r="Q53" s="123">
        <f t="shared" si="17"/>
        <v>0</v>
      </c>
      <c r="R53" s="123">
        <f t="shared" si="17"/>
        <v>0</v>
      </c>
      <c r="S53" s="123">
        <f t="shared" si="17"/>
        <v>0</v>
      </c>
      <c r="T53" s="123">
        <f t="shared" si="17"/>
        <v>0</v>
      </c>
      <c r="U53" s="123">
        <f t="shared" si="17"/>
        <v>0</v>
      </c>
      <c r="V53" s="123">
        <f t="shared" si="17"/>
        <v>0</v>
      </c>
      <c r="W53" s="123">
        <f t="shared" si="17"/>
        <v>0</v>
      </c>
    </row>
    <row r="54" spans="1:23">
      <c r="A54" s="9" t="str">
        <f t="shared" si="12"/>
        <v>Condensing Gas</v>
      </c>
      <c r="B54" s="123">
        <f t="shared" ref="B54:W54" si="18">B63+B72+B81</f>
        <v>0</v>
      </c>
      <c r="C54" s="123">
        <f t="shared" si="18"/>
        <v>0</v>
      </c>
      <c r="D54" s="123">
        <f t="shared" si="18"/>
        <v>0</v>
      </c>
      <c r="E54" s="123">
        <f t="shared" si="18"/>
        <v>0</v>
      </c>
      <c r="F54" s="123">
        <f t="shared" si="18"/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  <c r="T54" s="123">
        <f t="shared" si="18"/>
        <v>0</v>
      </c>
      <c r="U54" s="123">
        <f t="shared" si="18"/>
        <v>0</v>
      </c>
      <c r="V54" s="123">
        <f t="shared" si="18"/>
        <v>0</v>
      </c>
      <c r="W54" s="123">
        <f t="shared" si="18"/>
        <v>0</v>
      </c>
    </row>
    <row r="55" spans="1:23">
      <c r="A55" s="12"/>
    </row>
    <row r="56" spans="1:23">
      <c r="A56" s="12" t="s">
        <v>121</v>
      </c>
    </row>
    <row r="57" spans="1:23">
      <c r="A57" s="14" t="str">
        <f>'Water Heaters Purchased'!A13</f>
        <v>Water Heat Ending</v>
      </c>
      <c r="B57" s="9">
        <f>'Water Heaters Purchased'!B13</f>
        <v>2014</v>
      </c>
      <c r="C57" s="9">
        <f>'Water Heaters Purchased'!C13</f>
        <v>2015</v>
      </c>
      <c r="D57" s="9">
        <f>'Water Heaters Purchased'!D13</f>
        <v>2016</v>
      </c>
      <c r="E57" s="9">
        <f>'Water Heaters Purchased'!E13</f>
        <v>2017</v>
      </c>
      <c r="F57" s="9">
        <f>'Water Heaters Purchased'!F13</f>
        <v>2018</v>
      </c>
      <c r="G57" s="9">
        <f>'Water Heaters Purchased'!G13</f>
        <v>2019</v>
      </c>
      <c r="H57" s="9">
        <f>'Water Heaters Purchased'!H13</f>
        <v>2020</v>
      </c>
      <c r="I57" s="9">
        <f>'Water Heaters Purchased'!I13</f>
        <v>2021</v>
      </c>
      <c r="J57" s="9">
        <f>'Water Heaters Purchased'!J13</f>
        <v>2022</v>
      </c>
      <c r="K57" s="9">
        <f>'Water Heaters Purchased'!K13</f>
        <v>2023</v>
      </c>
      <c r="L57" s="9">
        <f>'Water Heaters Purchased'!L13</f>
        <v>2024</v>
      </c>
      <c r="M57" s="9">
        <f>'Water Heaters Purchased'!M13</f>
        <v>2025</v>
      </c>
      <c r="N57" s="9">
        <f>'Water Heaters Purchased'!N13</f>
        <v>2026</v>
      </c>
      <c r="O57" s="9">
        <f>'Water Heaters Purchased'!O13</f>
        <v>2027</v>
      </c>
      <c r="P57" s="9">
        <f>'Water Heaters Purchased'!P13</f>
        <v>2028</v>
      </c>
      <c r="Q57" s="9">
        <f>'Water Heaters Purchased'!Q13</f>
        <v>2029</v>
      </c>
      <c r="R57" s="9">
        <f>'Water Heaters Purchased'!R13</f>
        <v>2030</v>
      </c>
      <c r="S57" s="9">
        <f>'Water Heaters Purchased'!S13</f>
        <v>2031</v>
      </c>
      <c r="T57" s="9">
        <f>'Water Heaters Purchased'!T13</f>
        <v>2032</v>
      </c>
      <c r="U57" s="9">
        <f>'Water Heaters Purchased'!U13</f>
        <v>2033</v>
      </c>
      <c r="V57" s="9">
        <f>'Water Heaters Purchased'!V13</f>
        <v>2034</v>
      </c>
      <c r="W57" s="9">
        <f>'Water Heaters Purchased'!W13</f>
        <v>2035</v>
      </c>
    </row>
    <row r="58" spans="1:23" ht="16.5" thickBot="1">
      <c r="A58" s="48" t="s">
        <v>48</v>
      </c>
      <c r="B58" s="129">
        <f t="shared" ref="B58" si="19">SUM(B59:B63)</f>
        <v>0</v>
      </c>
      <c r="C58" s="129">
        <f t="shared" ref="C58:D58" si="20">SUM(C59:C63)</f>
        <v>22.885251832078598</v>
      </c>
      <c r="D58" s="129">
        <f t="shared" si="20"/>
        <v>22.885251832078598</v>
      </c>
      <c r="E58" s="129">
        <f t="shared" ref="E58:W58" si="21">SUM(E59:E63)</f>
        <v>22.885251832078602</v>
      </c>
      <c r="F58" s="129">
        <f t="shared" si="21"/>
        <v>22.885251832078602</v>
      </c>
      <c r="G58" s="129">
        <f t="shared" si="21"/>
        <v>22.885251832078602</v>
      </c>
      <c r="H58" s="129">
        <f t="shared" si="21"/>
        <v>22.885251832078602</v>
      </c>
      <c r="I58" s="129">
        <f t="shared" si="21"/>
        <v>22.885251832078602</v>
      </c>
      <c r="J58" s="129">
        <f t="shared" si="21"/>
        <v>22.885251832078602</v>
      </c>
      <c r="K58" s="129">
        <f t="shared" si="21"/>
        <v>22.885251832078602</v>
      </c>
      <c r="L58" s="129">
        <f t="shared" si="21"/>
        <v>22.885251832078602</v>
      </c>
      <c r="M58" s="129">
        <f t="shared" si="21"/>
        <v>22.885251832078602</v>
      </c>
      <c r="N58" s="129">
        <f t="shared" si="21"/>
        <v>22.885251832078602</v>
      </c>
      <c r="O58" s="129">
        <f t="shared" si="21"/>
        <v>48.952916111061342</v>
      </c>
      <c r="P58" s="129">
        <f t="shared" si="21"/>
        <v>48.952916111061342</v>
      </c>
      <c r="Q58" s="129">
        <f t="shared" si="21"/>
        <v>48.952916111061342</v>
      </c>
      <c r="R58" s="129">
        <f t="shared" si="21"/>
        <v>48.952916111061342</v>
      </c>
      <c r="S58" s="129">
        <f t="shared" si="21"/>
        <v>48.952916111061342</v>
      </c>
      <c r="T58" s="129">
        <f t="shared" si="21"/>
        <v>48.952916111061342</v>
      </c>
      <c r="U58" s="129">
        <f t="shared" si="21"/>
        <v>48.952916111061342</v>
      </c>
      <c r="V58" s="129">
        <f t="shared" si="21"/>
        <v>48.952916111061342</v>
      </c>
      <c r="W58" s="129">
        <f t="shared" si="21"/>
        <v>48.952916111061342</v>
      </c>
    </row>
    <row r="59" spans="1:23" ht="16.5" thickTop="1">
      <c r="A59" s="38" t="str">
        <f>'Water Heaters Purchased'!A15</f>
        <v>Electric Resistance</v>
      </c>
      <c r="B59" s="123">
        <f>'Water Heaters Purchased'!B15*'Capital Cost'!$E5/1000000</f>
        <v>0</v>
      </c>
      <c r="C59" s="123">
        <f>'Water Heaters Purchased'!C15*'Capital Cost'!$E5/1000000</f>
        <v>0</v>
      </c>
      <c r="D59" s="123">
        <f>'Water Heaters Purchased'!D15*'Capital Cost'!$E5/1000000</f>
        <v>0</v>
      </c>
      <c r="E59" s="123">
        <f>'Water Heaters Purchased'!E15*'Capital Cost'!$E5/1000000</f>
        <v>0</v>
      </c>
      <c r="F59" s="123">
        <f>'Water Heaters Purchased'!F15*'Capital Cost'!$E5/1000000</f>
        <v>0</v>
      </c>
      <c r="G59" s="123">
        <f>'Water Heaters Purchased'!G15*'Capital Cost'!$E5/1000000</f>
        <v>0</v>
      </c>
      <c r="H59" s="123">
        <f>'Water Heaters Purchased'!H15*'Capital Cost'!$E5/1000000</f>
        <v>0</v>
      </c>
      <c r="I59" s="123">
        <f>'Water Heaters Purchased'!I15*'Capital Cost'!$E5/1000000</f>
        <v>0</v>
      </c>
      <c r="J59" s="123">
        <f>'Water Heaters Purchased'!J15*'Capital Cost'!$E5/1000000</f>
        <v>0</v>
      </c>
      <c r="K59" s="123">
        <f>'Water Heaters Purchased'!K15*'Capital Cost'!$E5/1000000</f>
        <v>0</v>
      </c>
      <c r="L59" s="123">
        <f>'Water Heaters Purchased'!L15*'Capital Cost'!$E5/1000000</f>
        <v>0</v>
      </c>
      <c r="M59" s="123">
        <f>'Water Heaters Purchased'!M15*'Capital Cost'!$E5/1000000</f>
        <v>0</v>
      </c>
      <c r="N59" s="123">
        <f>'Water Heaters Purchased'!N15*'Capital Cost'!$E5/1000000</f>
        <v>0</v>
      </c>
      <c r="O59" s="123">
        <f>'Water Heaters Purchased'!O15*'Capital Cost'!$E5/1000000</f>
        <v>0</v>
      </c>
      <c r="P59" s="123">
        <f>'Water Heaters Purchased'!P15*'Capital Cost'!$E5/1000000</f>
        <v>0</v>
      </c>
      <c r="Q59" s="123">
        <f>'Water Heaters Purchased'!Q15*'Capital Cost'!$E5/1000000</f>
        <v>0</v>
      </c>
      <c r="R59" s="123">
        <f>'Water Heaters Purchased'!R15*'Capital Cost'!$E5/1000000</f>
        <v>0</v>
      </c>
      <c r="S59" s="123">
        <f>'Water Heaters Purchased'!S15*'Capital Cost'!$E5/1000000</f>
        <v>0</v>
      </c>
      <c r="T59" s="123">
        <f>'Water Heaters Purchased'!T15*'Capital Cost'!$E5/1000000</f>
        <v>0</v>
      </c>
      <c r="U59" s="123">
        <f>'Water Heaters Purchased'!U15*'Capital Cost'!$E5/1000000</f>
        <v>0</v>
      </c>
      <c r="V59" s="123">
        <f>'Water Heaters Purchased'!V15*'Capital Cost'!$E5/1000000</f>
        <v>0</v>
      </c>
      <c r="W59" s="123">
        <f>'Water Heaters Purchased'!W15*'Capital Cost'!$E5/1000000</f>
        <v>0</v>
      </c>
    </row>
    <row r="60" spans="1:23">
      <c r="A60" s="38" t="str">
        <f>'Water Heaters Purchased'!A16</f>
        <v>HPWH</v>
      </c>
      <c r="B60" s="123">
        <f>'Water Heaters Purchased'!B16*'Capital Cost'!$E6/1000000</f>
        <v>0</v>
      </c>
      <c r="C60" s="123">
        <f>'Water Heaters Purchased'!C16*'Capital Cost'!$E6/1000000</f>
        <v>0</v>
      </c>
      <c r="D60" s="123">
        <f>'Water Heaters Purchased'!D16*'Capital Cost'!$E6/1000000</f>
        <v>0</v>
      </c>
      <c r="E60" s="123">
        <f>'Water Heaters Purchased'!E16*'Capital Cost'!$E6/1000000</f>
        <v>0</v>
      </c>
      <c r="F60" s="123">
        <f>'Water Heaters Purchased'!F16*'Capital Cost'!$E6/1000000</f>
        <v>0</v>
      </c>
      <c r="G60" s="123">
        <f>'Water Heaters Purchased'!G16*'Capital Cost'!$E6/1000000</f>
        <v>0</v>
      </c>
      <c r="H60" s="123">
        <f>'Water Heaters Purchased'!H16*'Capital Cost'!$E6/1000000</f>
        <v>0</v>
      </c>
      <c r="I60" s="123">
        <f>'Water Heaters Purchased'!I16*'Capital Cost'!$E6/1000000</f>
        <v>0</v>
      </c>
      <c r="J60" s="123">
        <f>'Water Heaters Purchased'!J16*'Capital Cost'!$E6/1000000</f>
        <v>0</v>
      </c>
      <c r="K60" s="123">
        <f>'Water Heaters Purchased'!K16*'Capital Cost'!$E6/1000000</f>
        <v>0</v>
      </c>
      <c r="L60" s="123">
        <f>'Water Heaters Purchased'!L16*'Capital Cost'!$E6/1000000</f>
        <v>0</v>
      </c>
      <c r="M60" s="123">
        <f>'Water Heaters Purchased'!M16*'Capital Cost'!$E6/1000000</f>
        <v>0</v>
      </c>
      <c r="N60" s="123">
        <f>'Water Heaters Purchased'!N16*'Capital Cost'!$E6/1000000</f>
        <v>0</v>
      </c>
      <c r="O60" s="123">
        <f>'Water Heaters Purchased'!O16*'Capital Cost'!$E6/1000000</f>
        <v>48.952916111061342</v>
      </c>
      <c r="P60" s="123">
        <f>'Water Heaters Purchased'!P16*'Capital Cost'!$E6/1000000</f>
        <v>48.952916111061342</v>
      </c>
      <c r="Q60" s="123">
        <f>'Water Heaters Purchased'!Q16*'Capital Cost'!$E6/1000000</f>
        <v>48.952916111061342</v>
      </c>
      <c r="R60" s="123">
        <f>'Water Heaters Purchased'!R16*'Capital Cost'!$E6/1000000</f>
        <v>48.952916111061342</v>
      </c>
      <c r="S60" s="123">
        <f>'Water Heaters Purchased'!S16*'Capital Cost'!$E6/1000000</f>
        <v>48.952916111061342</v>
      </c>
      <c r="T60" s="123">
        <f>'Water Heaters Purchased'!T16*'Capital Cost'!$E6/1000000</f>
        <v>48.952916111061342</v>
      </c>
      <c r="U60" s="123">
        <f>'Water Heaters Purchased'!U16*'Capital Cost'!$E6/1000000</f>
        <v>48.952916111061342</v>
      </c>
      <c r="V60" s="123">
        <f>'Water Heaters Purchased'!V16*'Capital Cost'!$E6/1000000</f>
        <v>48.952916111061342</v>
      </c>
      <c r="W60" s="123">
        <f>'Water Heaters Purchased'!W16*'Capital Cost'!$E6/1000000</f>
        <v>48.952916111061342</v>
      </c>
    </row>
    <row r="61" spans="1:23">
      <c r="A61" s="38" t="str">
        <f>'Water Heaters Purchased'!A17</f>
        <v>Gas Tank</v>
      </c>
      <c r="B61" s="123">
        <f>'Water Heaters Purchased'!B17*'Capital Cost'!$E7/1000000</f>
        <v>0</v>
      </c>
      <c r="C61" s="123">
        <f>'Water Heaters Purchased'!C17*'Capital Cost'!$E7/1000000</f>
        <v>22.885251832078598</v>
      </c>
      <c r="D61" s="123">
        <f>'Water Heaters Purchased'!D17*'Capital Cost'!$E7/1000000</f>
        <v>22.885251832078598</v>
      </c>
      <c r="E61" s="123">
        <f>'Water Heaters Purchased'!E17*'Capital Cost'!$E7/1000000</f>
        <v>22.885251832078602</v>
      </c>
      <c r="F61" s="123">
        <f>'Water Heaters Purchased'!F17*'Capital Cost'!$E7/1000000</f>
        <v>22.885251832078602</v>
      </c>
      <c r="G61" s="123">
        <f>'Water Heaters Purchased'!G17*'Capital Cost'!$E7/1000000</f>
        <v>22.885251832078602</v>
      </c>
      <c r="H61" s="123">
        <f>'Water Heaters Purchased'!H17*'Capital Cost'!$E7/1000000</f>
        <v>22.885251832078602</v>
      </c>
      <c r="I61" s="123">
        <f>'Water Heaters Purchased'!I17*'Capital Cost'!$E7/1000000</f>
        <v>22.885251832078602</v>
      </c>
      <c r="J61" s="123">
        <f>'Water Heaters Purchased'!J17*'Capital Cost'!$E7/1000000</f>
        <v>22.885251832078602</v>
      </c>
      <c r="K61" s="123">
        <f>'Water Heaters Purchased'!K17*'Capital Cost'!$E7/1000000</f>
        <v>22.885251832078602</v>
      </c>
      <c r="L61" s="123">
        <f>'Water Heaters Purchased'!L17*'Capital Cost'!$E7/1000000</f>
        <v>22.885251832078602</v>
      </c>
      <c r="M61" s="123">
        <f>'Water Heaters Purchased'!M17*'Capital Cost'!$E7/1000000</f>
        <v>22.885251832078602</v>
      </c>
      <c r="N61" s="123">
        <f>'Water Heaters Purchased'!N17*'Capital Cost'!$E7/1000000</f>
        <v>22.885251832078602</v>
      </c>
      <c r="O61" s="123">
        <f>'Water Heaters Purchased'!O17*'Capital Cost'!$E7/1000000</f>
        <v>0</v>
      </c>
      <c r="P61" s="123">
        <f>'Water Heaters Purchased'!P17*'Capital Cost'!$E7/1000000</f>
        <v>0</v>
      </c>
      <c r="Q61" s="123">
        <f>'Water Heaters Purchased'!Q17*'Capital Cost'!$E7/1000000</f>
        <v>0</v>
      </c>
      <c r="R61" s="123">
        <f>'Water Heaters Purchased'!R17*'Capital Cost'!$E7/1000000</f>
        <v>0</v>
      </c>
      <c r="S61" s="123">
        <f>'Water Heaters Purchased'!S17*'Capital Cost'!$E7/1000000</f>
        <v>0</v>
      </c>
      <c r="T61" s="123">
        <f>'Water Heaters Purchased'!T17*'Capital Cost'!$E7/1000000</f>
        <v>0</v>
      </c>
      <c r="U61" s="123">
        <f>'Water Heaters Purchased'!U17*'Capital Cost'!$E7/1000000</f>
        <v>0</v>
      </c>
      <c r="V61" s="123">
        <f>'Water Heaters Purchased'!V17*'Capital Cost'!$E7/1000000</f>
        <v>0</v>
      </c>
      <c r="W61" s="123">
        <f>'Water Heaters Purchased'!W17*'Capital Cost'!$E7/1000000</f>
        <v>0</v>
      </c>
    </row>
    <row r="62" spans="1:23">
      <c r="A62" s="38" t="str">
        <f>'Water Heaters Purchased'!A18</f>
        <v>Instant Gas</v>
      </c>
      <c r="B62" s="123">
        <f>'Water Heaters Purchased'!B18*'Capital Cost'!$E8/1000000</f>
        <v>0</v>
      </c>
      <c r="C62" s="123">
        <f>'Water Heaters Purchased'!C18*'Capital Cost'!$E8/1000000</f>
        <v>0</v>
      </c>
      <c r="D62" s="123">
        <f>'Water Heaters Purchased'!D18*'Capital Cost'!$E8/1000000</f>
        <v>0</v>
      </c>
      <c r="E62" s="123">
        <f>'Water Heaters Purchased'!E18*'Capital Cost'!$E8/1000000</f>
        <v>0</v>
      </c>
      <c r="F62" s="123">
        <f>'Water Heaters Purchased'!F18*'Capital Cost'!$E8/1000000</f>
        <v>0</v>
      </c>
      <c r="G62" s="123">
        <f>'Water Heaters Purchased'!G18*'Capital Cost'!$E8/1000000</f>
        <v>0</v>
      </c>
      <c r="H62" s="123">
        <f>'Water Heaters Purchased'!H18*'Capital Cost'!$E8/1000000</f>
        <v>0</v>
      </c>
      <c r="I62" s="123">
        <f>'Water Heaters Purchased'!I18*'Capital Cost'!$E8/1000000</f>
        <v>0</v>
      </c>
      <c r="J62" s="123">
        <f>'Water Heaters Purchased'!J18*'Capital Cost'!$E8/1000000</f>
        <v>0</v>
      </c>
      <c r="K62" s="123">
        <f>'Water Heaters Purchased'!K18*'Capital Cost'!$E8/1000000</f>
        <v>0</v>
      </c>
      <c r="L62" s="123">
        <f>'Water Heaters Purchased'!L18*'Capital Cost'!$E8/1000000</f>
        <v>0</v>
      </c>
      <c r="M62" s="123">
        <f>'Water Heaters Purchased'!M18*'Capital Cost'!$E8/1000000</f>
        <v>0</v>
      </c>
      <c r="N62" s="123">
        <f>'Water Heaters Purchased'!N18*'Capital Cost'!$E8/1000000</f>
        <v>0</v>
      </c>
      <c r="O62" s="123">
        <f>'Water Heaters Purchased'!O18*'Capital Cost'!$E8/1000000</f>
        <v>0</v>
      </c>
      <c r="P62" s="123">
        <f>'Water Heaters Purchased'!P18*'Capital Cost'!$E8/1000000</f>
        <v>0</v>
      </c>
      <c r="Q62" s="123">
        <f>'Water Heaters Purchased'!Q18*'Capital Cost'!$E8/1000000</f>
        <v>0</v>
      </c>
      <c r="R62" s="123">
        <f>'Water Heaters Purchased'!R18*'Capital Cost'!$E8/1000000</f>
        <v>0</v>
      </c>
      <c r="S62" s="123">
        <f>'Water Heaters Purchased'!S18*'Capital Cost'!$E8/1000000</f>
        <v>0</v>
      </c>
      <c r="T62" s="123">
        <f>'Water Heaters Purchased'!T18*'Capital Cost'!$E8/1000000</f>
        <v>0</v>
      </c>
      <c r="U62" s="123">
        <f>'Water Heaters Purchased'!U18*'Capital Cost'!$E8/1000000</f>
        <v>0</v>
      </c>
      <c r="V62" s="123">
        <f>'Water Heaters Purchased'!V18*'Capital Cost'!$E8/1000000</f>
        <v>0</v>
      </c>
      <c r="W62" s="123">
        <f>'Water Heaters Purchased'!W18*'Capital Cost'!$E8/1000000</f>
        <v>0</v>
      </c>
    </row>
    <row r="63" spans="1:23">
      <c r="A63" s="38" t="str">
        <f>'Water Heaters Purchased'!A19</f>
        <v>Condensing Gas</v>
      </c>
      <c r="B63" s="123">
        <f>'Water Heaters Purchased'!B19*'Capital Cost'!$E9/1000000</f>
        <v>0</v>
      </c>
      <c r="C63" s="123">
        <f>'Water Heaters Purchased'!C19*'Capital Cost'!$E9/1000000</f>
        <v>0</v>
      </c>
      <c r="D63" s="123">
        <f>'Water Heaters Purchased'!D19*'Capital Cost'!$E9/1000000</f>
        <v>0</v>
      </c>
      <c r="E63" s="123">
        <f>'Water Heaters Purchased'!E19*'Capital Cost'!$E9/1000000</f>
        <v>0</v>
      </c>
      <c r="F63" s="123">
        <f>'Water Heaters Purchased'!F19*'Capital Cost'!$E9/1000000</f>
        <v>0</v>
      </c>
      <c r="G63" s="123">
        <f>'Water Heaters Purchased'!G19*'Capital Cost'!$E9/1000000</f>
        <v>0</v>
      </c>
      <c r="H63" s="123">
        <f>'Water Heaters Purchased'!H19*'Capital Cost'!$E9/1000000</f>
        <v>0</v>
      </c>
      <c r="I63" s="123">
        <f>'Water Heaters Purchased'!I19*'Capital Cost'!$E9/1000000</f>
        <v>0</v>
      </c>
      <c r="J63" s="123">
        <f>'Water Heaters Purchased'!J19*'Capital Cost'!$E9/1000000</f>
        <v>0</v>
      </c>
      <c r="K63" s="123">
        <f>'Water Heaters Purchased'!K19*'Capital Cost'!$E9/1000000</f>
        <v>0</v>
      </c>
      <c r="L63" s="123">
        <f>'Water Heaters Purchased'!L19*'Capital Cost'!$E9/1000000</f>
        <v>0</v>
      </c>
      <c r="M63" s="123">
        <f>'Water Heaters Purchased'!M19*'Capital Cost'!$E9/1000000</f>
        <v>0</v>
      </c>
      <c r="N63" s="123">
        <f>'Water Heaters Purchased'!N19*'Capital Cost'!$E9/1000000</f>
        <v>0</v>
      </c>
      <c r="O63" s="123">
        <f>'Water Heaters Purchased'!O19*'Capital Cost'!$E9/1000000</f>
        <v>0</v>
      </c>
      <c r="P63" s="123">
        <f>'Water Heaters Purchased'!P19*'Capital Cost'!$E9/1000000</f>
        <v>0</v>
      </c>
      <c r="Q63" s="123">
        <f>'Water Heaters Purchased'!Q19*'Capital Cost'!$E9/1000000</f>
        <v>0</v>
      </c>
      <c r="R63" s="123">
        <f>'Water Heaters Purchased'!R19*'Capital Cost'!$E9/1000000</f>
        <v>0</v>
      </c>
      <c r="S63" s="123">
        <f>'Water Heaters Purchased'!S19*'Capital Cost'!$E9/1000000</f>
        <v>0</v>
      </c>
      <c r="T63" s="123">
        <f>'Water Heaters Purchased'!T19*'Capital Cost'!$E9/1000000</f>
        <v>0</v>
      </c>
      <c r="U63" s="123">
        <f>'Water Heaters Purchased'!U19*'Capital Cost'!$E9/1000000</f>
        <v>0</v>
      </c>
      <c r="V63" s="123">
        <f>'Water Heaters Purchased'!V19*'Capital Cost'!$E9/1000000</f>
        <v>0</v>
      </c>
      <c r="W63" s="123">
        <f>'Water Heaters Purchased'!W19*'Capital Cost'!$E9/1000000</f>
        <v>0</v>
      </c>
    </row>
    <row r="64" spans="1:23">
      <c r="A64" s="12"/>
    </row>
    <row r="65" spans="1:23">
      <c r="A65" s="12" t="s">
        <v>122</v>
      </c>
    </row>
    <row r="66" spans="1:23">
      <c r="A66" s="23" t="str">
        <f>'Water Heater Stock'!A13</f>
        <v>Water Heat Ending</v>
      </c>
      <c r="B66" s="9">
        <f>'Water Heater Stock'!B13</f>
        <v>2014</v>
      </c>
      <c r="C66" s="9">
        <f>'Water Heater Stock'!C13</f>
        <v>2015</v>
      </c>
      <c r="D66" s="9">
        <f>'Water Heater Stock'!D13</f>
        <v>2016</v>
      </c>
      <c r="E66" s="9">
        <f>'Water Heater Stock'!E13</f>
        <v>2017</v>
      </c>
      <c r="F66" s="9">
        <f>'Water Heater Stock'!F13</f>
        <v>2018</v>
      </c>
      <c r="G66" s="9">
        <f>'Water Heater Stock'!G13</f>
        <v>2019</v>
      </c>
      <c r="H66" s="9">
        <f>'Water Heater Stock'!H13</f>
        <v>2020</v>
      </c>
      <c r="I66" s="9">
        <f>'Water Heater Stock'!I13</f>
        <v>2021</v>
      </c>
      <c r="J66" s="9">
        <f>'Water Heater Stock'!J13</f>
        <v>2022</v>
      </c>
      <c r="K66" s="9">
        <f>'Water Heater Stock'!K13</f>
        <v>2023</v>
      </c>
      <c r="L66" s="9">
        <f>'Water Heater Stock'!L13</f>
        <v>2024</v>
      </c>
      <c r="M66" s="9">
        <f>'Water Heater Stock'!M13</f>
        <v>2025</v>
      </c>
      <c r="N66" s="9">
        <f>'Water Heater Stock'!N13</f>
        <v>2026</v>
      </c>
      <c r="O66" s="9">
        <f>'Water Heater Stock'!O13</f>
        <v>2027</v>
      </c>
      <c r="P66" s="9">
        <f>'Water Heater Stock'!P13</f>
        <v>2028</v>
      </c>
      <c r="Q66" s="9">
        <f>'Water Heater Stock'!Q13</f>
        <v>2029</v>
      </c>
      <c r="R66" s="9">
        <f>'Water Heater Stock'!R13</f>
        <v>2030</v>
      </c>
      <c r="S66" s="9">
        <f>'Water Heater Stock'!S13</f>
        <v>2031</v>
      </c>
      <c r="T66" s="9">
        <f>'Water Heater Stock'!T13</f>
        <v>2032</v>
      </c>
      <c r="U66" s="9">
        <f>'Water Heater Stock'!U13</f>
        <v>2033</v>
      </c>
      <c r="V66" s="9">
        <f>'Water Heater Stock'!V13</f>
        <v>2034</v>
      </c>
      <c r="W66" s="9">
        <f>'Water Heater Stock'!W13</f>
        <v>2035</v>
      </c>
    </row>
    <row r="67" spans="1:23" ht="16.5" thickBot="1">
      <c r="A67" s="48" t="str">
        <f t="shared" ref="A67" si="22">A68</f>
        <v>Electric Resistance</v>
      </c>
      <c r="B67" s="129">
        <f t="shared" ref="B67" si="23">SUM(B68:B72)</f>
        <v>1.8639130296825939</v>
      </c>
      <c r="C67" s="129">
        <f t="shared" ref="C67:W67" si="24">SUM(C68:C72)</f>
        <v>2.1408152495626758</v>
      </c>
      <c r="D67" s="129">
        <f t="shared" si="24"/>
        <v>2.3979387394513236</v>
      </c>
      <c r="E67" s="129">
        <f t="shared" si="24"/>
        <v>2.6366962657764965</v>
      </c>
      <c r="F67" s="129">
        <f t="shared" si="24"/>
        <v>2.8583996830784422</v>
      </c>
      <c r="G67" s="129">
        <f t="shared" si="24"/>
        <v>3.064267142001678</v>
      </c>
      <c r="H67" s="129">
        <f t="shared" si="24"/>
        <v>3.2554297824303973</v>
      </c>
      <c r="I67" s="129">
        <f t="shared" si="24"/>
        <v>3.4329379485427785</v>
      </c>
      <c r="J67" s="129">
        <f t="shared" si="24"/>
        <v>3.5977669599328479</v>
      </c>
      <c r="K67" s="129">
        <f t="shared" si="24"/>
        <v>3.7508224705093407</v>
      </c>
      <c r="L67" s="129">
        <f t="shared" si="24"/>
        <v>3.8929454446160836</v>
      </c>
      <c r="M67" s="129">
        <f t="shared" si="24"/>
        <v>4.0249167777152026</v>
      </c>
      <c r="N67" s="129">
        <f t="shared" si="24"/>
        <v>4.1474615870215272</v>
      </c>
      <c r="O67" s="129">
        <f t="shared" si="24"/>
        <v>4.1460653818842452</v>
      </c>
      <c r="P67" s="129">
        <f t="shared" si="24"/>
        <v>4.144768905685341</v>
      </c>
      <c r="Q67" s="129">
        <f t="shared" si="24"/>
        <v>4.1435650349292139</v>
      </c>
      <c r="R67" s="129">
        <f t="shared" si="24"/>
        <v>4.142447154941383</v>
      </c>
      <c r="S67" s="129">
        <f t="shared" si="24"/>
        <v>4.1414091235241113</v>
      </c>
      <c r="T67" s="129">
        <f t="shared" si="24"/>
        <v>4.1404452372080733</v>
      </c>
      <c r="U67" s="129">
        <f t="shared" si="24"/>
        <v>4.13955019991461</v>
      </c>
      <c r="V67" s="129">
        <f t="shared" si="24"/>
        <v>4.1387190938563938</v>
      </c>
      <c r="W67" s="129">
        <f t="shared" si="24"/>
        <v>4.1379473525166208</v>
      </c>
    </row>
    <row r="68" spans="1:23" ht="16.5" thickTop="1">
      <c r="A68" s="38" t="str">
        <f>'Water Heater Stock'!A15</f>
        <v>Electric Resistance</v>
      </c>
      <c r="B68" s="123">
        <f>'Water Heater Stock'!B15*'O&amp;M Cost'!$D5/1000000</f>
        <v>1.8639130296825939</v>
      </c>
      <c r="C68" s="123">
        <f>'Water Heater Stock'!C15*'O&amp;M Cost'!$D5/1000000</f>
        <v>1.7307763847052657</v>
      </c>
      <c r="D68" s="123">
        <f>'Water Heater Stock'!D15*'O&amp;M Cost'!$D5/1000000</f>
        <v>1.6071495000834612</v>
      </c>
      <c r="E68" s="123">
        <f>'Water Heater Stock'!E15*'O&amp;M Cost'!$D5/1000000</f>
        <v>1.4923531072203569</v>
      </c>
      <c r="F68" s="123">
        <f>'Water Heater Stock'!F15*'O&amp;M Cost'!$D5/1000000</f>
        <v>1.385756456704617</v>
      </c>
      <c r="G68" s="123">
        <f>'Water Heater Stock'!G15*'O&amp;M Cost'!$D5/1000000</f>
        <v>1.2867738526542871</v>
      </c>
      <c r="H68" s="123">
        <f>'Water Heater Stock'!H15*'O&amp;M Cost'!$D5/1000000</f>
        <v>1.1948614346075523</v>
      </c>
      <c r="I68" s="123">
        <f>'Water Heater Stock'!I15*'O&amp;M Cost'!$D5/1000000</f>
        <v>1.1095141892784415</v>
      </c>
      <c r="J68" s="123">
        <f>'Water Heater Stock'!J15*'O&amp;M Cost'!$D5/1000000</f>
        <v>1.030263175758553</v>
      </c>
      <c r="K68" s="123">
        <f>'Water Heater Stock'!K15*'O&amp;M Cost'!$D5/1000000</f>
        <v>0.95667294891865629</v>
      </c>
      <c r="L68" s="123">
        <f>'Water Heater Stock'!L15*'O&amp;M Cost'!$D5/1000000</f>
        <v>0.88833916685303793</v>
      </c>
      <c r="M68" s="123">
        <f>'Water Heater Stock'!M15*'O&amp;M Cost'!$D5/1000000</f>
        <v>0.82488636922067804</v>
      </c>
      <c r="N68" s="123">
        <f>'Water Heater Stock'!N15*'O&amp;M Cost'!$D5/1000000</f>
        <v>0.76596591427634386</v>
      </c>
      <c r="O68" s="123">
        <f>'Water Heater Stock'!O15*'O&amp;M Cost'!$D5/1000000</f>
        <v>0.71125406325660512</v>
      </c>
      <c r="P68" s="123">
        <f>'Water Heater Stock'!P15*'O&amp;M Cost'!$D5/1000000</f>
        <v>0.66045020159541901</v>
      </c>
      <c r="Q68" s="123">
        <f>'Water Heater Stock'!Q15*'O&amp;M Cost'!$D5/1000000</f>
        <v>0.61327518719574614</v>
      </c>
      <c r="R68" s="123">
        <f>'Water Heater Stock'!R15*'O&amp;M Cost'!$D5/1000000</f>
        <v>0.56946981668176433</v>
      </c>
      <c r="S68" s="123">
        <f>'Water Heater Stock'!S15*'O&amp;M Cost'!$D5/1000000</f>
        <v>0.52879340120449536</v>
      </c>
      <c r="T68" s="123">
        <f>'Water Heater Stock'!T15*'O&amp;M Cost'!$D5/1000000</f>
        <v>0.49102244397560285</v>
      </c>
      <c r="U68" s="123">
        <f>'Water Heater Stock'!U15*'O&amp;M Cost'!$D5/1000000</f>
        <v>0.45594941226305979</v>
      </c>
      <c r="V68" s="123">
        <f>'Water Heater Stock'!V15*'O&amp;M Cost'!$D5/1000000</f>
        <v>0.42338159710141265</v>
      </c>
      <c r="W68" s="123">
        <f>'Water Heater Stock'!W15*'O&amp;M Cost'!$D5/1000000</f>
        <v>0.39314005445131178</v>
      </c>
    </row>
    <row r="69" spans="1:23">
      <c r="A69" s="38" t="str">
        <f>'Water Heater Stock'!A16</f>
        <v>HPWH</v>
      </c>
      <c r="B69" s="123">
        <f>'Water Heater Stock'!B16*'O&amp;M Cost'!$D6/1000000</f>
        <v>0</v>
      </c>
      <c r="C69" s="123">
        <f>'Water Heater Stock'!C16*'O&amp;M Cost'!$D6/1000000</f>
        <v>0</v>
      </c>
      <c r="D69" s="123">
        <f>'Water Heater Stock'!D16*'O&amp;M Cost'!$D6/1000000</f>
        <v>0</v>
      </c>
      <c r="E69" s="123">
        <f>'Water Heater Stock'!E16*'O&amp;M Cost'!$D6/1000000</f>
        <v>0</v>
      </c>
      <c r="F69" s="123">
        <f>'Water Heater Stock'!F16*'O&amp;M Cost'!$D6/1000000</f>
        <v>0</v>
      </c>
      <c r="G69" s="123">
        <f>'Water Heater Stock'!G16*'O&amp;M Cost'!$D6/1000000</f>
        <v>0</v>
      </c>
      <c r="H69" s="123">
        <f>'Water Heater Stock'!H16*'O&amp;M Cost'!$D6/1000000</f>
        <v>0</v>
      </c>
      <c r="I69" s="123">
        <f>'Water Heater Stock'!I16*'O&amp;M Cost'!$D6/1000000</f>
        <v>0</v>
      </c>
      <c r="J69" s="123">
        <f>'Water Heater Stock'!J16*'O&amp;M Cost'!$D6/1000000</f>
        <v>0</v>
      </c>
      <c r="K69" s="123">
        <f>'Water Heater Stock'!K16*'O&amp;M Cost'!$D6/1000000</f>
        <v>0</v>
      </c>
      <c r="L69" s="123">
        <f>'Water Heater Stock'!L16*'O&amp;M Cost'!$D6/1000000</f>
        <v>0</v>
      </c>
      <c r="M69" s="123">
        <f>'Water Heater Stock'!M16*'O&amp;M Cost'!$D6/1000000</f>
        <v>0</v>
      </c>
      <c r="N69" s="123">
        <f>'Water Heater Stock'!N16*'O&amp;M Cost'!$D6/1000000</f>
        <v>0</v>
      </c>
      <c r="O69" s="123">
        <f>'Water Heater Stock'!O16*'O&amp;M Cost'!$D6/1000000</f>
        <v>0.29485105107854148</v>
      </c>
      <c r="P69" s="123">
        <f>'Water Heater Stock'!P16*'O&amp;M Cost'!$D6/1000000</f>
        <v>0.56864131279433006</v>
      </c>
      <c r="Q69" s="123">
        <f>'Water Heater Stock'!Q16*'O&amp;M Cost'!$D6/1000000</f>
        <v>0.82287512724470524</v>
      </c>
      <c r="R69" s="123">
        <f>'Water Heater Stock'!R16*'O&amp;M Cost'!$D6/1000000</f>
        <v>1.0589493835200534</v>
      </c>
      <c r="S69" s="123">
        <f>'Water Heater Stock'!S16*'O&amp;M Cost'!$D6/1000000</f>
        <v>1.2781611929185912</v>
      </c>
      <c r="T69" s="123">
        <f>'Water Heater Stock'!T16*'O&amp;M Cost'!$D6/1000000</f>
        <v>1.4817150159315189</v>
      </c>
      <c r="U69" s="123">
        <f>'Water Heater Stock'!U16*'O&amp;M Cost'!$D6/1000000</f>
        <v>1.6707292801578091</v>
      </c>
      <c r="V69" s="123">
        <f>'Water Heater Stock'!V16*'O&amp;M Cost'!$D6/1000000</f>
        <v>1.8462425255107928</v>
      </c>
      <c r="W69" s="123">
        <f>'Water Heater Stock'!W16*'O&amp;M Cost'!$D6/1000000</f>
        <v>2.0092191104814203</v>
      </c>
    </row>
    <row r="70" spans="1:23">
      <c r="A70" s="38" t="str">
        <f>'Water Heater Stock'!A17</f>
        <v>Gas Tank</v>
      </c>
      <c r="B70" s="123">
        <f>'Water Heater Stock'!B17*'O&amp;M Cost'!$D7/1000000</f>
        <v>0</v>
      </c>
      <c r="C70" s="123">
        <f>'Water Heater Stock'!C17*'O&amp;M Cost'!$D7/1000000</f>
        <v>0.41003886485741015</v>
      </c>
      <c r="D70" s="123">
        <f>'Water Heater Stock'!D17*'O&amp;M Cost'!$D7/1000000</f>
        <v>0.7907892393678625</v>
      </c>
      <c r="E70" s="123">
        <f>'Water Heater Stock'!E17*'O&amp;M Cost'!$D7/1000000</f>
        <v>1.1443431585561397</v>
      </c>
      <c r="F70" s="123">
        <f>'Water Heater Stock'!F17*'O&amp;M Cost'!$D7/1000000</f>
        <v>1.4726432263738254</v>
      </c>
      <c r="G70" s="123">
        <f>'Water Heater Stock'!G17*'O&amp;M Cost'!$D7/1000000</f>
        <v>1.7774932893473911</v>
      </c>
      <c r="H70" s="123">
        <f>'Water Heater Stock'!H17*'O&amp;M Cost'!$D7/1000000</f>
        <v>2.0605683478228447</v>
      </c>
      <c r="I70" s="123">
        <f>'Water Heater Stock'!I17*'O&amp;M Cost'!$D7/1000000</f>
        <v>2.3234237592643372</v>
      </c>
      <c r="J70" s="123">
        <f>'Water Heater Stock'!J17*'O&amp;M Cost'!$D7/1000000</f>
        <v>2.5675037841742951</v>
      </c>
      <c r="K70" s="123">
        <f>'Water Heater Stock'!K17*'O&amp;M Cost'!$D7/1000000</f>
        <v>2.7941495215906844</v>
      </c>
      <c r="L70" s="123">
        <f>'Water Heater Stock'!L17*'O&amp;M Cost'!$D7/1000000</f>
        <v>3.0046062777630458</v>
      </c>
      <c r="M70" s="123">
        <f>'Water Heater Stock'!M17*'O&amp;M Cost'!$D7/1000000</f>
        <v>3.2000304084945248</v>
      </c>
      <c r="N70" s="123">
        <f>'Water Heater Stock'!N17*'O&amp;M Cost'!$D7/1000000</f>
        <v>3.3814956727451833</v>
      </c>
      <c r="O70" s="123">
        <f>'Water Heater Stock'!O17*'O&amp;M Cost'!$D7/1000000</f>
        <v>3.1399602675490983</v>
      </c>
      <c r="P70" s="123">
        <f>'Water Heater Stock'!P17*'O&amp;M Cost'!$D7/1000000</f>
        <v>2.9156773912955916</v>
      </c>
      <c r="Q70" s="123">
        <f>'Water Heater Stock'!Q17*'O&amp;M Cost'!$D7/1000000</f>
        <v>2.7074147204887629</v>
      </c>
      <c r="R70" s="123">
        <f>'Water Heater Stock'!R17*'O&amp;M Cost'!$D7/1000000</f>
        <v>2.5140279547395656</v>
      </c>
      <c r="S70" s="123">
        <f>'Water Heater Stock'!S17*'O&amp;M Cost'!$D7/1000000</f>
        <v>2.3344545294010253</v>
      </c>
      <c r="T70" s="123">
        <f>'Water Heater Stock'!T17*'O&amp;M Cost'!$D7/1000000</f>
        <v>2.1677077773009521</v>
      </c>
      <c r="U70" s="123">
        <f>'Water Heater Stock'!U17*'O&amp;M Cost'!$D7/1000000</f>
        <v>2.0128715074937413</v>
      </c>
      <c r="V70" s="123">
        <f>'Water Heater Stock'!V17*'O&amp;M Cost'!$D7/1000000</f>
        <v>1.8690949712441882</v>
      </c>
      <c r="W70" s="123">
        <f>'Water Heater Stock'!W17*'O&amp;M Cost'!$D7/1000000</f>
        <v>1.7355881875838892</v>
      </c>
    </row>
    <row r="71" spans="1:23">
      <c r="A71" s="38" t="str">
        <f>'Water Heater Stock'!A18</f>
        <v>Instant Gas</v>
      </c>
      <c r="B71" s="123">
        <f>'Water Heater Stock'!B18*'O&amp;M Cost'!$D8/1000000</f>
        <v>0</v>
      </c>
      <c r="C71" s="123">
        <f>'Water Heater Stock'!C18*'O&amp;M Cost'!$D8/1000000</f>
        <v>0</v>
      </c>
      <c r="D71" s="123">
        <f>'Water Heater Stock'!D18*'O&amp;M Cost'!$D8/1000000</f>
        <v>0</v>
      </c>
      <c r="E71" s="123">
        <f>'Water Heater Stock'!E18*'O&amp;M Cost'!$D8/1000000</f>
        <v>0</v>
      </c>
      <c r="F71" s="123">
        <f>'Water Heater Stock'!F18*'O&amp;M Cost'!$D8/1000000</f>
        <v>0</v>
      </c>
      <c r="G71" s="123">
        <f>'Water Heater Stock'!G18*'O&amp;M Cost'!$D8/1000000</f>
        <v>0</v>
      </c>
      <c r="H71" s="123">
        <f>'Water Heater Stock'!H18*'O&amp;M Cost'!$D8/1000000</f>
        <v>0</v>
      </c>
      <c r="I71" s="123">
        <f>'Water Heater Stock'!I18*'O&amp;M Cost'!$D8/1000000</f>
        <v>0</v>
      </c>
      <c r="J71" s="123">
        <f>'Water Heater Stock'!J18*'O&amp;M Cost'!$D8/1000000</f>
        <v>0</v>
      </c>
      <c r="K71" s="123">
        <f>'Water Heater Stock'!K18*'O&amp;M Cost'!$D8/1000000</f>
        <v>0</v>
      </c>
      <c r="L71" s="123">
        <f>'Water Heater Stock'!L18*'O&amp;M Cost'!$D8/1000000</f>
        <v>0</v>
      </c>
      <c r="M71" s="123">
        <f>'Water Heater Stock'!M18*'O&amp;M Cost'!$D8/1000000</f>
        <v>0</v>
      </c>
      <c r="N71" s="123">
        <f>'Water Heater Stock'!N18*'O&amp;M Cost'!$D8/1000000</f>
        <v>0</v>
      </c>
      <c r="O71" s="123">
        <f>'Water Heater Stock'!O18*'O&amp;M Cost'!$D8/1000000</f>
        <v>0</v>
      </c>
      <c r="P71" s="123">
        <f>'Water Heater Stock'!P18*'O&amp;M Cost'!$D8/1000000</f>
        <v>0</v>
      </c>
      <c r="Q71" s="123">
        <f>'Water Heater Stock'!Q18*'O&amp;M Cost'!$D8/1000000</f>
        <v>0</v>
      </c>
      <c r="R71" s="123">
        <f>'Water Heater Stock'!R18*'O&amp;M Cost'!$D8/1000000</f>
        <v>0</v>
      </c>
      <c r="S71" s="123">
        <f>'Water Heater Stock'!S18*'O&amp;M Cost'!$D8/1000000</f>
        <v>0</v>
      </c>
      <c r="T71" s="123">
        <f>'Water Heater Stock'!T18*'O&amp;M Cost'!$D8/1000000</f>
        <v>0</v>
      </c>
      <c r="U71" s="123">
        <f>'Water Heater Stock'!U18*'O&amp;M Cost'!$D8/1000000</f>
        <v>0</v>
      </c>
      <c r="V71" s="123">
        <f>'Water Heater Stock'!V18*'O&amp;M Cost'!$D8/1000000</f>
        <v>0</v>
      </c>
      <c r="W71" s="123">
        <f>'Water Heater Stock'!W18*'O&amp;M Cost'!$D8/1000000</f>
        <v>0</v>
      </c>
    </row>
    <row r="72" spans="1:23">
      <c r="A72" s="38" t="str">
        <f>'Water Heater Stock'!A19</f>
        <v>Condensing Gas</v>
      </c>
      <c r="B72" s="123">
        <f>'Water Heater Stock'!B19*'O&amp;M Cost'!$D9/1000000</f>
        <v>0</v>
      </c>
      <c r="C72" s="123">
        <f>'Water Heater Stock'!C19*'O&amp;M Cost'!$D9/1000000</f>
        <v>0</v>
      </c>
      <c r="D72" s="123">
        <f>'Water Heater Stock'!D19*'O&amp;M Cost'!$D9/1000000</f>
        <v>0</v>
      </c>
      <c r="E72" s="123">
        <f>'Water Heater Stock'!E19*'O&amp;M Cost'!$D9/1000000</f>
        <v>0</v>
      </c>
      <c r="F72" s="123">
        <f>'Water Heater Stock'!F19*'O&amp;M Cost'!$D9/1000000</f>
        <v>0</v>
      </c>
      <c r="G72" s="123">
        <f>'Water Heater Stock'!G19*'O&amp;M Cost'!$D9/1000000</f>
        <v>0</v>
      </c>
      <c r="H72" s="123">
        <f>'Water Heater Stock'!H19*'O&amp;M Cost'!$D9/1000000</f>
        <v>0</v>
      </c>
      <c r="I72" s="123">
        <f>'Water Heater Stock'!I19*'O&amp;M Cost'!$D9/1000000</f>
        <v>0</v>
      </c>
      <c r="J72" s="123">
        <f>'Water Heater Stock'!J19*'O&amp;M Cost'!$D9/1000000</f>
        <v>0</v>
      </c>
      <c r="K72" s="123">
        <f>'Water Heater Stock'!K19*'O&amp;M Cost'!$D9/1000000</f>
        <v>0</v>
      </c>
      <c r="L72" s="123">
        <f>'Water Heater Stock'!L19*'O&amp;M Cost'!$D9/1000000</f>
        <v>0</v>
      </c>
      <c r="M72" s="123">
        <f>'Water Heater Stock'!M19*'O&amp;M Cost'!$D9/1000000</f>
        <v>0</v>
      </c>
      <c r="N72" s="123">
        <f>'Water Heater Stock'!N19*'O&amp;M Cost'!$D9/1000000</f>
        <v>0</v>
      </c>
      <c r="O72" s="123">
        <f>'Water Heater Stock'!O19*'O&amp;M Cost'!$D9/1000000</f>
        <v>0</v>
      </c>
      <c r="P72" s="123">
        <f>'Water Heater Stock'!P19*'O&amp;M Cost'!$D9/1000000</f>
        <v>0</v>
      </c>
      <c r="Q72" s="123">
        <f>'Water Heater Stock'!Q19*'O&amp;M Cost'!$D9/1000000</f>
        <v>0</v>
      </c>
      <c r="R72" s="123">
        <f>'Water Heater Stock'!R19*'O&amp;M Cost'!$D9/1000000</f>
        <v>0</v>
      </c>
      <c r="S72" s="123">
        <f>'Water Heater Stock'!S19*'O&amp;M Cost'!$D9/1000000</f>
        <v>0</v>
      </c>
      <c r="T72" s="123">
        <f>'Water Heater Stock'!T19*'O&amp;M Cost'!$D9/1000000</f>
        <v>0</v>
      </c>
      <c r="U72" s="123">
        <f>'Water Heater Stock'!U19*'O&amp;M Cost'!$D9/1000000</f>
        <v>0</v>
      </c>
      <c r="V72" s="123">
        <f>'Water Heater Stock'!V19*'O&amp;M Cost'!$D9/1000000</f>
        <v>0</v>
      </c>
      <c r="W72" s="123">
        <f>'Water Heater Stock'!W19*'O&amp;M Cost'!$D9/1000000</f>
        <v>0</v>
      </c>
    </row>
    <row r="74" spans="1:23">
      <c r="A74" s="12" t="s">
        <v>123</v>
      </c>
    </row>
    <row r="75" spans="1:23">
      <c r="A75" s="14" t="str">
        <f>'Energy Usage'!A25</f>
        <v>Water Heat Ending</v>
      </c>
      <c r="B75" s="56">
        <f>'Energy Usage'!B25</f>
        <v>2014</v>
      </c>
      <c r="C75" s="56">
        <f>'Energy Usage'!C25</f>
        <v>2015</v>
      </c>
      <c r="D75" s="56">
        <f>'Energy Usage'!D25</f>
        <v>2016</v>
      </c>
      <c r="E75" s="56">
        <f>'Energy Usage'!E25</f>
        <v>2017</v>
      </c>
      <c r="F75" s="56">
        <f>'Energy Usage'!F25</f>
        <v>2018</v>
      </c>
      <c r="G75" s="56">
        <f>'Energy Usage'!G25</f>
        <v>2019</v>
      </c>
      <c r="H75" s="56">
        <f>'Energy Usage'!H25</f>
        <v>2020</v>
      </c>
      <c r="I75" s="56">
        <f>'Energy Usage'!I25</f>
        <v>2021</v>
      </c>
      <c r="J75" s="56">
        <f>'Energy Usage'!J25</f>
        <v>2022</v>
      </c>
      <c r="K75" s="56">
        <f>'Energy Usage'!K25</f>
        <v>2023</v>
      </c>
      <c r="L75" s="56">
        <f>'Energy Usage'!L25</f>
        <v>2024</v>
      </c>
      <c r="M75" s="56">
        <f>'Energy Usage'!M25</f>
        <v>2025</v>
      </c>
      <c r="N75" s="56">
        <f>'Energy Usage'!N25</f>
        <v>2026</v>
      </c>
      <c r="O75" s="56">
        <f>'Energy Usage'!O25</f>
        <v>2027</v>
      </c>
      <c r="P75" s="56">
        <f>'Energy Usage'!P25</f>
        <v>2028</v>
      </c>
      <c r="Q75" s="56">
        <f>'Energy Usage'!Q25</f>
        <v>2029</v>
      </c>
      <c r="R75" s="56">
        <f>'Energy Usage'!R25</f>
        <v>2030</v>
      </c>
      <c r="S75" s="56">
        <f>'Energy Usage'!S25</f>
        <v>2031</v>
      </c>
      <c r="T75" s="56">
        <f>'Energy Usage'!T25</f>
        <v>2032</v>
      </c>
      <c r="U75" s="56">
        <f>'Energy Usage'!U25</f>
        <v>2033</v>
      </c>
      <c r="V75" s="56">
        <f>'Energy Usage'!V25</f>
        <v>2034</v>
      </c>
      <c r="W75" s="56">
        <f>'Energy Usage'!W25</f>
        <v>2035</v>
      </c>
    </row>
    <row r="76" spans="1:23" ht="16.5" thickBot="1">
      <c r="A76" s="49" t="s">
        <v>48</v>
      </c>
      <c r="B76" s="129">
        <f t="shared" ref="B76:W76" si="25">SUM(B77:B81)</f>
        <v>121.961288457669</v>
      </c>
      <c r="C76" s="129">
        <f t="shared" si="25"/>
        <v>120.92773688356428</v>
      </c>
      <c r="D76" s="129">
        <f t="shared" si="25"/>
        <v>120.06014472098738</v>
      </c>
      <c r="E76" s="129">
        <f t="shared" si="25"/>
        <v>119.34956757212467</v>
      </c>
      <c r="F76" s="129">
        <f t="shared" si="25"/>
        <v>118.78764365448301</v>
      </c>
      <c r="G76" s="129">
        <f t="shared" si="25"/>
        <v>118.36655780303656</v>
      </c>
      <c r="H76" s="129">
        <f t="shared" si="25"/>
        <v>118.07900771385314</v>
      </c>
      <c r="I76" s="129">
        <f t="shared" si="25"/>
        <v>117.91817229047982</v>
      </c>
      <c r="J76" s="129">
        <f t="shared" si="25"/>
        <v>117.87768196293274</v>
      </c>
      <c r="K76" s="129">
        <f t="shared" si="25"/>
        <v>117.95159085717408</v>
      </c>
      <c r="L76" s="129">
        <f t="shared" si="25"/>
        <v>118.13435070050242</v>
      </c>
      <c r="M76" s="129">
        <f t="shared" si="25"/>
        <v>118.42078635536086</v>
      </c>
      <c r="N76" s="129">
        <f t="shared" si="25"/>
        <v>118.80607288071019</v>
      </c>
      <c r="O76" s="129">
        <f t="shared" si="25"/>
        <v>116.76056290881729</v>
      </c>
      <c r="P76" s="129">
        <f t="shared" si="25"/>
        <v>114.89365988467472</v>
      </c>
      <c r="Q76" s="129">
        <f t="shared" si="25"/>
        <v>113.19595953952731</v>
      </c>
      <c r="R76" s="129">
        <f t="shared" si="25"/>
        <v>111.6586052844992</v>
      </c>
      <c r="S76" s="129">
        <f t="shared" si="25"/>
        <v>110.27325706549843</v>
      </c>
      <c r="T76" s="129">
        <f t="shared" si="25"/>
        <v>109.03206199825273</v>
      </c>
      <c r="U76" s="129">
        <f t="shared" si="25"/>
        <v>107.92762668188297</v>
      </c>
      <c r="V76" s="129">
        <f t="shared" si="25"/>
        <v>106.95299109521854</v>
      </c>
      <c r="W76" s="129">
        <f t="shared" si="25"/>
        <v>106.10160398552625</v>
      </c>
    </row>
    <row r="77" spans="1:23" ht="16.5" thickTop="1">
      <c r="A77" s="38" t="str">
        <f>'Energy Usage'!A27</f>
        <v>Electric Resistance</v>
      </c>
      <c r="B77" s="123">
        <f>(('Energy Usage'!B27*'Retail Rates'!B$5*'Device Energy Use'!$E5+'Energy Usage'!B27*'Retail Rates'!B$6*(1-'Device Energy Use'!$E5)))/1000000</f>
        <v>121.961288457669</v>
      </c>
      <c r="C77" s="123">
        <f>(('Energy Usage'!C27*'Retail Rates'!C$5*'Device Energy Use'!$E5+'Energy Usage'!C27*'Retail Rates'!C$6*(1-'Device Energy Use'!$E5)))/1000000</f>
        <v>114.72201483564592</v>
      </c>
      <c r="D77" s="123">
        <f>(('Energy Usage'!D27*'Retail Rates'!D$5*'Device Energy Use'!$E5+'Energy Usage'!D27*'Retail Rates'!D$6*(1-'Device Energy Use'!$E5)))/1000000</f>
        <v>107.91244381218721</v>
      </c>
      <c r="E77" s="123">
        <f>(('Energy Usage'!E27*'Retail Rates'!E$5*'Device Energy Use'!$E5+'Energy Usage'!E27*'Retail Rates'!E$6*(1-'Device Energy Use'!$E5)))/1000000</f>
        <v>101.50706946876382</v>
      </c>
      <c r="F77" s="123">
        <f>(('Energy Usage'!F27*'Retail Rates'!F$5*'Device Energy Use'!$E5+'Energy Usage'!F27*'Retail Rates'!F$6*(1-'Device Energy Use'!$E5)))/1000000</f>
        <v>95.481899845296468</v>
      </c>
      <c r="G77" s="123">
        <f>(('Energy Usage'!G27*'Retail Rates'!G$5*'Device Energy Use'!$E5+'Energy Usage'!G27*'Retail Rates'!G$6*(1-'Device Energy Use'!$E5)))/1000000</f>
        <v>89.814367075907782</v>
      </c>
      <c r="H77" s="123">
        <f>(('Energy Usage'!H27*'Retail Rates'!H$5*'Device Energy Use'!$E5+'Energy Usage'!H27*'Retail Rates'!H$6*(1-'Device Energy Use'!$E5)))/1000000</f>
        <v>84.483242858759255</v>
      </c>
      <c r="I77" s="123">
        <f>(('Energy Usage'!I27*'Retail Rates'!I$5*'Device Energy Use'!$E5+'Energy Usage'!I27*'Retail Rates'!I$6*(1-'Device Energy Use'!$E5)))/1000000</f>
        <v>79.468558943357181</v>
      </c>
      <c r="J77" s="123">
        <f>(('Energy Usage'!J27*'Retail Rates'!J$5*'Device Energy Use'!$E5+'Energy Usage'!J27*'Retail Rates'!J$6*(1-'Device Energy Use'!$E5)))/1000000</f>
        <v>74.751532337505054</v>
      </c>
      <c r="K77" s="123">
        <f>(('Energy Usage'!K27*'Retail Rates'!K$5*'Device Energy Use'!$E5+'Energy Usage'!K27*'Retail Rates'!K$6*(1-'Device Energy Use'!$E5)))/1000000</f>
        <v>70.314494953757418</v>
      </c>
      <c r="L77" s="123">
        <f>(('Energy Usage'!L27*'Retail Rates'!L$5*'Device Energy Use'!$E5+'Energy Usage'!L27*'Retail Rates'!L$6*(1-'Device Energy Use'!$E5)))/1000000</f>
        <v>66.140827431859393</v>
      </c>
      <c r="M77" s="123">
        <f>(('Energy Usage'!M27*'Retail Rates'!M$5*'Device Energy Use'!$E5+'Energy Usage'!M27*'Retail Rates'!M$6*(1-'Device Energy Use'!$E5)))/1000000</f>
        <v>62.214896889296867</v>
      </c>
      <c r="N77" s="123">
        <f>(('Energy Usage'!N27*'Retail Rates'!N$5*'Device Energy Use'!$E5+'Energy Usage'!N27*'Retail Rates'!N$6*(1-'Device Energy Use'!$E5)))/1000000</f>
        <v>58.521998366796453</v>
      </c>
      <c r="O77" s="123">
        <f>(('Energy Usage'!O27*'Retail Rates'!O$5*'Device Energy Use'!$E5+'Energy Usage'!O27*'Retail Rates'!O$6*(1-'Device Energy Use'!$E5)))/1000000</f>
        <v>55.048299749453037</v>
      </c>
      <c r="P77" s="123">
        <f>(('Energy Usage'!P27*'Retail Rates'!P$5*'Device Energy Use'!$E5+'Energy Usage'!P27*'Retail Rates'!P$6*(1-'Device Energy Use'!$E5)))/1000000</f>
        <v>51.780789957181923</v>
      </c>
      <c r="Q77" s="123">
        <f>(('Energy Usage'!Q27*'Retail Rates'!Q$5*'Device Energy Use'!$E5+'Energy Usage'!Q27*'Retail Rates'!Q$6*(1-'Device Energy Use'!$E5)))/1000000</f>
        <v>48.707230210437764</v>
      </c>
      <c r="R77" s="123">
        <f>(('Energy Usage'!R27*'Retail Rates'!R$5*'Device Energy Use'!$E5+'Energy Usage'!R27*'Retail Rates'!R$6*(1-'Device Energy Use'!$E5)))/1000000</f>
        <v>45.816108188661055</v>
      </c>
      <c r="S77" s="123">
        <f>(('Energy Usage'!S27*'Retail Rates'!S$5*'Device Energy Use'!$E5+'Energy Usage'!S27*'Retail Rates'!S$6*(1-'Device Energy Use'!$E5)))/1000000</f>
        <v>43.09659490974839</v>
      </c>
      <c r="T77" s="123">
        <f>(('Energy Usage'!T27*'Retail Rates'!T$5*'Device Energy Use'!$E5+'Energy Usage'!T27*'Retail Rates'!T$6*(1-'Device Energy Use'!$E5)))/1000000</f>
        <v>40.538504169034034</v>
      </c>
      <c r="U77" s="123">
        <f>(('Energy Usage'!U27*'Retail Rates'!U$5*'Device Energy Use'!$E5+'Energy Usage'!U27*'Retail Rates'!U$6*(1-'Device Energy Use'!$E5)))/1000000</f>
        <v>38.132254385857799</v>
      </c>
      <c r="V77" s="123">
        <f>(('Energy Usage'!V27*'Retail Rates'!V$5*'Device Energy Use'!$E5+'Energy Usage'!V27*'Retail Rates'!V$6*(1-'Device Energy Use'!$E5)))/1000000</f>
        <v>35.868832714811518</v>
      </c>
      <c r="W77" s="123">
        <f>(('Energy Usage'!W27*'Retail Rates'!W$5*'Device Energy Use'!$E5+'Energy Usage'!W27*'Retail Rates'!W$6*(1-'Device Energy Use'!$E5)))/1000000</f>
        <v>33.739761287239489</v>
      </c>
    </row>
    <row r="78" spans="1:23">
      <c r="A78" s="38" t="str">
        <f>'Energy Usage'!A28</f>
        <v>HPWH</v>
      </c>
      <c r="B78" s="123">
        <f>(('Energy Usage'!B28*'Retail Rates'!B$5*'Device Energy Use'!$E6+'Energy Usage'!B28*'Retail Rates'!B$6*(1-'Device Energy Use'!$E6)))/1000000</f>
        <v>0</v>
      </c>
      <c r="C78" s="123">
        <f>(('Energy Usage'!C28*'Retail Rates'!C$5*'Device Energy Use'!$E6+'Energy Usage'!C28*'Retail Rates'!C$6*(1-'Device Energy Use'!$E6)))/1000000</f>
        <v>0</v>
      </c>
      <c r="D78" s="123">
        <f>(('Energy Usage'!D28*'Retail Rates'!D$5*'Device Energy Use'!$E6+'Energy Usage'!D28*'Retail Rates'!D$6*(1-'Device Energy Use'!$E6)))/1000000</f>
        <v>0</v>
      </c>
      <c r="E78" s="123">
        <f>(('Energy Usage'!E28*'Retail Rates'!E$5*'Device Energy Use'!$E6+'Energy Usage'!E28*'Retail Rates'!E$6*(1-'Device Energy Use'!$E6)))/1000000</f>
        <v>0</v>
      </c>
      <c r="F78" s="123">
        <f>(('Energy Usage'!F28*'Retail Rates'!F$5*'Device Energy Use'!$E6+'Energy Usage'!F28*'Retail Rates'!F$6*(1-'Device Energy Use'!$E6)))/1000000</f>
        <v>0</v>
      </c>
      <c r="G78" s="123">
        <f>(('Energy Usage'!G28*'Retail Rates'!G$5*'Device Energy Use'!$E6+'Energy Usage'!G28*'Retail Rates'!G$6*(1-'Device Energy Use'!$E6)))/1000000</f>
        <v>0</v>
      </c>
      <c r="H78" s="123">
        <f>(('Energy Usage'!H28*'Retail Rates'!H$5*'Device Energy Use'!$E6+'Energy Usage'!H28*'Retail Rates'!H$6*(1-'Device Energy Use'!$E6)))/1000000</f>
        <v>0</v>
      </c>
      <c r="I78" s="123">
        <f>(('Energy Usage'!I28*'Retail Rates'!I$5*'Device Energy Use'!$E6+'Energy Usage'!I28*'Retail Rates'!I$6*(1-'Device Energy Use'!$E6)))/1000000</f>
        <v>0</v>
      </c>
      <c r="J78" s="123">
        <f>(('Energy Usage'!J28*'Retail Rates'!J$5*'Device Energy Use'!$E6+'Energy Usage'!J28*'Retail Rates'!J$6*(1-'Device Energy Use'!$E6)))/1000000</f>
        <v>0</v>
      </c>
      <c r="K78" s="123">
        <f>(('Energy Usage'!K28*'Retail Rates'!K$5*'Device Energy Use'!$E6+'Energy Usage'!K28*'Retail Rates'!K$6*(1-'Device Energy Use'!$E6)))/1000000</f>
        <v>0</v>
      </c>
      <c r="L78" s="123">
        <f>(('Energy Usage'!L28*'Retail Rates'!L$5*'Device Energy Use'!$E6+'Energy Usage'!L28*'Retail Rates'!L$6*(1-'Device Energy Use'!$E6)))/1000000</f>
        <v>0</v>
      </c>
      <c r="M78" s="123">
        <f>(('Energy Usage'!M28*'Retail Rates'!M$5*'Device Energy Use'!$E6+'Energy Usage'!M28*'Retail Rates'!M$6*(1-'Device Energy Use'!$E6)))/1000000</f>
        <v>0</v>
      </c>
      <c r="N78" s="123">
        <f>(('Energy Usage'!N28*'Retail Rates'!N$5*'Device Energy Use'!$E6+'Energy Usage'!N28*'Retail Rates'!N$6*(1-'Device Energy Use'!$E6)))/1000000</f>
        <v>0</v>
      </c>
      <c r="O78" s="123">
        <f>(('Energy Usage'!O28*'Retail Rates'!O$5*'Device Energy Use'!$E6+'Energy Usage'!O28*'Retail Rates'!O$6*(1-'Device Energy Use'!$E6)))/1000000</f>
        <v>4.8945229300005622</v>
      </c>
      <c r="P78" s="123">
        <f>(('Energy Usage'!P28*'Retail Rates'!P$5*'Device Energy Use'!$E6+'Energy Usage'!P28*'Retail Rates'!P$6*(1-'Device Energy Use'!$E6)))/1000000</f>
        <v>9.5621497613175244</v>
      </c>
      <c r="Q78" s="123">
        <f>(('Energy Usage'!Q28*'Retail Rates'!Q$5*'Device Energy Use'!$E6+'Energy Usage'!Q28*'Retail Rates'!Q$6*(1-'Device Energy Use'!$E6)))/1000000</f>
        <v>14.017175572469352</v>
      </c>
      <c r="R78" s="123">
        <f>(('Energy Usage'!R28*'Retail Rates'!R$5*'Device Energy Use'!$E6+'Energy Usage'!R28*'Retail Rates'!R$6*(1-'Device Energy Use'!$E6)))/1000000</f>
        <v>18.273057680223602</v>
      </c>
      <c r="S78" s="123">
        <f>(('Energy Usage'!S28*'Retail Rates'!S$5*'Device Energy Use'!$E6+'Energy Usage'!S28*'Retail Rates'!S$6*(1-'Device Energy Use'!$E6)))/1000000</f>
        <v>22.342465506533344</v>
      </c>
      <c r="T78" s="123">
        <f>(('Energy Usage'!T28*'Retail Rates'!T$5*'Device Energy Use'!$E6+'Energy Usage'!T28*'Retail Rates'!T$6*(1-'Device Energy Use'!$E6)))/1000000</f>
        <v>26.237327487331974</v>
      </c>
      <c r="U78" s="123">
        <f>(('Energy Usage'!U28*'Retail Rates'!U$5*'Device Energy Use'!$E6+'Energy Usage'!U28*'Retail Rates'!U$6*(1-'Device Energy Use'!$E6)))/1000000</f>
        <v>29.968875198796948</v>
      </c>
      <c r="V78" s="123">
        <f>(('Energy Usage'!V28*'Retail Rates'!V$5*'Device Energy Use'!$E6+'Energy Usage'!V28*'Retail Rates'!V$6*(1-'Device Energy Use'!$E6)))/1000000</f>
        <v>33.547684866269407</v>
      </c>
      <c r="W78" s="123">
        <f>(('Energy Usage'!W28*'Retail Rates'!W$5*'Device Energy Use'!$E6+'Energy Usage'!W28*'Retail Rates'!W$6*(1-'Device Energy Use'!$E6)))/1000000</f>
        <v>36.983716411212072</v>
      </c>
    </row>
    <row r="79" spans="1:23">
      <c r="A79" s="38" t="str">
        <f>'Energy Usage'!A29</f>
        <v>Gas Tank</v>
      </c>
      <c r="B79" s="123">
        <f>(('Energy Usage'!B29*'Retail Rates'!B$5*'Device Energy Use'!$E7+'Energy Usage'!B29*'Retail Rates'!B$6*(1-'Device Energy Use'!$E7)))/1000000</f>
        <v>0</v>
      </c>
      <c r="C79" s="123">
        <f>(('Energy Usage'!C29*'Retail Rates'!C$5*'Device Energy Use'!$E7+'Energy Usage'!C29*'Retail Rates'!C$6*(1-'Device Energy Use'!$E7)))/1000000</f>
        <v>6.2057220479183535</v>
      </c>
      <c r="D79" s="123">
        <f>(('Energy Usage'!D29*'Retail Rates'!D$5*'Device Energy Use'!$E7+'Energy Usage'!D29*'Retail Rates'!D$6*(1-'Device Energy Use'!$E7)))/1000000</f>
        <v>12.147700908800175</v>
      </c>
      <c r="E79" s="123">
        <f>(('Energy Usage'!E29*'Retail Rates'!E$5*'Device Energy Use'!$E7+'Energy Usage'!E29*'Retail Rates'!E$6*(1-'Device Energy Use'!$E7)))/1000000</f>
        <v>17.842498103360846</v>
      </c>
      <c r="F79" s="123">
        <f>(('Energy Usage'!F29*'Retail Rates'!F$5*'Device Energy Use'!$E7+'Energy Usage'!F29*'Retail Rates'!F$6*(1-'Device Energy Use'!$E7)))/1000000</f>
        <v>23.305743809186534</v>
      </c>
      <c r="G79" s="123">
        <f>(('Energy Usage'!G29*'Retail Rates'!G$5*'Device Energy Use'!$E7+'Energy Usage'!G29*'Retail Rates'!G$6*(1-'Device Energy Use'!$E7)))/1000000</f>
        <v>28.552190727128774</v>
      </c>
      <c r="H79" s="123">
        <f>(('Energy Usage'!H29*'Retail Rates'!H$5*'Device Energy Use'!$E7+'Energy Usage'!H29*'Retail Rates'!H$6*(1-'Device Energy Use'!$E7)))/1000000</f>
        <v>33.59576485509389</v>
      </c>
      <c r="I79" s="123">
        <f>(('Energy Usage'!I29*'Retail Rates'!I$5*'Device Energy Use'!$E7+'Energy Usage'!I29*'Retail Rates'!I$6*(1-'Device Energy Use'!$E7)))/1000000</f>
        <v>38.449613347122643</v>
      </c>
      <c r="J79" s="123">
        <f>(('Energy Usage'!J29*'Retail Rates'!J$5*'Device Energy Use'!$E7+'Energy Usage'!J29*'Retail Rates'!J$6*(1-'Device Energy Use'!$E7)))/1000000</f>
        <v>43.126149625427686</v>
      </c>
      <c r="K79" s="123">
        <f>(('Energy Usage'!K29*'Retail Rates'!K$5*'Device Energy Use'!$E7+'Energy Usage'!K29*'Retail Rates'!K$6*(1-'Device Energy Use'!$E7)))/1000000</f>
        <v>47.637095903416665</v>
      </c>
      <c r="L79" s="123">
        <f>(('Energy Usage'!L29*'Retail Rates'!L$5*'Device Energy Use'!$E7+'Energy Usage'!L29*'Retail Rates'!L$6*(1-'Device Energy Use'!$E7)))/1000000</f>
        <v>51.993523268643031</v>
      </c>
      <c r="M79" s="123">
        <f>(('Energy Usage'!M29*'Retail Rates'!M$5*'Device Energy Use'!$E7+'Energy Usage'!M29*'Retail Rates'!M$6*(1-'Device Energy Use'!$E7)))/1000000</f>
        <v>56.205889466063987</v>
      </c>
      <c r="N79" s="123">
        <f>(('Energy Usage'!N29*'Retail Rates'!N$5*'Device Energy Use'!$E7+'Energy Usage'!N29*'Retail Rates'!N$6*(1-'Device Energy Use'!$E7)))/1000000</f>
        <v>60.284074513913744</v>
      </c>
      <c r="O79" s="123">
        <f>(('Energy Usage'!O29*'Retail Rates'!O$5*'Device Energy Use'!$E7+'Energy Usage'!O29*'Retail Rates'!O$6*(1-'Device Energy Use'!$E7)))/1000000</f>
        <v>56.817740229363693</v>
      </c>
      <c r="P79" s="123">
        <f>(('Energy Usage'!P29*'Retail Rates'!P$5*'Device Energy Use'!$E7+'Energy Usage'!P29*'Retail Rates'!P$6*(1-'Device Energy Use'!$E7)))/1000000</f>
        <v>53.550720166175275</v>
      </c>
      <c r="Q79" s="123">
        <f>(('Energy Usage'!Q29*'Retail Rates'!Q$5*'Device Energy Use'!$E7+'Energy Usage'!Q29*'Retail Rates'!Q$6*(1-'Device Energy Use'!$E7)))/1000000</f>
        <v>50.471553756620189</v>
      </c>
      <c r="R79" s="123">
        <f>(('Energy Usage'!R29*'Retail Rates'!R$5*'Device Energy Use'!$E7+'Energy Usage'!R29*'Retail Rates'!R$6*(1-'Device Energy Use'!$E7)))/1000000</f>
        <v>47.569439415614532</v>
      </c>
      <c r="S79" s="123">
        <f>(('Energy Usage'!S29*'Retail Rates'!S$5*'Device Energy Use'!$E7+'Energy Usage'!S29*'Retail Rates'!S$6*(1-'Device Energy Use'!$E7)))/1000000</f>
        <v>44.834196649216686</v>
      </c>
      <c r="T79" s="123">
        <f>(('Energy Usage'!T29*'Retail Rates'!T$5*'Device Energy Use'!$E7+'Energy Usage'!T29*'Retail Rates'!T$6*(1-'Device Energy Use'!$E7)))/1000000</f>
        <v>42.25623034188672</v>
      </c>
      <c r="U79" s="123">
        <f>(('Energy Usage'!U29*'Retail Rates'!U$5*'Device Energy Use'!$E7+'Energy Usage'!U29*'Retail Rates'!U$6*(1-'Device Energy Use'!$E7)))/1000000</f>
        <v>39.826497097228234</v>
      </c>
      <c r="V79" s="123">
        <f>(('Energy Usage'!V29*'Retail Rates'!V$5*'Device Energy Use'!$E7+'Energy Usage'!V29*'Retail Rates'!V$6*(1-'Device Energy Use'!$E7)))/1000000</f>
        <v>37.536473514137612</v>
      </c>
      <c r="W79" s="123">
        <f>(('Energy Usage'!W29*'Retail Rates'!W$5*'Device Energy Use'!$E7+'Energy Usage'!W29*'Retail Rates'!W$6*(1-'Device Energy Use'!$E7)))/1000000</f>
        <v>35.378126287074693</v>
      </c>
    </row>
    <row r="80" spans="1:23">
      <c r="A80" s="38" t="str">
        <f>'Energy Usage'!A30</f>
        <v>Instant Gas</v>
      </c>
      <c r="B80" s="123">
        <f>(('Energy Usage'!B30*'Retail Rates'!B$5*'Device Energy Use'!$E8+'Energy Usage'!B30*'Retail Rates'!B$6*(1-'Device Energy Use'!$E8)))/1000000</f>
        <v>0</v>
      </c>
      <c r="C80" s="123">
        <f>(('Energy Usage'!C30*'Retail Rates'!C$5*'Device Energy Use'!$E8+'Energy Usage'!C30*'Retail Rates'!C$6*(1-'Device Energy Use'!$E8)))/1000000</f>
        <v>0</v>
      </c>
      <c r="D80" s="123">
        <f>(('Energy Usage'!D30*'Retail Rates'!D$5*'Device Energy Use'!$E8+'Energy Usage'!D30*'Retail Rates'!D$6*(1-'Device Energy Use'!$E8)))/1000000</f>
        <v>0</v>
      </c>
      <c r="E80" s="123">
        <f>(('Energy Usage'!E30*'Retail Rates'!E$5*'Device Energy Use'!$E8+'Energy Usage'!E30*'Retail Rates'!E$6*(1-'Device Energy Use'!$E8)))/1000000</f>
        <v>0</v>
      </c>
      <c r="F80" s="123">
        <f>(('Energy Usage'!F30*'Retail Rates'!F$5*'Device Energy Use'!$E8+'Energy Usage'!F30*'Retail Rates'!F$6*(1-'Device Energy Use'!$E8)))/1000000</f>
        <v>0</v>
      </c>
      <c r="G80" s="123">
        <f>(('Energy Usage'!G30*'Retail Rates'!G$5*'Device Energy Use'!$E8+'Energy Usage'!G30*'Retail Rates'!G$6*(1-'Device Energy Use'!$E8)))/1000000</f>
        <v>0</v>
      </c>
      <c r="H80" s="123">
        <f>(('Energy Usage'!H30*'Retail Rates'!H$5*'Device Energy Use'!$E8+'Energy Usage'!H30*'Retail Rates'!H$6*(1-'Device Energy Use'!$E8)))/1000000</f>
        <v>0</v>
      </c>
      <c r="I80" s="123">
        <f>(('Energy Usage'!I30*'Retail Rates'!I$5*'Device Energy Use'!$E8+'Energy Usage'!I30*'Retail Rates'!I$6*(1-'Device Energy Use'!$E8)))/1000000</f>
        <v>0</v>
      </c>
      <c r="J80" s="123">
        <f>(('Energy Usage'!J30*'Retail Rates'!J$5*'Device Energy Use'!$E8+'Energy Usage'!J30*'Retail Rates'!J$6*(1-'Device Energy Use'!$E8)))/1000000</f>
        <v>0</v>
      </c>
      <c r="K80" s="123">
        <f>(('Energy Usage'!K30*'Retail Rates'!K$5*'Device Energy Use'!$E8+'Energy Usage'!K30*'Retail Rates'!K$6*(1-'Device Energy Use'!$E8)))/1000000</f>
        <v>0</v>
      </c>
      <c r="L80" s="123">
        <f>(('Energy Usage'!L30*'Retail Rates'!L$5*'Device Energy Use'!$E8+'Energy Usage'!L30*'Retail Rates'!L$6*(1-'Device Energy Use'!$E8)))/1000000</f>
        <v>0</v>
      </c>
      <c r="M80" s="123">
        <f>(('Energy Usage'!M30*'Retail Rates'!M$5*'Device Energy Use'!$E8+'Energy Usage'!M30*'Retail Rates'!M$6*(1-'Device Energy Use'!$E8)))/1000000</f>
        <v>0</v>
      </c>
      <c r="N80" s="123">
        <f>(('Energy Usage'!N30*'Retail Rates'!N$5*'Device Energy Use'!$E8+'Energy Usage'!N30*'Retail Rates'!N$6*(1-'Device Energy Use'!$E8)))/1000000</f>
        <v>0</v>
      </c>
      <c r="O80" s="123">
        <f>(('Energy Usage'!O30*'Retail Rates'!O$5*'Device Energy Use'!$E8+'Energy Usage'!O30*'Retail Rates'!O$6*(1-'Device Energy Use'!$E8)))/1000000</f>
        <v>0</v>
      </c>
      <c r="P80" s="123">
        <f>(('Energy Usage'!P30*'Retail Rates'!P$5*'Device Energy Use'!$E8+'Energy Usage'!P30*'Retail Rates'!P$6*(1-'Device Energy Use'!$E8)))/1000000</f>
        <v>0</v>
      </c>
      <c r="Q80" s="123">
        <f>(('Energy Usage'!Q30*'Retail Rates'!Q$5*'Device Energy Use'!$E8+'Energy Usage'!Q30*'Retail Rates'!Q$6*(1-'Device Energy Use'!$E8)))/1000000</f>
        <v>0</v>
      </c>
      <c r="R80" s="123">
        <f>(('Energy Usage'!R30*'Retail Rates'!R$5*'Device Energy Use'!$E8+'Energy Usage'!R30*'Retail Rates'!R$6*(1-'Device Energy Use'!$E8)))/1000000</f>
        <v>0</v>
      </c>
      <c r="S80" s="123">
        <f>(('Energy Usage'!S30*'Retail Rates'!S$5*'Device Energy Use'!$E8+'Energy Usage'!S30*'Retail Rates'!S$6*(1-'Device Energy Use'!$E8)))/1000000</f>
        <v>0</v>
      </c>
      <c r="T80" s="123">
        <f>(('Energy Usage'!T30*'Retail Rates'!T$5*'Device Energy Use'!$E8+'Energy Usage'!T30*'Retail Rates'!T$6*(1-'Device Energy Use'!$E8)))/1000000</f>
        <v>0</v>
      </c>
      <c r="U80" s="123">
        <f>(('Energy Usage'!U30*'Retail Rates'!U$5*'Device Energy Use'!$E8+'Energy Usage'!U30*'Retail Rates'!U$6*(1-'Device Energy Use'!$E8)))/1000000</f>
        <v>0</v>
      </c>
      <c r="V80" s="123">
        <f>(('Energy Usage'!V30*'Retail Rates'!V$5*'Device Energy Use'!$E8+'Energy Usage'!V30*'Retail Rates'!V$6*(1-'Device Energy Use'!$E8)))/1000000</f>
        <v>0</v>
      </c>
      <c r="W80" s="123">
        <f>(('Energy Usage'!W30*'Retail Rates'!W$5*'Device Energy Use'!$E8+'Energy Usage'!W30*'Retail Rates'!W$6*(1-'Device Energy Use'!$E8)))/1000000</f>
        <v>0</v>
      </c>
    </row>
    <row r="81" spans="1:23">
      <c r="A81" s="38" t="str">
        <f>'Energy Usage'!A31</f>
        <v>Condensing Gas</v>
      </c>
      <c r="B81" s="123">
        <f>(('Energy Usage'!B31*'Retail Rates'!B$5*'Device Energy Use'!$E9+'Energy Usage'!B31*'Retail Rates'!B$6*(1-'Device Energy Use'!$E9)))/1000000</f>
        <v>0</v>
      </c>
      <c r="C81" s="123">
        <f>(('Energy Usage'!C31*'Retail Rates'!C$5*'Device Energy Use'!$E9+'Energy Usage'!C31*'Retail Rates'!C$6*(1-'Device Energy Use'!$E9)))/1000000</f>
        <v>0</v>
      </c>
      <c r="D81" s="123">
        <f>(('Energy Usage'!D31*'Retail Rates'!D$5*'Device Energy Use'!$E9+'Energy Usage'!D31*'Retail Rates'!D$6*(1-'Device Energy Use'!$E9)))/1000000</f>
        <v>0</v>
      </c>
      <c r="E81" s="123">
        <f>(('Energy Usage'!E31*'Retail Rates'!E$5*'Device Energy Use'!$E9+'Energy Usage'!E31*'Retail Rates'!E$6*(1-'Device Energy Use'!$E9)))/1000000</f>
        <v>0</v>
      </c>
      <c r="F81" s="123">
        <f>(('Energy Usage'!F31*'Retail Rates'!F$5*'Device Energy Use'!$E9+'Energy Usage'!F31*'Retail Rates'!F$6*(1-'Device Energy Use'!$E9)))/1000000</f>
        <v>0</v>
      </c>
      <c r="G81" s="123">
        <f>(('Energy Usage'!G31*'Retail Rates'!G$5*'Device Energy Use'!$E9+'Energy Usage'!G31*'Retail Rates'!G$6*(1-'Device Energy Use'!$E9)))/1000000</f>
        <v>0</v>
      </c>
      <c r="H81" s="123">
        <f>(('Energy Usage'!H31*'Retail Rates'!H$5*'Device Energy Use'!$E9+'Energy Usage'!H31*'Retail Rates'!H$6*(1-'Device Energy Use'!$E9)))/1000000</f>
        <v>0</v>
      </c>
      <c r="I81" s="123">
        <f>(('Energy Usage'!I31*'Retail Rates'!I$5*'Device Energy Use'!$E9+'Energy Usage'!I31*'Retail Rates'!I$6*(1-'Device Energy Use'!$E9)))/1000000</f>
        <v>0</v>
      </c>
      <c r="J81" s="123">
        <f>(('Energy Usage'!J31*'Retail Rates'!J$5*'Device Energy Use'!$E9+'Energy Usage'!J31*'Retail Rates'!J$6*(1-'Device Energy Use'!$E9)))/1000000</f>
        <v>0</v>
      </c>
      <c r="K81" s="123">
        <f>(('Energy Usage'!K31*'Retail Rates'!K$5*'Device Energy Use'!$E9+'Energy Usage'!K31*'Retail Rates'!K$6*(1-'Device Energy Use'!$E9)))/1000000</f>
        <v>0</v>
      </c>
      <c r="L81" s="123">
        <f>(('Energy Usage'!L31*'Retail Rates'!L$5*'Device Energy Use'!$E9+'Energy Usage'!L31*'Retail Rates'!L$6*(1-'Device Energy Use'!$E9)))/1000000</f>
        <v>0</v>
      </c>
      <c r="M81" s="123">
        <f>(('Energy Usage'!M31*'Retail Rates'!M$5*'Device Energy Use'!$E9+'Energy Usage'!M31*'Retail Rates'!M$6*(1-'Device Energy Use'!$E9)))/1000000</f>
        <v>0</v>
      </c>
      <c r="N81" s="123">
        <f>(('Energy Usage'!N31*'Retail Rates'!N$5*'Device Energy Use'!$E9+'Energy Usage'!N31*'Retail Rates'!N$6*(1-'Device Energy Use'!$E9)))/1000000</f>
        <v>0</v>
      </c>
      <c r="O81" s="123">
        <f>(('Energy Usage'!O31*'Retail Rates'!O$5*'Device Energy Use'!$E9+'Energy Usage'!O31*'Retail Rates'!O$6*(1-'Device Energy Use'!$E9)))/1000000</f>
        <v>0</v>
      </c>
      <c r="P81" s="123">
        <f>(('Energy Usage'!P31*'Retail Rates'!P$5*'Device Energy Use'!$E9+'Energy Usage'!P31*'Retail Rates'!P$6*(1-'Device Energy Use'!$E9)))/1000000</f>
        <v>0</v>
      </c>
      <c r="Q81" s="123">
        <f>(('Energy Usage'!Q31*'Retail Rates'!Q$5*'Device Energy Use'!$E9+'Energy Usage'!Q31*'Retail Rates'!Q$6*(1-'Device Energy Use'!$E9)))/1000000</f>
        <v>0</v>
      </c>
      <c r="R81" s="123">
        <f>(('Energy Usage'!R31*'Retail Rates'!R$5*'Device Energy Use'!$E9+'Energy Usage'!R31*'Retail Rates'!R$6*(1-'Device Energy Use'!$E9)))/1000000</f>
        <v>0</v>
      </c>
      <c r="S81" s="123">
        <f>(('Energy Usage'!S31*'Retail Rates'!S$5*'Device Energy Use'!$E9+'Energy Usage'!S31*'Retail Rates'!S$6*(1-'Device Energy Use'!$E9)))/1000000</f>
        <v>0</v>
      </c>
      <c r="T81" s="123">
        <f>(('Energy Usage'!T31*'Retail Rates'!T$5*'Device Energy Use'!$E9+'Energy Usage'!T31*'Retail Rates'!T$6*(1-'Device Energy Use'!$E9)))/1000000</f>
        <v>0</v>
      </c>
      <c r="U81" s="123">
        <f>(('Energy Usage'!U31*'Retail Rates'!U$5*'Device Energy Use'!$E9+'Energy Usage'!U31*'Retail Rates'!U$6*(1-'Device Energy Use'!$E9)))/1000000</f>
        <v>0</v>
      </c>
      <c r="V81" s="123">
        <f>(('Energy Usage'!V31*'Retail Rates'!V$5*'Device Energy Use'!$E9+'Energy Usage'!V31*'Retail Rates'!V$6*(1-'Device Energy Use'!$E9)))/1000000</f>
        <v>0</v>
      </c>
      <c r="W81" s="123">
        <f>(('Energy Usage'!W31*'Retail Rates'!W$5*'Device Energy Use'!$E9+'Energy Usage'!W31*'Retail Rates'!W$6*(1-'Device Energy Use'!$E9)))/1000000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Y16"/>
  <sheetViews>
    <sheetView workbookViewId="0">
      <selection activeCell="B13" sqref="B13"/>
    </sheetView>
  </sheetViews>
  <sheetFormatPr defaultRowHeight="15.75"/>
  <cols>
    <col min="1" max="1" width="54.5703125" style="9" customWidth="1"/>
    <col min="2" max="2" width="9.42578125" style="9" bestFit="1" customWidth="1"/>
    <col min="3" max="3" width="13.42578125" style="9" customWidth="1"/>
    <col min="4" max="13" width="11" style="9" bestFit="1" customWidth="1"/>
    <col min="14" max="23" width="12.7109375" style="9" bestFit="1" customWidth="1"/>
    <col min="24" max="25" width="9.140625" style="45"/>
    <col min="26" max="16384" width="9.140625" style="9"/>
  </cols>
  <sheetData>
    <row r="1" spans="1:25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2" spans="1:25" s="149" customFormat="1">
      <c r="X2" s="150"/>
      <c r="Y2" s="150"/>
    </row>
    <row r="3" spans="1:25">
      <c r="A3" s="12" t="s">
        <v>155</v>
      </c>
      <c r="X3" s="9"/>
      <c r="Y3" s="9"/>
    </row>
    <row r="4" spans="1:25">
      <c r="B4" s="9">
        <f>'Energy Usage'!B10</f>
        <v>2014</v>
      </c>
      <c r="C4" s="9">
        <f>'Energy Usage'!C10</f>
        <v>2015</v>
      </c>
      <c r="D4" s="9">
        <f>'Energy Usage'!D10</f>
        <v>2016</v>
      </c>
      <c r="E4" s="9">
        <f>'Energy Usage'!E10</f>
        <v>2017</v>
      </c>
      <c r="F4" s="9">
        <f>'Energy Usage'!F10</f>
        <v>2018</v>
      </c>
      <c r="G4" s="9">
        <f>'Energy Usage'!G10</f>
        <v>2019</v>
      </c>
      <c r="H4" s="9">
        <f>'Energy Usage'!H10</f>
        <v>2020</v>
      </c>
      <c r="I4" s="9">
        <f>'Energy Usage'!I10</f>
        <v>2021</v>
      </c>
      <c r="J4" s="9">
        <f>'Energy Usage'!J10</f>
        <v>2022</v>
      </c>
      <c r="K4" s="9">
        <f>'Energy Usage'!K10</f>
        <v>2023</v>
      </c>
      <c r="L4" s="9">
        <f>'Energy Usage'!L10</f>
        <v>2024</v>
      </c>
      <c r="M4" s="9">
        <f>'Energy Usage'!M10</f>
        <v>2025</v>
      </c>
      <c r="N4" s="9">
        <f>'Energy Usage'!N10</f>
        <v>2026</v>
      </c>
      <c r="O4" s="9">
        <f>'Energy Usage'!O10</f>
        <v>2027</v>
      </c>
      <c r="P4" s="9">
        <f>'Energy Usage'!P10</f>
        <v>2028</v>
      </c>
      <c r="Q4" s="9">
        <f>'Energy Usage'!Q10</f>
        <v>2029</v>
      </c>
      <c r="R4" s="9">
        <f>'Energy Usage'!R10</f>
        <v>2030</v>
      </c>
      <c r="S4" s="9">
        <f>'Energy Usage'!S10</f>
        <v>2031</v>
      </c>
      <c r="T4" s="9">
        <f>'Energy Usage'!T10</f>
        <v>2032</v>
      </c>
      <c r="U4" s="9">
        <f>'Energy Usage'!U10</f>
        <v>2033</v>
      </c>
      <c r="V4" s="9">
        <f>'Energy Usage'!V10</f>
        <v>2034</v>
      </c>
      <c r="W4" s="9">
        <f>'Energy Usage'!W10</f>
        <v>2035</v>
      </c>
      <c r="X4" s="9"/>
      <c r="Y4" s="9"/>
    </row>
    <row r="5" spans="1:25">
      <c r="A5" s="9" t="s">
        <v>148</v>
      </c>
      <c r="B5" s="131">
        <f>'Energy Usage'!B13</f>
        <v>0</v>
      </c>
      <c r="C5" s="131">
        <f>'Energy Usage'!C13</f>
        <v>0.42473790071886158</v>
      </c>
      <c r="D5" s="131">
        <f>'Energy Usage'!D13</f>
        <v>0.81909690445163785</v>
      </c>
      <c r="E5" s="131">
        <f>'Energy Usage'!E13</f>
        <v>1.185238388345029</v>
      </c>
      <c r="F5" s="131">
        <f>'Energy Usage'!F13</f>
        <v>1.525161743293552</v>
      </c>
      <c r="G5" s="131">
        <f>'Energy Usage'!G13</f>
        <v>1.8407127367496066</v>
      </c>
      <c r="H5" s="131">
        <f>'Energy Usage'!H13</f>
        <v>2.1335907004692038</v>
      </c>
      <c r="I5" s="131">
        <f>'Energy Usage'!I13</f>
        <v>2.4053548712986386</v>
      </c>
      <c r="J5" s="131">
        <f>'Energy Usage'!J13</f>
        <v>2.6574303552968077</v>
      </c>
      <c r="K5" s="131">
        <f>'Energy Usage'!K13</f>
        <v>2.891114309977532</v>
      </c>
      <c r="L5" s="131">
        <f>'Energy Usage'!L13</f>
        <v>3.1075830084772558</v>
      </c>
      <c r="M5" s="131">
        <f>'Energy Usage'!M13</f>
        <v>3.3079004197691901</v>
      </c>
      <c r="N5" s="131">
        <f>'Energy Usage'!N13</f>
        <v>3.4930287732851339</v>
      </c>
      <c r="O5" s="131">
        <f>'Energy Usage'!O13</f>
        <v>3.1491285590620612</v>
      </c>
      <c r="P5" s="131">
        <f>'Energy Usage'!P13</f>
        <v>2.8284763835270965</v>
      </c>
      <c r="Q5" s="131">
        <f>'Energy Usage'!Q13</f>
        <v>2.5291860489510825</v>
      </c>
      <c r="R5" s="131">
        <f>'Energy Usage'!R13</f>
        <v>2.2495157208271892</v>
      </c>
      <c r="S5" s="131">
        <f>'Energy Usage'!S13</f>
        <v>1.9878687635924359</v>
      </c>
      <c r="T5" s="131">
        <f>'Energy Usage'!T13</f>
        <v>1.7427929265032271</v>
      </c>
      <c r="U5" s="131">
        <f>'Energy Usage'!U13</f>
        <v>1.512976947224409</v>
      </c>
      <c r="V5" s="131">
        <f>'Energy Usage'!V13</f>
        <v>1.2972441831947576</v>
      </c>
      <c r="W5" s="131">
        <f>'Energy Usage'!W13</f>
        <v>1.0945434462198891</v>
      </c>
      <c r="X5" s="9"/>
      <c r="Y5" s="9"/>
    </row>
    <row r="6" spans="1:25">
      <c r="A6" s="42" t="s">
        <v>149</v>
      </c>
      <c r="B6" s="132">
        <f t="shared" ref="B6" si="0">B13*ConvertMMBTU/1000</f>
        <v>0</v>
      </c>
      <c r="C6" s="132">
        <f>C13</f>
        <v>0.53150038561367663</v>
      </c>
      <c r="D6" s="132">
        <f t="shared" ref="D6:W6" si="1">D13</f>
        <v>1.0249163260443401</v>
      </c>
      <c r="E6" s="132">
        <f t="shared" si="1"/>
        <v>1.4829014929457716</v>
      </c>
      <c r="F6" s="132">
        <f t="shared" si="1"/>
        <v>1.907876152542056</v>
      </c>
      <c r="G6" s="132">
        <f t="shared" si="1"/>
        <v>2.302025574806509</v>
      </c>
      <c r="H6" s="132">
        <f t="shared" si="1"/>
        <v>2.6672954289672868</v>
      </c>
      <c r="I6" s="132">
        <f t="shared" si="1"/>
        <v>3.0053858498710109</v>
      </c>
      <c r="J6" s="132">
        <f t="shared" si="1"/>
        <v>3.3177466740018202</v>
      </c>
      <c r="K6" s="132">
        <f t="shared" si="1"/>
        <v>3.6055770367731581</v>
      </c>
      <c r="L6" s="132">
        <f t="shared" si="1"/>
        <v>3.8698328786199889</v>
      </c>
      <c r="M6" s="132">
        <f t="shared" si="1"/>
        <v>4.1112456852347323</v>
      </c>
      <c r="N6" s="132">
        <f t="shared" si="1"/>
        <v>4.330354786085115</v>
      </c>
      <c r="O6" s="132">
        <f t="shared" si="1"/>
        <v>4.2215704211547465</v>
      </c>
      <c r="P6" s="132">
        <f t="shared" si="1"/>
        <v>4.1130378986378702</v>
      </c>
      <c r="Q6" s="132">
        <f t="shared" si="1"/>
        <v>4.0034805038326926</v>
      </c>
      <c r="R6" s="132">
        <f t="shared" si="1"/>
        <v>3.8917777522637715</v>
      </c>
      <c r="S6" s="132">
        <f t="shared" si="1"/>
        <v>3.7770167335822733</v>
      </c>
      <c r="T6" s="132">
        <f t="shared" si="1"/>
        <v>3.658529975836283</v>
      </c>
      <c r="U6" s="132">
        <f t="shared" si="1"/>
        <v>3.5359150223058093</v>
      </c>
      <c r="V6" s="132">
        <f t="shared" si="1"/>
        <v>3.4090340391497942</v>
      </c>
      <c r="W6" s="132">
        <f t="shared" si="1"/>
        <v>3.2779949630623348</v>
      </c>
      <c r="X6" s="9"/>
      <c r="Y6" s="9"/>
    </row>
    <row r="7" spans="1:25">
      <c r="A7" s="9" t="s">
        <v>151</v>
      </c>
      <c r="B7" s="131">
        <f t="shared" ref="B7:W7" si="2">B5-B6</f>
        <v>0</v>
      </c>
      <c r="C7" s="131">
        <f t="shared" si="2"/>
        <v>-0.10676248489481505</v>
      </c>
      <c r="D7" s="131">
        <f t="shared" si="2"/>
        <v>-0.20581942159270228</v>
      </c>
      <c r="E7" s="131">
        <f t="shared" si="2"/>
        <v>-0.29766310460074252</v>
      </c>
      <c r="F7" s="131">
        <f t="shared" si="2"/>
        <v>-0.38271440924850397</v>
      </c>
      <c r="G7" s="131">
        <f t="shared" si="2"/>
        <v>-0.46131283805690249</v>
      </c>
      <c r="H7" s="131">
        <f t="shared" si="2"/>
        <v>-0.53370472849808293</v>
      </c>
      <c r="I7" s="131">
        <f t="shared" si="2"/>
        <v>-0.60003097857237231</v>
      </c>
      <c r="J7" s="131">
        <f t="shared" si="2"/>
        <v>-0.66031631870501251</v>
      </c>
      <c r="K7" s="131">
        <f t="shared" si="2"/>
        <v>-0.71446272679562606</v>
      </c>
      <c r="L7" s="131">
        <f t="shared" si="2"/>
        <v>-0.76224987014273315</v>
      </c>
      <c r="M7" s="131">
        <f t="shared" si="2"/>
        <v>-0.80334526546554219</v>
      </c>
      <c r="N7" s="131">
        <f t="shared" si="2"/>
        <v>-0.83732601279998109</v>
      </c>
      <c r="O7" s="131">
        <f t="shared" si="2"/>
        <v>-1.0724418620926852</v>
      </c>
      <c r="P7" s="131">
        <f t="shared" si="2"/>
        <v>-1.2845615151107737</v>
      </c>
      <c r="Q7" s="131">
        <f t="shared" si="2"/>
        <v>-1.4742944548816102</v>
      </c>
      <c r="R7" s="131">
        <f t="shared" si="2"/>
        <v>-1.6422620314365823</v>
      </c>
      <c r="S7" s="131">
        <f t="shared" si="2"/>
        <v>-1.7891479699898374</v>
      </c>
      <c r="T7" s="131">
        <f t="shared" si="2"/>
        <v>-1.9157370493330559</v>
      </c>
      <c r="U7" s="131">
        <f t="shared" si="2"/>
        <v>-2.0229380750814006</v>
      </c>
      <c r="V7" s="131">
        <f t="shared" si="2"/>
        <v>-2.1117898559550365</v>
      </c>
      <c r="W7" s="131">
        <f t="shared" si="2"/>
        <v>-2.183451516842446</v>
      </c>
      <c r="X7" s="9"/>
      <c r="Y7" s="9"/>
    </row>
    <row r="8" spans="1:2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9"/>
      <c r="Y8" s="9"/>
    </row>
    <row r="9" spans="1:25" s="149" customFormat="1" ht="23.25" customHeight="1">
      <c r="A9" s="43" t="s">
        <v>153</v>
      </c>
      <c r="X9" s="150"/>
      <c r="Y9" s="150"/>
    </row>
    <row r="10" spans="1:25" s="149" customFormat="1">
      <c r="B10" s="149">
        <f>'Energy Usage'!B5</f>
        <v>2014</v>
      </c>
      <c r="C10" s="149">
        <f>'Energy Usage'!C5</f>
        <v>2015</v>
      </c>
      <c r="D10" s="149">
        <f>'Energy Usage'!D5</f>
        <v>2016</v>
      </c>
      <c r="E10" s="149">
        <f>'Energy Usage'!E5</f>
        <v>2017</v>
      </c>
      <c r="F10" s="149">
        <f>'Energy Usage'!F5</f>
        <v>2018</v>
      </c>
      <c r="G10" s="149">
        <f>'Energy Usage'!G5</f>
        <v>2019</v>
      </c>
      <c r="H10" s="149">
        <f>'Energy Usage'!H5</f>
        <v>2020</v>
      </c>
      <c r="I10" s="149">
        <f>'Energy Usage'!I5</f>
        <v>2021</v>
      </c>
      <c r="J10" s="149">
        <f>'Energy Usage'!J5</f>
        <v>2022</v>
      </c>
      <c r="K10" s="149">
        <f>'Energy Usage'!K5</f>
        <v>2023</v>
      </c>
      <c r="L10" s="149">
        <f>'Energy Usage'!L5</f>
        <v>2024</v>
      </c>
      <c r="M10" s="149">
        <f>'Energy Usage'!M5</f>
        <v>2025</v>
      </c>
      <c r="N10" s="149">
        <f>'Energy Usage'!N5</f>
        <v>2026</v>
      </c>
      <c r="O10" s="149">
        <f>'Energy Usage'!O5</f>
        <v>2027</v>
      </c>
      <c r="P10" s="149">
        <f>'Energy Usage'!P5</f>
        <v>2028</v>
      </c>
      <c r="Q10" s="149">
        <f>'Energy Usage'!Q5</f>
        <v>2029</v>
      </c>
      <c r="R10" s="149">
        <f>'Energy Usage'!R5</f>
        <v>2030</v>
      </c>
      <c r="S10" s="149">
        <f>'Energy Usage'!S5</f>
        <v>2031</v>
      </c>
      <c r="T10" s="149">
        <f>'Energy Usage'!T5</f>
        <v>2032</v>
      </c>
      <c r="U10" s="149">
        <f>'Energy Usage'!U5</f>
        <v>2033</v>
      </c>
      <c r="V10" s="149">
        <f>'Energy Usage'!V5</f>
        <v>2034</v>
      </c>
      <c r="W10" s="149">
        <f>'Energy Usage'!W5</f>
        <v>2035</v>
      </c>
      <c r="X10" s="150"/>
      <c r="Y10" s="150"/>
    </row>
    <row r="11" spans="1:25" s="149" customFormat="1">
      <c r="A11" s="149" t="s">
        <v>167</v>
      </c>
      <c r="B11" s="152">
        <f>-'Energy Usage'!B8/3412*1000000</f>
        <v>0</v>
      </c>
      <c r="C11" s="152">
        <f>-'Energy Usage'!C8/3412*1000000</f>
        <v>82.148436725452342</v>
      </c>
      <c r="D11" s="152">
        <f>-'Energy Usage'!D8/3412*1000000</f>
        <v>158.41056043961981</v>
      </c>
      <c r="E11" s="152">
        <f>-'Energy Usage'!E8/3412*1000000</f>
        <v>229.19652132083024</v>
      </c>
      <c r="F11" s="152">
        <f>-'Energy Usage'!F8/3412*1000000</f>
        <v>294.88039451963772</v>
      </c>
      <c r="G11" s="152">
        <f>-'Energy Usage'!G8/3412*1000000</f>
        <v>355.79993428230432</v>
      </c>
      <c r="H11" s="152">
        <f>-'Energy Usage'!H8/3412*1000000</f>
        <v>412.25586228242452</v>
      </c>
      <c r="I11" s="152">
        <f>-'Energy Usage'!I8/3412*1000000</f>
        <v>464.51095052102181</v>
      </c>
      <c r="J11" s="152">
        <f>-'Energy Usage'!J8/3412*1000000</f>
        <v>512.7892850080093</v>
      </c>
      <c r="K11" s="152">
        <f>-'Energy Usage'!K8/3412*1000000</f>
        <v>557.27620351980806</v>
      </c>
      <c r="L11" s="152">
        <f>-'Energy Usage'!L8/3412*1000000</f>
        <v>598.11945573724711</v>
      </c>
      <c r="M11" s="152">
        <f>-'Energy Usage'!M8/3412*1000000</f>
        <v>635.43209972716102</v>
      </c>
      <c r="N11" s="152">
        <f>-'Energy Usage'!N8/3412*1000000</f>
        <v>669.29749398533465</v>
      </c>
      <c r="O11" s="152">
        <f>-'Energy Usage'!O8/3412*1000000</f>
        <v>652.4838363454013</v>
      </c>
      <c r="P11" s="152">
        <f>-'Energy Usage'!P8/3412*1000000</f>
        <v>635.70910334433847</v>
      </c>
      <c r="Q11" s="152">
        <f>-'Energy Usage'!Q8/3412*1000000</f>
        <v>618.77596658928792</v>
      </c>
      <c r="R11" s="152">
        <f>-'Energy Usage'!R8/3412*1000000</f>
        <v>601.51124455390595</v>
      </c>
      <c r="S11" s="152">
        <f>-'Energy Usage'!S8/3412*1000000</f>
        <v>583.77383826619371</v>
      </c>
      <c r="T11" s="152">
        <f>-'Energy Usage'!T8/3412*1000000</f>
        <v>565.4605835913884</v>
      </c>
      <c r="U11" s="152">
        <f>-'Energy Usage'!U8/3412*1000000</f>
        <v>546.50927701789942</v>
      </c>
      <c r="V11" s="152">
        <f>-'Energy Usage'!V8/3412*1000000</f>
        <v>526.89861501542418</v>
      </c>
      <c r="W11" s="152">
        <f>-'Energy Usage'!W8/3412*1000000</f>
        <v>506.64528022601775</v>
      </c>
      <c r="X11" s="150"/>
      <c r="Y11" s="150"/>
    </row>
    <row r="12" spans="1:25" s="149" customFormat="1">
      <c r="A12" s="153" t="s">
        <v>152</v>
      </c>
      <c r="B12" s="153">
        <f t="shared" ref="B12:W12" si="3">HeatRate</f>
        <v>6470</v>
      </c>
      <c r="C12" s="153">
        <f t="shared" si="3"/>
        <v>6470</v>
      </c>
      <c r="D12" s="153">
        <f t="shared" si="3"/>
        <v>6470</v>
      </c>
      <c r="E12" s="153">
        <f t="shared" si="3"/>
        <v>6470</v>
      </c>
      <c r="F12" s="153">
        <f t="shared" si="3"/>
        <v>6470</v>
      </c>
      <c r="G12" s="153">
        <f t="shared" si="3"/>
        <v>6470</v>
      </c>
      <c r="H12" s="153">
        <f t="shared" si="3"/>
        <v>6470</v>
      </c>
      <c r="I12" s="153">
        <f t="shared" si="3"/>
        <v>6470</v>
      </c>
      <c r="J12" s="153">
        <f t="shared" si="3"/>
        <v>6470</v>
      </c>
      <c r="K12" s="153">
        <f t="shared" si="3"/>
        <v>6470</v>
      </c>
      <c r="L12" s="153">
        <f t="shared" si="3"/>
        <v>6470</v>
      </c>
      <c r="M12" s="153">
        <f t="shared" si="3"/>
        <v>6470</v>
      </c>
      <c r="N12" s="153">
        <f t="shared" si="3"/>
        <v>6470</v>
      </c>
      <c r="O12" s="153">
        <f t="shared" si="3"/>
        <v>6470</v>
      </c>
      <c r="P12" s="153">
        <f t="shared" si="3"/>
        <v>6470</v>
      </c>
      <c r="Q12" s="153">
        <f t="shared" si="3"/>
        <v>6470</v>
      </c>
      <c r="R12" s="153">
        <f t="shared" si="3"/>
        <v>6470</v>
      </c>
      <c r="S12" s="153">
        <f t="shared" si="3"/>
        <v>6470</v>
      </c>
      <c r="T12" s="153">
        <f t="shared" si="3"/>
        <v>6470</v>
      </c>
      <c r="U12" s="153">
        <f t="shared" si="3"/>
        <v>6470</v>
      </c>
      <c r="V12" s="153">
        <f t="shared" si="3"/>
        <v>6470</v>
      </c>
      <c r="W12" s="153">
        <f t="shared" si="3"/>
        <v>6470</v>
      </c>
      <c r="X12" s="150"/>
      <c r="Y12" s="150"/>
    </row>
    <row r="13" spans="1:25" s="149" customFormat="1">
      <c r="A13" s="149" t="s">
        <v>168</v>
      </c>
      <c r="B13" s="151">
        <f t="shared" ref="B13" si="4">B11*1000000000/HeatRate/1000</f>
        <v>0</v>
      </c>
      <c r="C13" s="151">
        <f t="shared" ref="C13:W13" si="5">C11*HeatRate/1000000</f>
        <v>0.53150038561367663</v>
      </c>
      <c r="D13" s="151">
        <f t="shared" si="5"/>
        <v>1.0249163260443401</v>
      </c>
      <c r="E13" s="151">
        <f t="shared" si="5"/>
        <v>1.4829014929457716</v>
      </c>
      <c r="F13" s="151">
        <f t="shared" si="5"/>
        <v>1.907876152542056</v>
      </c>
      <c r="G13" s="151">
        <f t="shared" si="5"/>
        <v>2.302025574806509</v>
      </c>
      <c r="H13" s="151">
        <f t="shared" si="5"/>
        <v>2.6672954289672868</v>
      </c>
      <c r="I13" s="151">
        <f t="shared" si="5"/>
        <v>3.0053858498710109</v>
      </c>
      <c r="J13" s="151">
        <f t="shared" si="5"/>
        <v>3.3177466740018202</v>
      </c>
      <c r="K13" s="151">
        <f t="shared" si="5"/>
        <v>3.6055770367731581</v>
      </c>
      <c r="L13" s="151">
        <f t="shared" si="5"/>
        <v>3.8698328786199889</v>
      </c>
      <c r="M13" s="151">
        <f t="shared" si="5"/>
        <v>4.1112456852347323</v>
      </c>
      <c r="N13" s="151">
        <f t="shared" si="5"/>
        <v>4.330354786085115</v>
      </c>
      <c r="O13" s="151">
        <f t="shared" si="5"/>
        <v>4.2215704211547465</v>
      </c>
      <c r="P13" s="151">
        <f t="shared" si="5"/>
        <v>4.1130378986378702</v>
      </c>
      <c r="Q13" s="151">
        <f t="shared" si="5"/>
        <v>4.0034805038326926</v>
      </c>
      <c r="R13" s="151">
        <f t="shared" si="5"/>
        <v>3.8917777522637715</v>
      </c>
      <c r="S13" s="151">
        <f t="shared" si="5"/>
        <v>3.7770167335822733</v>
      </c>
      <c r="T13" s="151">
        <f t="shared" si="5"/>
        <v>3.658529975836283</v>
      </c>
      <c r="U13" s="151">
        <f t="shared" si="5"/>
        <v>3.5359150223058093</v>
      </c>
      <c r="V13" s="151">
        <f t="shared" si="5"/>
        <v>3.4090340391497942</v>
      </c>
      <c r="W13" s="151">
        <f t="shared" si="5"/>
        <v>3.2779949630623348</v>
      </c>
      <c r="X13" s="150"/>
      <c r="Y13" s="150"/>
    </row>
    <row r="14" spans="1:25" s="149" customFormat="1">
      <c r="X14" s="150"/>
      <c r="Y14" s="150"/>
    </row>
    <row r="16" spans="1:25">
      <c r="B16" s="17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G69"/>
  <sheetViews>
    <sheetView workbookViewId="0">
      <selection activeCell="C12" sqref="C12"/>
    </sheetView>
  </sheetViews>
  <sheetFormatPr defaultColWidth="9.140625" defaultRowHeight="15.75"/>
  <cols>
    <col min="1" max="1" width="35.7109375" style="9" customWidth="1"/>
    <col min="2" max="9" width="11.7109375" style="9" customWidth="1"/>
    <col min="10" max="11" width="11" style="9" bestFit="1" customWidth="1"/>
    <col min="12" max="12" width="12" style="9" bestFit="1" customWidth="1"/>
    <col min="13" max="28" width="11" style="9" bestFit="1" customWidth="1"/>
    <col min="29" max="29" width="14.28515625" style="9" bestFit="1" customWidth="1"/>
    <col min="30" max="31" width="11" style="9" bestFit="1" customWidth="1"/>
    <col min="32" max="16384" width="9.140625" style="9"/>
  </cols>
  <sheetData>
    <row r="1" spans="1:3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33" ht="24" customHeight="1">
      <c r="A3" s="26" t="s">
        <v>51</v>
      </c>
      <c r="AG3" s="12"/>
    </row>
    <row r="4" spans="1:33">
      <c r="A4" s="42"/>
      <c r="B4" s="42">
        <f t="shared" ref="B4:W4" si="0">B16</f>
        <v>2014</v>
      </c>
      <c r="C4" s="42">
        <f t="shared" si="0"/>
        <v>2015</v>
      </c>
      <c r="D4" s="42">
        <f t="shared" si="0"/>
        <v>2016</v>
      </c>
      <c r="E4" s="42">
        <f t="shared" si="0"/>
        <v>2017</v>
      </c>
      <c r="F4" s="42">
        <f t="shared" si="0"/>
        <v>2018</v>
      </c>
      <c r="G4" s="42">
        <f t="shared" si="0"/>
        <v>2019</v>
      </c>
      <c r="H4" s="42">
        <f t="shared" si="0"/>
        <v>2020</v>
      </c>
      <c r="I4" s="42">
        <f t="shared" si="0"/>
        <v>2021</v>
      </c>
      <c r="J4" s="42">
        <f t="shared" si="0"/>
        <v>2022</v>
      </c>
      <c r="K4" s="42">
        <f t="shared" si="0"/>
        <v>2023</v>
      </c>
      <c r="L4" s="42">
        <f t="shared" si="0"/>
        <v>2024</v>
      </c>
      <c r="M4" s="42">
        <f t="shared" si="0"/>
        <v>2025</v>
      </c>
      <c r="N4" s="42">
        <f t="shared" si="0"/>
        <v>2026</v>
      </c>
      <c r="O4" s="42">
        <f t="shared" si="0"/>
        <v>2027</v>
      </c>
      <c r="P4" s="42">
        <f t="shared" si="0"/>
        <v>2028</v>
      </c>
      <c r="Q4" s="42">
        <f t="shared" si="0"/>
        <v>2029</v>
      </c>
      <c r="R4" s="42">
        <f t="shared" si="0"/>
        <v>2030</v>
      </c>
      <c r="S4" s="42">
        <f t="shared" si="0"/>
        <v>2031</v>
      </c>
      <c r="T4" s="42">
        <f t="shared" si="0"/>
        <v>2032</v>
      </c>
      <c r="U4" s="42">
        <f t="shared" si="0"/>
        <v>2033</v>
      </c>
      <c r="V4" s="42">
        <f t="shared" si="0"/>
        <v>2034</v>
      </c>
      <c r="W4" s="42">
        <f t="shared" si="0"/>
        <v>2035</v>
      </c>
      <c r="X4" s="45"/>
    </row>
    <row r="5" spans="1:33">
      <c r="A5" s="75" t="s">
        <v>78</v>
      </c>
      <c r="B5" s="91">
        <f t="shared" ref="B5:W5" si="1">B4</f>
        <v>2014</v>
      </c>
      <c r="C5" s="91">
        <f t="shared" si="1"/>
        <v>2015</v>
      </c>
      <c r="D5" s="91">
        <f t="shared" si="1"/>
        <v>2016</v>
      </c>
      <c r="E5" s="91">
        <f t="shared" si="1"/>
        <v>2017</v>
      </c>
      <c r="F5" s="91">
        <f t="shared" si="1"/>
        <v>2018</v>
      </c>
      <c r="G5" s="91">
        <f t="shared" si="1"/>
        <v>2019</v>
      </c>
      <c r="H5" s="91">
        <f t="shared" si="1"/>
        <v>2020</v>
      </c>
      <c r="I5" s="91">
        <f t="shared" si="1"/>
        <v>2021</v>
      </c>
      <c r="J5" s="91">
        <f t="shared" si="1"/>
        <v>2022</v>
      </c>
      <c r="K5" s="91">
        <f t="shared" si="1"/>
        <v>2023</v>
      </c>
      <c r="L5" s="91">
        <f t="shared" si="1"/>
        <v>2024</v>
      </c>
      <c r="M5" s="91">
        <f t="shared" si="1"/>
        <v>2025</v>
      </c>
      <c r="N5" s="91">
        <f t="shared" si="1"/>
        <v>2026</v>
      </c>
      <c r="O5" s="91">
        <f t="shared" si="1"/>
        <v>2027</v>
      </c>
      <c r="P5" s="91">
        <f t="shared" si="1"/>
        <v>2028</v>
      </c>
      <c r="Q5" s="91">
        <f t="shared" si="1"/>
        <v>2029</v>
      </c>
      <c r="R5" s="91">
        <f t="shared" si="1"/>
        <v>2030</v>
      </c>
      <c r="S5" s="91">
        <f t="shared" si="1"/>
        <v>2031</v>
      </c>
      <c r="T5" s="91">
        <f t="shared" si="1"/>
        <v>2032</v>
      </c>
      <c r="U5" s="91">
        <f t="shared" si="1"/>
        <v>2033</v>
      </c>
      <c r="V5" s="91">
        <f t="shared" si="1"/>
        <v>2034</v>
      </c>
      <c r="W5" s="91">
        <f t="shared" si="1"/>
        <v>2035</v>
      </c>
      <c r="X5" s="45"/>
      <c r="Y5" s="45"/>
    </row>
    <row r="6" spans="1:33">
      <c r="A6" s="51" t="s">
        <v>85</v>
      </c>
      <c r="B6" s="90">
        <f>(B$18*'Device Energy Use'!$E$5+B$19*'Device Energy Use'!$E$6+'Energy Usage'!B$20*'Device Energy Use'!$E$7+'Energy Usage'!B$21*'Device Energy Use'!$E$8+'Energy Usage'!B$22*'Device Energy Use'!$E$9)/1000000</f>
        <v>4.7559453655164754</v>
      </c>
      <c r="C6" s="90">
        <f>(C$18*'Device Energy Use'!$E$5+C$19*'Device Energy Use'!$E$6+'Energy Usage'!C$20*'Device Energy Use'!$E$7+'Energy Usage'!C$21*'Device Energy Use'!$E$8+'Energy Usage'!C$22*'Device Energy Use'!$E$9)/1000000</f>
        <v>4.6965254483725429</v>
      </c>
      <c r="D6" s="90">
        <f>(D$18*'Device Energy Use'!$E$5+D$19*'Device Energy Use'!$E$6+'Energy Usage'!D$20*'Device Energy Use'!$E$7+'Energy Usage'!D$21*'Device Energy Use'!$E$8+'Energy Usage'!D$22*'Device Energy Use'!$E$9)/1000000</f>
        <v>4.6412864586091889</v>
      </c>
      <c r="E6" s="90">
        <f>(E$18*'Device Energy Use'!$E$5+E$19*'Device Energy Use'!$E$6+'Energy Usage'!E$20*'Device Energy Use'!$E$7+'Energy Usage'!E$21*'Device Energy Use'!$E$8+'Energy Usage'!E$22*'Device Energy Use'!$E$9)/1000000</f>
        <v>4.5898946123937927</v>
      </c>
      <c r="F6" s="90">
        <f>(F$18*'Device Energy Use'!$E$5+F$19*'Device Energy Use'!$E$6+'Energy Usage'!F$20*'Device Energy Use'!$E$7+'Energy Usage'!F$21*'Device Energy Use'!$E$8+'Energy Usage'!F$22*'Device Energy Use'!$E$9)/1000000</f>
        <v>4.5420168390590439</v>
      </c>
      <c r="G6" s="90">
        <f>(G$18*'Device Energy Use'!$E$5+G$19*'Device Energy Use'!$E$6+'Energy Usage'!G$20*'Device Energy Use'!$E$7+'Energy Usage'!G$21*'Device Energy Use'!$E$8+'Energy Usage'!G$22*'Device Energy Use'!$E$9)/1000000</f>
        <v>4.4973110992322596</v>
      </c>
      <c r="H6" s="90">
        <f>(H$18*'Device Energy Use'!$E$5+H$19*'Device Energy Use'!$E$6+'Energy Usage'!H$20*'Device Energy Use'!$E$7+'Energy Usage'!H$21*'Device Energy Use'!$E$8+'Energy Usage'!H$22*'Device Energy Use'!$E$9)/1000000</f>
        <v>4.4554157453214529</v>
      </c>
      <c r="I6" s="90">
        <f>(I$18*'Device Energy Use'!$E$5+I$19*'Device Energy Use'!$E$6+'Energy Usage'!I$20*'Device Energy Use'!$E$7+'Energy Usage'!I$21*'Device Energy Use'!$E$8+'Energy Usage'!I$22*'Device Energy Use'!$E$9)/1000000</f>
        <v>4.4159387675905597</v>
      </c>
      <c r="J6" s="90">
        <f>(J$18*'Device Energy Use'!$E$5+J$19*'Device Energy Use'!$E$6+'Energy Usage'!J$20*'Device Energy Use'!$E$7+'Energy Usage'!J$21*'Device Energy Use'!$E$8+'Energy Usage'!J$22*'Device Energy Use'!$E$9)/1000000</f>
        <v>4.3784482016878155</v>
      </c>
      <c r="K6" s="90">
        <f>(K$18*'Device Energy Use'!$E$5+K$19*'Device Energy Use'!$E$6+'Energy Usage'!K$20*'Device Energy Use'!$E$7+'Energy Usage'!K$21*'Device Energy Use'!$E$8+'Energy Usage'!K$22*'Device Energy Use'!$E$9)/1000000</f>
        <v>4.3424653418471815</v>
      </c>
      <c r="L6" s="90">
        <f>(L$18*'Device Energy Use'!$E$5+L$19*'Device Energy Use'!$E$6+'Energy Usage'!L$20*'Device Energy Use'!$E$7+'Energy Usage'!L$21*'Device Energy Use'!$E$8+'Energy Usage'!L$22*'Device Energy Use'!$E$9)/1000000</f>
        <v>4.3074625944532547</v>
      </c>
      <c r="M6" s="90">
        <f>(M$18*'Device Energy Use'!$E$5+M$19*'Device Energy Use'!$E$6+'Energy Usage'!M$20*'Device Energy Use'!$E$7+'Energy Usage'!M$21*'Device Energy Use'!$E$8+'Energy Usage'!M$22*'Device Energy Use'!$E$9)/1000000</f>
        <v>4.2728676920698572</v>
      </c>
      <c r="N6" s="90">
        <f>(N$18*'Device Energy Use'!$E$5+N$19*'Device Energy Use'!$E$6+'Energy Usage'!N$20*'Device Energy Use'!$E$7+'Energy Usage'!N$21*'Device Energy Use'!$E$8+'Energy Usage'!N$22*'Device Energy Use'!$E$9)/1000000</f>
        <v>4.238075462435833</v>
      </c>
      <c r="O6" s="90">
        <f>(O$18*'Device Energy Use'!$E$5+O$19*'Device Energy Use'!$E$6+'Energy Usage'!O$20*'Device Energy Use'!$E$7+'Energy Usage'!O$21*'Device Energy Use'!$E$8+'Energy Usage'!O$22*'Device Energy Use'!$E$9)/1000000</f>
        <v>4.2024673794014129</v>
      </c>
      <c r="P6" s="90">
        <f>(P$18*'Device Energy Use'!$E$5+P$19*'Device Energy Use'!$E$6+'Energy Usage'!P$20*'Device Energy Use'!$E$7+'Energy Usage'!P$21*'Device Energy Use'!$E$8+'Energy Usage'!P$22*'Device Energy Use'!$E$9)/1000000</f>
        <v>4.1654378131753163</v>
      </c>
      <c r="Q6" s="90">
        <f>(Q$18*'Device Energy Use'!$E$5+Q$19*'Device Energy Use'!$E$6+'Energy Usage'!Q$20*'Device Energy Use'!$E$7+'Energy Usage'!Q$21*'Device Energy Use'!$E$8+'Energy Usage'!Q$22*'Device Energy Use'!$E$9)/1000000</f>
        <v>4.1264245002853617</v>
      </c>
      <c r="R6" s="90">
        <f>(R$18*'Device Energy Use'!$E$5+R$19*'Device Energy Use'!$E$6+'Energy Usage'!R$20*'Device Energy Use'!$E$7+'Energy Usage'!R$21*'Device Energy Use'!$E$8+'Energy Usage'!R$22*'Device Energy Use'!$E$9)/1000000</f>
        <v>4.0849396362961823</v>
      </c>
      <c r="S6" s="90">
        <f>(S$18*'Device Energy Use'!$E$5+S$19*'Device Energy Use'!$E$6+'Energy Usage'!S$20*'Device Energy Use'!$E$7+'Energy Usage'!S$21*'Device Energy Use'!$E$8+'Energy Usage'!S$22*'Device Energy Use'!$E$9)/1000000</f>
        <v>4.0405975188097987</v>
      </c>
      <c r="T6" s="90">
        <f>(T$18*'Device Energy Use'!$E$5+T$19*'Device Energy Use'!$E$6+'Energy Usage'!T$20*'Device Energy Use'!$E$7+'Energy Usage'!T$21*'Device Energy Use'!$E$8+'Energy Usage'!T$22*'Device Energy Use'!$E$9)/1000000</f>
        <v>3.9931350414289901</v>
      </c>
      <c r="U6" s="90">
        <f>(U$18*'Device Energy Use'!$E$5+U$19*'Device Energy Use'!$E$6+'Energy Usage'!U$20*'Device Energy Use'!$E$7+'Energy Usage'!U$21*'Device Energy Use'!$E$8+'Energy Usage'!U$22*'Device Energy Use'!$E$9)/1000000</f>
        <v>3.9424225061434712</v>
      </c>
      <c r="V6" s="90">
        <f>(V$18*'Device Energy Use'!$E$5+V$19*'Device Energy Use'!$E$6+'Energy Usage'!V$20*'Device Energy Use'!$E$7+'Energy Usage'!V$21*'Device Energy Use'!$E$8+'Energy Usage'!V$22*'Device Energy Use'!$E$9)/1000000</f>
        <v>3.8884638699383061</v>
      </c>
      <c r="W6" s="90">
        <f>(W$18*'Device Energy Use'!$E$5+W$19*'Device Energy Use'!$E$6+'Energy Usage'!W$20*'Device Energy Use'!$E$7+'Energy Usage'!W$21*'Device Energy Use'!$E$8+'Energy Usage'!W$22*'Device Energy Use'!$E$9)/1000000</f>
        <v>3.8313872240021833</v>
      </c>
      <c r="X6" s="45"/>
    </row>
    <row r="7" spans="1:33">
      <c r="A7" s="53" t="s">
        <v>100</v>
      </c>
      <c r="B7" s="92">
        <f>(B$27*'Device Energy Use'!$E$5+B$28*'Device Energy Use'!$E$6+'Energy Usage'!B$29*'Device Energy Use'!$E$7+'Energy Usage'!B$30*'Device Energy Use'!$E$8+'Energy Usage'!B$31*'Device Energy Use'!$E$9)/1000000</f>
        <v>4.7559453655164754</v>
      </c>
      <c r="C7" s="92">
        <f>(C$27*'Device Energy Use'!$E$5+C$28*'Device Energy Use'!$E$6+'Energy Usage'!C$29*'Device Energy Use'!$E$7+'Energy Usage'!C$30*'Device Energy Use'!$E$8+'Energy Usage'!C$31*'Device Energy Use'!$E$9)/1000000</f>
        <v>4.4162349822652995</v>
      </c>
      <c r="D7" s="92">
        <f>(D$27*'Device Energy Use'!$E$5+D$28*'Device Energy Use'!$E$6+'Energy Usage'!D$29*'Device Energy Use'!$E$7+'Energy Usage'!D$30*'Device Energy Use'!$E$8+'Energy Usage'!D$31*'Device Energy Use'!$E$9)/1000000</f>
        <v>4.1007896263892061</v>
      </c>
      <c r="E7" s="92">
        <f>(E$27*'Device Energy Use'!$E$5+E$28*'Device Energy Use'!$E$6+'Energy Usage'!E$29*'Device Energy Use'!$E$7+'Energy Usage'!E$30*'Device Energy Use'!$E$8+'Energy Usage'!E$31*'Device Energy Use'!$E$9)/1000000</f>
        <v>3.80787608164712</v>
      </c>
      <c r="F7" s="92">
        <f>(F$27*'Device Energy Use'!$E$5+F$28*'Device Energy Use'!$E$6+'Energy Usage'!F$29*'Device Energy Use'!$E$7+'Energy Usage'!F$30*'Device Energy Use'!$E$8+'Energy Usage'!F$31*'Device Energy Use'!$E$9)/1000000</f>
        <v>3.53588493295804</v>
      </c>
      <c r="G7" s="92">
        <f>(G$27*'Device Energy Use'!$E$5+G$28*'Device Energy Use'!$E$6+'Energy Usage'!G$29*'Device Energy Use'!$E$7+'Energy Usage'!G$30*'Device Energy Use'!$E$8+'Energy Usage'!G$31*'Device Energy Use'!$E$9)/1000000</f>
        <v>3.2833217234610372</v>
      </c>
      <c r="H7" s="92">
        <f>(H$27*'Device Energy Use'!$E$5+H$28*'Device Energy Use'!$E$6+'Energy Usage'!H$29*'Device Energy Use'!$E$7+'Energy Usage'!H$30*'Device Energy Use'!$E$8+'Energy Usage'!H$31*'Device Energy Use'!$E$9)/1000000</f>
        <v>3.0487987432138204</v>
      </c>
      <c r="I7" s="92">
        <f>(I$27*'Device Energy Use'!$E$5+I$28*'Device Energy Use'!$E$6+'Energy Usage'!I$29*'Device Energy Use'!$E$7+'Energy Usage'!I$30*'Device Energy Use'!$E$8+'Energy Usage'!I$31*'Device Energy Use'!$E$9)/1000000</f>
        <v>2.8310274044128332</v>
      </c>
      <c r="J7" s="92">
        <f>(J$27*'Device Energy Use'!$E$5+J$28*'Device Energy Use'!$E$6+'Energy Usage'!J$29*'Device Energy Use'!$E$7+'Energy Usage'!J$30*'Device Energy Use'!$E$8+'Energy Usage'!J$31*'Device Energy Use'!$E$9)/1000000</f>
        <v>2.6288111612404879</v>
      </c>
      <c r="K7" s="92">
        <f>(K$27*'Device Energy Use'!$E$5+K$28*'Device Energy Use'!$E$6+'Energy Usage'!K$29*'Device Energy Use'!$E$7+'Energy Usage'!K$30*'Device Energy Use'!$E$8+'Energy Usage'!K$31*'Device Energy Use'!$E$9)/1000000</f>
        <v>2.4410389354375961</v>
      </c>
      <c r="L7" s="92">
        <f>(L$27*'Device Energy Use'!$E$5+L$28*'Device Energy Use'!$E$6+'Energy Usage'!L$29*'Device Energy Use'!$E$7+'Energy Usage'!L$30*'Device Energy Use'!$E$8+'Energy Usage'!L$31*'Device Energy Use'!$E$9)/1000000</f>
        <v>2.2666790114777675</v>
      </c>
      <c r="M7" s="92">
        <f>(M$27*'Device Energy Use'!$E$5+M$28*'Device Energy Use'!$E$6+'Energy Usage'!M$29*'Device Energy Use'!$E$7+'Energy Usage'!M$30*'Device Energy Use'!$E$8+'Energy Usage'!M$31*'Device Energy Use'!$E$9)/1000000</f>
        <v>2.1047733678007838</v>
      </c>
      <c r="N7" s="92">
        <f>(N$27*'Device Energy Use'!$E$5+N$28*'Device Energy Use'!$E$6+'Energy Usage'!N$29*'Device Energy Use'!$E$7+'Energy Usage'!N$30*'Device Energy Use'!$E$8+'Energy Usage'!N$31*'Device Energy Use'!$E$9)/1000000</f>
        <v>1.954432412957871</v>
      </c>
      <c r="O7" s="92">
        <f>(O$27*'Device Energy Use'!$E$5+O$28*'Device Energy Use'!$E$6+'Energy Usage'!O$29*'Device Energy Use'!$E$7+'Energy Usage'!O$30*'Device Energy Use'!$E$8+'Energy Usage'!O$31*'Device Energy Use'!$E$9)/1000000</f>
        <v>1.9761925297909035</v>
      </c>
      <c r="P7" s="92">
        <f>(P$27*'Device Energy Use'!$E$5+P$28*'Device Energy Use'!$E$6+'Energy Usage'!P$29*'Device Energy Use'!$E$7+'Energy Usage'!P$30*'Device Energy Use'!$E$8+'Energy Usage'!P$31*'Device Energy Use'!$E$9)/1000000</f>
        <v>1.9963983525644333</v>
      </c>
      <c r="Q7" s="92">
        <f>(Q$27*'Device Energy Use'!$E$5+Q$28*'Device Energy Use'!$E$6+'Energy Usage'!Q$29*'Device Energy Use'!$E$7+'Energy Usage'!Q$30*'Device Energy Use'!$E$8+'Energy Usage'!Q$31*'Device Energy Use'!$E$9)/1000000</f>
        <v>2.0151609022827115</v>
      </c>
      <c r="R7" s="92">
        <f>(R$27*'Device Energy Use'!$E$5+R$28*'Device Energy Use'!$E$6+'Energy Usage'!R$29*'Device Energy Use'!$E$7+'Energy Usage'!R$30*'Device Energy Use'!$E$8+'Energy Usage'!R$31*'Device Energy Use'!$E$9)/1000000</f>
        <v>2.0325832698782551</v>
      </c>
      <c r="S7" s="92">
        <f>(S$27*'Device Energy Use'!$E$5+S$28*'Device Energy Use'!$E$6+'Energy Usage'!S$29*'Device Energy Use'!$E$7+'Energy Usage'!S$30*'Device Energy Use'!$E$8+'Energy Usage'!S$31*'Device Energy Use'!$E$9)/1000000</f>
        <v>2.0487611826455461</v>
      </c>
      <c r="T7" s="92">
        <f>(T$27*'Device Energy Use'!$E$5+T$28*'Device Energy Use'!$E$6+'Energy Usage'!T$29*'Device Energy Use'!$E$7+'Energy Usage'!T$30*'Device Energy Use'!$E$8+'Energy Usage'!T$31*'Device Energy Use'!$E$9)/1000000</f>
        <v>2.063783530215173</v>
      </c>
      <c r="U7" s="92">
        <f>(U$27*'Device Energy Use'!$E$5+U$28*'Device Energy Use'!$E$6+'Energy Usage'!U$29*'Device Energy Use'!$E$7+'Energy Usage'!U$30*'Device Energy Use'!$E$8+'Energy Usage'!U$31*'Device Energy Use'!$E$9)/1000000</f>
        <v>2.0777328529583983</v>
      </c>
      <c r="V7" s="92">
        <f>(V$27*'Device Energy Use'!$E$5+V$28*'Device Energy Use'!$E$6+'Energy Usage'!V$29*'Device Energy Use'!$E$7+'Energy Usage'!V$30*'Device Energy Use'!$E$8+'Energy Usage'!V$31*'Device Energy Use'!$E$9)/1000000</f>
        <v>2.0906857955056788</v>
      </c>
      <c r="W7" s="92">
        <f>(W$27*'Device Energy Use'!$E$5+W$28*'Device Energy Use'!$E$6+'Energy Usage'!W$29*'Device Energy Use'!$E$7+'Energy Usage'!W$30*'Device Energy Use'!$E$8+'Energy Usage'!W$31*'Device Energy Use'!$E$9)/1000000</f>
        <v>2.102713527871011</v>
      </c>
      <c r="X7" s="45"/>
    </row>
    <row r="8" spans="1:33">
      <c r="A8" s="35" t="s">
        <v>80</v>
      </c>
      <c r="B8" s="90">
        <f t="shared" ref="B8:W8" si="2">B7-B6</f>
        <v>0</v>
      </c>
      <c r="C8" s="90">
        <f t="shared" si="2"/>
        <v>-0.2802904661072434</v>
      </c>
      <c r="D8" s="90">
        <f t="shared" si="2"/>
        <v>-0.54049683221998279</v>
      </c>
      <c r="E8" s="90">
        <f t="shared" si="2"/>
        <v>-0.78201853074667271</v>
      </c>
      <c r="F8" s="90">
        <f t="shared" si="2"/>
        <v>-1.0061319061010039</v>
      </c>
      <c r="G8" s="90">
        <f t="shared" si="2"/>
        <v>-1.2139893757712223</v>
      </c>
      <c r="H8" s="90">
        <f t="shared" si="2"/>
        <v>-1.4066170021076325</v>
      </c>
      <c r="I8" s="90">
        <f t="shared" si="2"/>
        <v>-1.5849113631777265</v>
      </c>
      <c r="J8" s="90">
        <f t="shared" si="2"/>
        <v>-1.7496370404473276</v>
      </c>
      <c r="K8" s="90">
        <f t="shared" si="2"/>
        <v>-1.9014264064095854</v>
      </c>
      <c r="L8" s="90">
        <f t="shared" si="2"/>
        <v>-2.0407835829754872</v>
      </c>
      <c r="M8" s="90">
        <f t="shared" si="2"/>
        <v>-2.1680943242690733</v>
      </c>
      <c r="N8" s="90">
        <f t="shared" si="2"/>
        <v>-2.2836430494779618</v>
      </c>
      <c r="O8" s="90">
        <f t="shared" si="2"/>
        <v>-2.2262748496105091</v>
      </c>
      <c r="P8" s="90">
        <f t="shared" si="2"/>
        <v>-2.1690394606108829</v>
      </c>
      <c r="Q8" s="90">
        <f t="shared" si="2"/>
        <v>-2.1112635980026502</v>
      </c>
      <c r="R8" s="90">
        <f t="shared" si="2"/>
        <v>-2.0523563664179272</v>
      </c>
      <c r="S8" s="90">
        <f t="shared" si="2"/>
        <v>-1.9918363361642526</v>
      </c>
      <c r="T8" s="90">
        <f t="shared" si="2"/>
        <v>-1.9293515112138171</v>
      </c>
      <c r="U8" s="90">
        <f t="shared" si="2"/>
        <v>-1.864689653185073</v>
      </c>
      <c r="V8" s="90">
        <f t="shared" si="2"/>
        <v>-1.7977780744326273</v>
      </c>
      <c r="W8" s="90">
        <f t="shared" si="2"/>
        <v>-1.7286736961311724</v>
      </c>
      <c r="X8" s="45"/>
    </row>
    <row r="9" spans="1:33">
      <c r="A9" s="5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5"/>
    </row>
    <row r="10" spans="1:33">
      <c r="A10" s="75" t="s">
        <v>79</v>
      </c>
      <c r="B10" s="45">
        <f t="shared" ref="B10:W10" si="3">B4</f>
        <v>2014</v>
      </c>
      <c r="C10" s="45">
        <f t="shared" si="3"/>
        <v>2015</v>
      </c>
      <c r="D10" s="45">
        <f t="shared" si="3"/>
        <v>2016</v>
      </c>
      <c r="E10" s="45">
        <f t="shared" si="3"/>
        <v>2017</v>
      </c>
      <c r="F10" s="45">
        <f t="shared" si="3"/>
        <v>2018</v>
      </c>
      <c r="G10" s="45">
        <f t="shared" si="3"/>
        <v>2019</v>
      </c>
      <c r="H10" s="45">
        <f t="shared" si="3"/>
        <v>2020</v>
      </c>
      <c r="I10" s="45">
        <f t="shared" si="3"/>
        <v>2021</v>
      </c>
      <c r="J10" s="45">
        <f t="shared" si="3"/>
        <v>2022</v>
      </c>
      <c r="K10" s="45">
        <f t="shared" si="3"/>
        <v>2023</v>
      </c>
      <c r="L10" s="45">
        <f t="shared" si="3"/>
        <v>2024</v>
      </c>
      <c r="M10" s="45">
        <f t="shared" si="3"/>
        <v>2025</v>
      </c>
      <c r="N10" s="45">
        <f t="shared" si="3"/>
        <v>2026</v>
      </c>
      <c r="O10" s="45">
        <f t="shared" si="3"/>
        <v>2027</v>
      </c>
      <c r="P10" s="45">
        <f t="shared" si="3"/>
        <v>2028</v>
      </c>
      <c r="Q10" s="45">
        <f t="shared" si="3"/>
        <v>2029</v>
      </c>
      <c r="R10" s="45">
        <f t="shared" si="3"/>
        <v>2030</v>
      </c>
      <c r="S10" s="45">
        <f t="shared" si="3"/>
        <v>2031</v>
      </c>
      <c r="T10" s="45">
        <f t="shared" si="3"/>
        <v>2032</v>
      </c>
      <c r="U10" s="45">
        <f t="shared" si="3"/>
        <v>2033</v>
      </c>
      <c r="V10" s="45">
        <f t="shared" si="3"/>
        <v>2034</v>
      </c>
      <c r="W10" s="45">
        <f t="shared" si="3"/>
        <v>2035</v>
      </c>
      <c r="X10" s="45"/>
    </row>
    <row r="11" spans="1:33">
      <c r="A11" s="51" t="s">
        <v>86</v>
      </c>
      <c r="B11" s="90">
        <f t="shared" ref="B11:W11" si="4">B54/1000000</f>
        <v>0</v>
      </c>
      <c r="C11" s="90">
        <f t="shared" si="4"/>
        <v>8.9974801176860686E-2</v>
      </c>
      <c r="D11" s="90">
        <f t="shared" si="4"/>
        <v>0.17356330634725517</v>
      </c>
      <c r="E11" s="90">
        <f t="shared" si="4"/>
        <v>0.2512302235782366</v>
      </c>
      <c r="F11" s="90">
        <f t="shared" si="4"/>
        <v>0.32341466967377436</v>
      </c>
      <c r="G11" s="90">
        <f t="shared" si="4"/>
        <v>0.3905352057586331</v>
      </c>
      <c r="H11" s="90">
        <f t="shared" si="4"/>
        <v>0.45299509089845502</v>
      </c>
      <c r="I11" s="90">
        <f t="shared" si="4"/>
        <v>0.51118749400991015</v>
      </c>
      <c r="J11" s="90">
        <f t="shared" si="4"/>
        <v>0.56550025724256747</v>
      </c>
      <c r="K11" s="90">
        <f t="shared" si="4"/>
        <v>0.61631967499046747</v>
      </c>
      <c r="L11" s="90">
        <f t="shared" si="4"/>
        <v>0.66403267946018041</v>
      </c>
      <c r="M11" s="90">
        <f t="shared" si="4"/>
        <v>0.70902684949700956</v>
      </c>
      <c r="N11" s="90">
        <f t="shared" si="4"/>
        <v>0.75168782150063118</v>
      </c>
      <c r="O11" s="90">
        <f t="shared" si="4"/>
        <v>0.79239399323900572</v>
      </c>
      <c r="P11" s="90">
        <f t="shared" si="4"/>
        <v>0.83150884360960808</v>
      </c>
      <c r="Q11" s="90">
        <f t="shared" si="4"/>
        <v>0.8693716619615719</v>
      </c>
      <c r="R11" s="90">
        <f t="shared" si="4"/>
        <v>0.90628786787741811</v>
      </c>
      <c r="S11" s="90">
        <f t="shared" si="4"/>
        <v>0.94252028306184266</v>
      </c>
      <c r="T11" s="90">
        <f t="shared" si="4"/>
        <v>0.9782826168186024</v>
      </c>
      <c r="U11" s="90">
        <f t="shared" si="4"/>
        <v>1.0137360572887186</v>
      </c>
      <c r="V11" s="90">
        <f t="shared" si="4"/>
        <v>1.0489893209960037</v>
      </c>
      <c r="W11" s="90">
        <f t="shared" si="4"/>
        <v>1.0841019505286751</v>
      </c>
      <c r="X11" s="45"/>
    </row>
    <row r="12" spans="1:33">
      <c r="A12" s="53" t="s">
        <v>102</v>
      </c>
      <c r="B12" s="92">
        <f t="shared" ref="B12:W12" si="5">B63/1000000</f>
        <v>0</v>
      </c>
      <c r="C12" s="92">
        <f t="shared" si="5"/>
        <v>0.51471270189572227</v>
      </c>
      <c r="D12" s="92">
        <f t="shared" si="5"/>
        <v>0.99266021079889299</v>
      </c>
      <c r="E12" s="92">
        <f t="shared" si="5"/>
        <v>1.4364686119232657</v>
      </c>
      <c r="F12" s="92">
        <f t="shared" si="5"/>
        <v>1.8485764129673263</v>
      </c>
      <c r="G12" s="92">
        <f t="shared" si="5"/>
        <v>2.2312479425082397</v>
      </c>
      <c r="H12" s="92">
        <f t="shared" si="5"/>
        <v>2.5865857913676589</v>
      </c>
      <c r="I12" s="92">
        <f t="shared" si="5"/>
        <v>2.9165423653085489</v>
      </c>
      <c r="J12" s="92">
        <f t="shared" si="5"/>
        <v>3.2229306125393751</v>
      </c>
      <c r="K12" s="92">
        <f t="shared" si="5"/>
        <v>3.5074339849679994</v>
      </c>
      <c r="L12" s="92">
        <f t="shared" si="5"/>
        <v>3.7716156879374361</v>
      </c>
      <c r="M12" s="92">
        <f t="shared" si="5"/>
        <v>4.0169272692661995</v>
      </c>
      <c r="N12" s="92">
        <f t="shared" si="5"/>
        <v>4.244716594785765</v>
      </c>
      <c r="O12" s="92">
        <f t="shared" si="5"/>
        <v>3.9415225523010671</v>
      </c>
      <c r="P12" s="92">
        <f t="shared" si="5"/>
        <v>3.6599852271367048</v>
      </c>
      <c r="Q12" s="92">
        <f t="shared" si="5"/>
        <v>3.3985577109126544</v>
      </c>
      <c r="R12" s="92">
        <f t="shared" si="5"/>
        <v>3.1558035887046074</v>
      </c>
      <c r="S12" s="92">
        <f t="shared" si="5"/>
        <v>2.9303890466542786</v>
      </c>
      <c r="T12" s="92">
        <f t="shared" si="5"/>
        <v>2.7210755433218297</v>
      </c>
      <c r="U12" s="92">
        <f t="shared" si="5"/>
        <v>2.5267130045131276</v>
      </c>
      <c r="V12" s="92">
        <f t="shared" si="5"/>
        <v>2.3462335041907614</v>
      </c>
      <c r="W12" s="92">
        <f t="shared" si="5"/>
        <v>2.1786453967485642</v>
      </c>
      <c r="X12" s="45"/>
    </row>
    <row r="13" spans="1:33">
      <c r="A13" s="35" t="s">
        <v>80</v>
      </c>
      <c r="B13" s="90">
        <f t="shared" ref="B13:W13" si="6">B12-B11</f>
        <v>0</v>
      </c>
      <c r="C13" s="90">
        <f t="shared" si="6"/>
        <v>0.42473790071886158</v>
      </c>
      <c r="D13" s="90">
        <f t="shared" si="6"/>
        <v>0.81909690445163785</v>
      </c>
      <c r="E13" s="90">
        <f t="shared" si="6"/>
        <v>1.185238388345029</v>
      </c>
      <c r="F13" s="90">
        <f t="shared" si="6"/>
        <v>1.525161743293552</v>
      </c>
      <c r="G13" s="90">
        <f t="shared" si="6"/>
        <v>1.8407127367496066</v>
      </c>
      <c r="H13" s="90">
        <f t="shared" si="6"/>
        <v>2.1335907004692038</v>
      </c>
      <c r="I13" s="90">
        <f t="shared" si="6"/>
        <v>2.4053548712986386</v>
      </c>
      <c r="J13" s="90">
        <f t="shared" si="6"/>
        <v>2.6574303552968077</v>
      </c>
      <c r="K13" s="90">
        <f t="shared" si="6"/>
        <v>2.891114309977532</v>
      </c>
      <c r="L13" s="90">
        <f t="shared" si="6"/>
        <v>3.1075830084772558</v>
      </c>
      <c r="M13" s="90">
        <f t="shared" si="6"/>
        <v>3.3079004197691901</v>
      </c>
      <c r="N13" s="90">
        <f t="shared" si="6"/>
        <v>3.4930287732851339</v>
      </c>
      <c r="O13" s="90">
        <f t="shared" si="6"/>
        <v>3.1491285590620612</v>
      </c>
      <c r="P13" s="90">
        <f t="shared" si="6"/>
        <v>2.8284763835270965</v>
      </c>
      <c r="Q13" s="90">
        <f t="shared" si="6"/>
        <v>2.5291860489510825</v>
      </c>
      <c r="R13" s="90">
        <f t="shared" si="6"/>
        <v>2.2495157208271892</v>
      </c>
      <c r="S13" s="90">
        <f t="shared" si="6"/>
        <v>1.9878687635924359</v>
      </c>
      <c r="T13" s="90">
        <f t="shared" si="6"/>
        <v>1.7427929265032271</v>
      </c>
      <c r="U13" s="90">
        <f t="shared" si="6"/>
        <v>1.512976947224409</v>
      </c>
      <c r="V13" s="90">
        <f t="shared" si="6"/>
        <v>1.2972441831947576</v>
      </c>
      <c r="W13" s="90">
        <f t="shared" si="6"/>
        <v>1.0945434462198891</v>
      </c>
      <c r="X13" s="45"/>
    </row>
    <row r="14" spans="1:33">
      <c r="A14" s="52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33">
      <c r="A15" s="12" t="s">
        <v>47</v>
      </c>
    </row>
    <row r="16" spans="1:33">
      <c r="A16" s="39" t="str">
        <f>'Device Energy Use'!A4</f>
        <v>Water Heat Ending</v>
      </c>
      <c r="B16" s="42">
        <f>'Water Heater Stock'!B4</f>
        <v>2014</v>
      </c>
      <c r="C16" s="42">
        <f>'Water Heater Stock'!C4</f>
        <v>2015</v>
      </c>
      <c r="D16" s="42">
        <f>'Water Heater Stock'!D4</f>
        <v>2016</v>
      </c>
      <c r="E16" s="42">
        <f>'Water Heater Stock'!E4</f>
        <v>2017</v>
      </c>
      <c r="F16" s="42">
        <f>'Water Heater Stock'!F4</f>
        <v>2018</v>
      </c>
      <c r="G16" s="42">
        <f>'Water Heater Stock'!G4</f>
        <v>2019</v>
      </c>
      <c r="H16" s="42">
        <f>'Water Heater Stock'!H4</f>
        <v>2020</v>
      </c>
      <c r="I16" s="42">
        <f>'Water Heater Stock'!I4</f>
        <v>2021</v>
      </c>
      <c r="J16" s="42">
        <f>'Water Heater Stock'!J4</f>
        <v>2022</v>
      </c>
      <c r="K16" s="42">
        <f>'Water Heater Stock'!K4</f>
        <v>2023</v>
      </c>
      <c r="L16" s="42">
        <f>'Water Heater Stock'!L4</f>
        <v>2024</v>
      </c>
      <c r="M16" s="42">
        <f>'Water Heater Stock'!M4</f>
        <v>2025</v>
      </c>
      <c r="N16" s="42">
        <f>'Water Heater Stock'!N4</f>
        <v>2026</v>
      </c>
      <c r="O16" s="42">
        <f>'Water Heater Stock'!O4</f>
        <v>2027</v>
      </c>
      <c r="P16" s="42">
        <f>'Water Heater Stock'!P4</f>
        <v>2028</v>
      </c>
      <c r="Q16" s="42">
        <f>'Water Heater Stock'!Q4</f>
        <v>2029</v>
      </c>
      <c r="R16" s="42">
        <f>'Water Heater Stock'!R4</f>
        <v>2030</v>
      </c>
      <c r="S16" s="42">
        <f>'Water Heater Stock'!S4</f>
        <v>2031</v>
      </c>
      <c r="T16" s="42">
        <f>'Water Heater Stock'!T4</f>
        <v>2032</v>
      </c>
      <c r="U16" s="42">
        <f>'Water Heater Stock'!U4</f>
        <v>2033</v>
      </c>
      <c r="V16" s="42">
        <f>'Water Heater Stock'!V4</f>
        <v>2034</v>
      </c>
      <c r="W16" s="42">
        <f>'Water Heater Stock'!W4</f>
        <v>2035</v>
      </c>
    </row>
    <row r="17" spans="1:23" ht="16.5" thickBot="1">
      <c r="A17" s="49" t="s">
        <v>48</v>
      </c>
      <c r="B17" s="50">
        <f t="shared" ref="B17:W17" si="7">SUM(B18:B22)</f>
        <v>4755945.3655164754</v>
      </c>
      <c r="C17" s="50">
        <f t="shared" si="7"/>
        <v>4786500.2495494038</v>
      </c>
      <c r="D17" s="50">
        <f t="shared" si="7"/>
        <v>4814849.7649564445</v>
      </c>
      <c r="E17" s="50">
        <f t="shared" si="7"/>
        <v>4841124.8359720297</v>
      </c>
      <c r="F17" s="50">
        <f t="shared" si="7"/>
        <v>4865431.5087328181</v>
      </c>
      <c r="G17" s="50">
        <f t="shared" si="7"/>
        <v>4887846.3049908923</v>
      </c>
      <c r="H17" s="50">
        <f t="shared" si="7"/>
        <v>4908410.8362199077</v>
      </c>
      <c r="I17" s="50">
        <f t="shared" si="7"/>
        <v>4927126.2616004692</v>
      </c>
      <c r="J17" s="50">
        <f t="shared" si="7"/>
        <v>4943948.4589303825</v>
      </c>
      <c r="K17" s="50">
        <f t="shared" si="7"/>
        <v>4958785.016837649</v>
      </c>
      <c r="L17" s="50">
        <f t="shared" si="7"/>
        <v>4971495.2739134356</v>
      </c>
      <c r="M17" s="50">
        <f t="shared" si="7"/>
        <v>4981894.5415668674</v>
      </c>
      <c r="N17" s="50">
        <f t="shared" si="7"/>
        <v>4989763.2839364642</v>
      </c>
      <c r="O17" s="50">
        <f t="shared" si="7"/>
        <v>4994861.3726404188</v>
      </c>
      <c r="P17" s="50">
        <f t="shared" si="7"/>
        <v>4996946.6567849237</v>
      </c>
      <c r="Q17" s="50">
        <f t="shared" si="7"/>
        <v>4995796.1622469351</v>
      </c>
      <c r="R17" s="50">
        <f t="shared" si="7"/>
        <v>4991227.5041735992</v>
      </c>
      <c r="S17" s="50">
        <f t="shared" si="7"/>
        <v>4983117.8018716415</v>
      </c>
      <c r="T17" s="50">
        <f t="shared" si="7"/>
        <v>4971417.6582475919</v>
      </c>
      <c r="U17" s="50">
        <f t="shared" si="7"/>
        <v>4956158.5634321906</v>
      </c>
      <c r="V17" s="50">
        <f t="shared" si="7"/>
        <v>4937453.1909343107</v>
      </c>
      <c r="W17" s="50">
        <f t="shared" si="7"/>
        <v>4915489.1745308591</v>
      </c>
    </row>
    <row r="18" spans="1:23" ht="16.5" thickTop="1">
      <c r="A18" s="9" t="str">
        <f>'Device Energy Use'!A5</f>
        <v>Electric Resistance</v>
      </c>
      <c r="B18" s="34">
        <f>'Water Heater Stock'!B6*'Device Energy Use'!$D5</f>
        <v>4755945.3655164754</v>
      </c>
      <c r="C18" s="34">
        <f>'Water Heater Stock'!C6*'Device Energy Use'!$D5</f>
        <v>4696507.9210932599</v>
      </c>
      <c r="D18" s="34">
        <f>'Water Heater Stock'!D6*'Device Energy Use'!$D5</f>
        <v>4641235.122118365</v>
      </c>
      <c r="E18" s="34">
        <f>'Water Heater Stock'!E6*'Device Energy Use'!$D5</f>
        <v>4589780.2629926503</v>
      </c>
      <c r="F18" s="34">
        <f>'Water Heater Stock'!F6*'Device Energy Use'!$D5</f>
        <v>4541789.6591430288</v>
      </c>
      <c r="G18" s="34">
        <f>'Water Heater Stock'!G6*'Device Energy Use'!$D5</f>
        <v>4496889.9608916771</v>
      </c>
      <c r="H18" s="34">
        <f>'Water Heater Stock'!H6*'Device Energy Use'!$D5</f>
        <v>4454674.1368788546</v>
      </c>
      <c r="I18" s="34">
        <f>'Water Heater Stock'!I6*'Device Energy Use'!$D5</f>
        <v>4414687.2925660899</v>
      </c>
      <c r="J18" s="34">
        <f>'Water Heater Stock'!J6*'Device Energy Use'!$D5</f>
        <v>4376414.079390361</v>
      </c>
      <c r="K18" s="34">
        <f>'Water Heater Stock'!K6*'Device Energy Use'!$D5</f>
        <v>4339269.9497696925</v>
      </c>
      <c r="L18" s="34">
        <f>'Water Heater Stock'!L6*'Device Energy Use'!$D5</f>
        <v>4302598.7668920523</v>
      </c>
      <c r="M18" s="34">
        <f>'Water Heater Stock'!M6*'Device Energy Use'!$D5</f>
        <v>4265679.1126883309</v>
      </c>
      <c r="N18" s="34">
        <f>'Water Heater Stock'!N6*'Device Energy Use'!$D5</f>
        <v>4227740.9091323698</v>
      </c>
      <c r="O18" s="34">
        <f>'Water Heater Stock'!O6*'Device Energy Use'!$D5</f>
        <v>4187992.6369979922</v>
      </c>
      <c r="P18" s="34">
        <f>'Water Heater Stock'!P6*'Device Energy Use'!$D5</f>
        <v>4145657.6416837396</v>
      </c>
      <c r="Q18" s="34">
        <f>'Water Heater Stock'!Q6*'Device Energy Use'!$D5</f>
        <v>4100016.1082436503</v>
      </c>
      <c r="R18" s="34">
        <f>'Water Heater Stock'!R6*'Device Energy Use'!$D5</f>
        <v>4050447.7698696889</v>
      </c>
      <c r="S18" s="34">
        <f>'Water Heater Stock'!S6*'Device Energy Use'!$D5</f>
        <v>3996469.7795095481</v>
      </c>
      <c r="T18" s="34">
        <f>'Water Heater Stock'!T6*'Device Energy Use'!$D5</f>
        <v>3937764.7021533609</v>
      </c>
      <c r="U18" s="34">
        <f>'Water Heater Stock'!U6*'Device Energy Use'!$D5</f>
        <v>3874195.1956039518</v>
      </c>
      <c r="V18" s="34">
        <f>'Water Heater Stock'!V6*'Device Energy Use'!$D5</f>
        <v>3805804.2096442729</v>
      </c>
      <c r="W18" s="34">
        <f>'Water Heater Stock'!W6*'Device Energy Use'!$D5</f>
        <v>3732801.8341506766</v>
      </c>
    </row>
    <row r="19" spans="1:23">
      <c r="A19" s="9" t="str">
        <f>'Device Energy Use'!A6</f>
        <v>HPWH</v>
      </c>
      <c r="B19" s="34">
        <f>'Water Heater Stock'!B7*'Device Energy Use'!$D6</f>
        <v>0</v>
      </c>
      <c r="C19" s="34">
        <f>'Water Heater Stock'!C7*'Device Energy Use'!$D6</f>
        <v>17.52727928284714</v>
      </c>
      <c r="D19" s="34">
        <f>'Water Heater Stock'!D7*'Device Energy Use'!$D6</f>
        <v>51.336490823979503</v>
      </c>
      <c r="E19" s="34">
        <f>'Water Heater Stock'!E7*'Device Energy Use'!$D6</f>
        <v>114.34940114237922</v>
      </c>
      <c r="F19" s="34">
        <f>'Water Heater Stock'!F7*'Device Energy Use'!$D6</f>
        <v>227.17991601506213</v>
      </c>
      <c r="G19" s="34">
        <f>'Water Heater Stock'!G7*'Device Energy Use'!$D6</f>
        <v>421.13834058167896</v>
      </c>
      <c r="H19" s="34">
        <f>'Water Heater Stock'!H7*'Device Energy Use'!$D6</f>
        <v>741.60844259772136</v>
      </c>
      <c r="I19" s="34">
        <f>'Water Heater Stock'!I7*'Device Energy Use'!$D6</f>
        <v>1251.4750244699676</v>
      </c>
      <c r="J19" s="34">
        <f>'Water Heater Stock'!J7*'Device Energy Use'!$D6</f>
        <v>2034.1222974544123</v>
      </c>
      <c r="K19" s="34">
        <f>'Water Heater Stock'!K7*'Device Energy Use'!$D6</f>
        <v>3195.3920774884532</v>
      </c>
      <c r="L19" s="34">
        <f>'Water Heater Stock'!L7*'Device Energy Use'!$D6</f>
        <v>4863.8275612020234</v>
      </c>
      <c r="M19" s="34">
        <f>'Water Heater Stock'!M7*'Device Energy Use'!$D6</f>
        <v>7188.5793815262041</v>
      </c>
      <c r="N19" s="34">
        <f>'Water Heater Stock'!N7*'Device Energy Use'!$D6</f>
        <v>10334.553303463532</v>
      </c>
      <c r="O19" s="34">
        <f>'Water Heater Stock'!O7*'Device Energy Use'!$D6</f>
        <v>14474.742403420754</v>
      </c>
      <c r="P19" s="34">
        <f>'Water Heater Stock'!P7*'Device Energy Use'!$D6</f>
        <v>19780.171491576348</v>
      </c>
      <c r="Q19" s="34">
        <f>'Water Heater Stock'!Q7*'Device Energy Use'!$D6</f>
        <v>26408.392041711635</v>
      </c>
      <c r="R19" s="34">
        <f>'Water Heater Stock'!R7*'Device Energy Use'!$D6</f>
        <v>34491.866426492837</v>
      </c>
      <c r="S19" s="34">
        <f>'Water Heater Stock'!S7*'Device Energy Use'!$D6</f>
        <v>44127.739300251116</v>
      </c>
      <c r="T19" s="34">
        <f>'Water Heater Stock'!T7*'Device Energy Use'!$D6</f>
        <v>55370.339275629434</v>
      </c>
      <c r="U19" s="34">
        <f>'Water Heater Stock'!U7*'Device Energy Use'!$D6</f>
        <v>68227.310539519443</v>
      </c>
      <c r="V19" s="34">
        <f>'Water Heater Stock'!V7*'Device Energy Use'!$D6</f>
        <v>82659.660294033049</v>
      </c>
      <c r="W19" s="34">
        <f>'Water Heater Stock'!W7*'Device Energy Use'!$D6</f>
        <v>98585.389851506668</v>
      </c>
    </row>
    <row r="20" spans="1:23">
      <c r="A20" s="9" t="str">
        <f>'Device Energy Use'!A7</f>
        <v>Gas Tank</v>
      </c>
      <c r="B20" s="34">
        <f>'Water Heater Stock'!B8*'Device Energy Use'!$D7</f>
        <v>0</v>
      </c>
      <c r="C20" s="34">
        <f>'Water Heater Stock'!C8*'Device Energy Use'!$D7</f>
        <v>89939.318935579387</v>
      </c>
      <c r="D20" s="34">
        <f>'Water Heater Stock'!D8*'Device Energy Use'!$D7</f>
        <v>173459.19757953845</v>
      </c>
      <c r="E20" s="34">
        <f>'Water Heater Stock'!E8*'Device Energy Use'!$D7</f>
        <v>250997.86889742932</v>
      </c>
      <c r="F20" s="34">
        <f>'Water Heater Stock'!F8*'Device Energy Use'!$D7</f>
        <v>322952.07196507044</v>
      </c>
      <c r="G20" s="34">
        <f>'Water Heater Stock'!G8*'Device Energy Use'!$D7</f>
        <v>389675.77847339667</v>
      </c>
      <c r="H20" s="34">
        <f>'Water Heater Stock'!H8*'Device Energy Use'!$D7</f>
        <v>451478.29353876569</v>
      </c>
      <c r="I20" s="34">
        <f>'Water Heater Stock'!I8*'Device Energy Use'!$D7</f>
        <v>508622.12215458922</v>
      </c>
      <c r="J20" s="34">
        <f>'Water Heater Stock'!J8*'Device Energy Use'!$D7</f>
        <v>561321.18183589482</v>
      </c>
      <c r="K20" s="34">
        <f>'Water Heater Stock'!K8*'Device Energy Use'!$D7</f>
        <v>609740.10171231802</v>
      </c>
      <c r="L20" s="34">
        <f>'Water Heater Stock'!L8*'Device Energy Use'!$D7</f>
        <v>653995.42822491366</v>
      </c>
      <c r="M20" s="34">
        <f>'Water Heater Stock'!M8*'Device Energy Use'!$D7</f>
        <v>694159.50175791071</v>
      </c>
      <c r="N20" s="34">
        <f>'Water Heater Stock'!N8*'Device Energy Use'!$D7</f>
        <v>730267.53093338304</v>
      </c>
      <c r="O20" s="34">
        <f>'Water Heater Stock'!O8*'Device Energy Use'!$D7</f>
        <v>762327.95947145007</v>
      </c>
      <c r="P20" s="34">
        <f>'Water Heater Stock'!P8*'Device Energy Use'!$D7</f>
        <v>790335.64002339856</v>
      </c>
      <c r="Q20" s="34">
        <f>'Water Heater Stock'!Q8*'Device Energy Use'!$D7</f>
        <v>814286.71389445337</v>
      </c>
      <c r="R20" s="34">
        <f>'Water Heater Stock'!R8*'Device Energy Use'!$D7</f>
        <v>834193.60746902728</v>
      </c>
      <c r="S20" s="34">
        <f>'Water Heater Stock'!S8*'Device Energy Use'!$D7</f>
        <v>850098.3544477442</v>
      </c>
      <c r="T20" s="34">
        <f>'Water Heater Stock'!T8*'Device Energy Use'!$D7</f>
        <v>862082.62691957003</v>
      </c>
      <c r="U20" s="34">
        <f>'Water Heater Stock'!U8*'Device Energy Use'!$D7</f>
        <v>870273.38092194463</v>
      </c>
      <c r="V20" s="34">
        <f>'Water Heater Stock'!V8*'Device Energy Use'!$D7</f>
        <v>874843.75360549998</v>
      </c>
      <c r="W20" s="34">
        <f>'Water Heater Stock'!W8*'Device Energy Use'!$D7</f>
        <v>876009.59111123311</v>
      </c>
    </row>
    <row r="21" spans="1:23">
      <c r="A21" s="9" t="str">
        <f>'Device Energy Use'!A8</f>
        <v>Instant Gas</v>
      </c>
      <c r="B21" s="34">
        <f>'Water Heater Stock'!B9*'Device Energy Use'!$D8</f>
        <v>0</v>
      </c>
      <c r="C21" s="34">
        <f>'Water Heater Stock'!C9*'Device Energy Use'!$D8</f>
        <v>9.6154028512056513</v>
      </c>
      <c r="D21" s="34">
        <f>'Water Heater Stock'!D9*'Device Energy Use'!$D8</f>
        <v>28.245060174624683</v>
      </c>
      <c r="E21" s="34">
        <f>'Water Heater Stock'!E9*'Device Energy Use'!$D8</f>
        <v>63.12041992731762</v>
      </c>
      <c r="F21" s="34">
        <f>'Water Heater Stock'!F9*'Device Energy Use'!$D8</f>
        <v>125.84315306656146</v>
      </c>
      <c r="G21" s="34">
        <f>'Water Heater Stock'!G9*'Device Energy Use'!$D8</f>
        <v>234.13788628059743</v>
      </c>
      <c r="H21" s="34">
        <f>'Water Heater Stock'!H9*'Device Energy Use'!$D8</f>
        <v>413.85148178350761</v>
      </c>
      <c r="I21" s="34">
        <f>'Water Heater Stock'!I9*'Device Energy Use'!$D8</f>
        <v>701.02350659234071</v>
      </c>
      <c r="J21" s="34">
        <f>'Water Heater Stock'!J9*'Device Energy Use'!$D8</f>
        <v>1143.7581943942578</v>
      </c>
      <c r="K21" s="34">
        <f>'Water Heater Stock'!K9*'Device Energy Use'!$D8</f>
        <v>1803.545553513376</v>
      </c>
      <c r="L21" s="34">
        <f>'Water Heater Stock'!L9*'Device Energy Use'!$D8</f>
        <v>2755.6327033424741</v>
      </c>
      <c r="M21" s="34">
        <f>'Water Heater Stock'!M9*'Device Energy Use'!$D8</f>
        <v>4088.0639154888913</v>
      </c>
      <c r="N21" s="34">
        <f>'Water Heater Stock'!N9*'Device Energy Use'!$D8</f>
        <v>5899.1132472500603</v>
      </c>
      <c r="O21" s="34">
        <f>'Water Heater Stock'!O9*'Device Energy Use'!$D8</f>
        <v>8293.0356889468858</v>
      </c>
      <c r="P21" s="34">
        <f>'Water Heater Stock'!P9*'Device Energy Use'!$D8</f>
        <v>11374.342176560909</v>
      </c>
      <c r="Q21" s="34">
        <f>'Water Heater Stock'!Q9*'Device Energy Use'!$D8</f>
        <v>15241.107650902726</v>
      </c>
      <c r="R21" s="34">
        <f>'Water Heater Stock'!R9*'Device Energy Use'!$D8</f>
        <v>19978.07105621733</v>
      </c>
      <c r="S21" s="34">
        <f>'Water Heater Stock'!S9*'Device Energy Use'!$D8</f>
        <v>25650.402298540765</v>
      </c>
      <c r="T21" s="34">
        <f>'Water Heater Stock'!T9*'Device Energy Use'!$D8</f>
        <v>32298.945917378591</v>
      </c>
      <c r="U21" s="34">
        <f>'Water Heater Stock'!U9*'Device Energy Use'!$D8</f>
        <v>39937.512402644155</v>
      </c>
      <c r="V21" s="34">
        <f>'Water Heater Stock'!V9*'Device Energy Use'!$D8</f>
        <v>48552.439685295947</v>
      </c>
      <c r="W21" s="34">
        <f>'Water Heater Stock'!W9*'Device Energy Use'!$D8</f>
        <v>58104.284438985022</v>
      </c>
    </row>
    <row r="22" spans="1:23">
      <c r="A22" s="9" t="str">
        <f>'Device Energy Use'!A9</f>
        <v>Condensing Gas</v>
      </c>
      <c r="B22" s="34">
        <f>'Water Heater Stock'!B10*'Device Energy Use'!$D9</f>
        <v>0</v>
      </c>
      <c r="C22" s="34">
        <f>'Water Heater Stock'!C10*'Device Energy Use'!$D9</f>
        <v>25.866838430080236</v>
      </c>
      <c r="D22" s="34">
        <f>'Water Heater Stock'!D10*'Device Energy Use'!$D9</f>
        <v>75.863707542073257</v>
      </c>
      <c r="E22" s="34">
        <f>'Water Heater Stock'!E10*'Device Energy Use'!$D9</f>
        <v>169.23426087994088</v>
      </c>
      <c r="F22" s="34">
        <f>'Water Heater Stock'!F10*'Device Energy Use'!$D9</f>
        <v>336.75455563730691</v>
      </c>
      <c r="G22" s="34">
        <f>'Water Heater Stock'!G10*'Device Energy Use'!$D9</f>
        <v>625.28939895583983</v>
      </c>
      <c r="H22" s="34">
        <f>'Water Heater Stock'!H10*'Device Energy Use'!$D9</f>
        <v>1102.9458779058111</v>
      </c>
      <c r="I22" s="34">
        <f>'Water Heater Stock'!I10*'Device Energy Use'!$D9</f>
        <v>1864.3483487285287</v>
      </c>
      <c r="J22" s="34">
        <f>'Water Heater Stock'!J10*'Device Energy Use'!$D9</f>
        <v>3035.3172122783812</v>
      </c>
      <c r="K22" s="34">
        <f>'Water Heater Stock'!K10*'Device Energy Use'!$D9</f>
        <v>4776.0277246361184</v>
      </c>
      <c r="L22" s="34">
        <f>'Water Heater Stock'!L10*'Device Energy Use'!$D9</f>
        <v>7281.6185319242759</v>
      </c>
      <c r="M22" s="34">
        <f>'Water Heater Stock'!M10*'Device Energy Use'!$D9</f>
        <v>10779.283823609885</v>
      </c>
      <c r="N22" s="34">
        <f>'Water Heater Stock'!N10*'Device Energy Use'!$D9</f>
        <v>15521.177319998089</v>
      </c>
      <c r="O22" s="34">
        <f>'Water Heater Stock'!O10*'Device Energy Use'!$D9</f>
        <v>21772.998078608751</v>
      </c>
      <c r="P22" s="34">
        <f>'Water Heater Stock'!P10*'Device Energy Use'!$D9</f>
        <v>29798.861409648642</v>
      </c>
      <c r="Q22" s="34">
        <f>'Water Heater Stock'!Q10*'Device Energy Use'!$D9</f>
        <v>39843.840416215833</v>
      </c>
      <c r="R22" s="34">
        <f>'Water Heater Stock'!R10*'Device Energy Use'!$D9</f>
        <v>52116.189352173511</v>
      </c>
      <c r="S22" s="34">
        <f>'Water Heater Stock'!S10*'Device Energy Use'!$D9</f>
        <v>66771.526315557712</v>
      </c>
      <c r="T22" s="34">
        <f>'Water Heater Stock'!T10*'Device Energy Use'!$D9</f>
        <v>83901.043981653725</v>
      </c>
      <c r="U22" s="34">
        <f>'Water Heater Stock'!U10*'Device Energy Use'!$D9</f>
        <v>103525.16396412971</v>
      </c>
      <c r="V22" s="34">
        <f>'Water Heater Stock'!V10*'Device Energy Use'!$D9</f>
        <v>125593.12770520779</v>
      </c>
      <c r="W22" s="34">
        <f>'Water Heater Stock'!W10*'Device Energy Use'!$D9</f>
        <v>149988.07497845677</v>
      </c>
    </row>
    <row r="24" spans="1:23">
      <c r="A24" s="12" t="s">
        <v>103</v>
      </c>
    </row>
    <row r="25" spans="1:23">
      <c r="A25" s="39" t="str">
        <f>'Device Energy Use'!A4</f>
        <v>Water Heat Ending</v>
      </c>
      <c r="B25" s="42">
        <f>'Water Heater Stock'!B4</f>
        <v>2014</v>
      </c>
      <c r="C25" s="42">
        <f>'Water Heater Stock'!C4</f>
        <v>2015</v>
      </c>
      <c r="D25" s="42">
        <f>'Water Heater Stock'!D4</f>
        <v>2016</v>
      </c>
      <c r="E25" s="42">
        <f>'Water Heater Stock'!E4</f>
        <v>2017</v>
      </c>
      <c r="F25" s="42">
        <f>'Water Heater Stock'!F4</f>
        <v>2018</v>
      </c>
      <c r="G25" s="42">
        <f>'Water Heater Stock'!G4</f>
        <v>2019</v>
      </c>
      <c r="H25" s="42">
        <f>'Water Heater Stock'!H4</f>
        <v>2020</v>
      </c>
      <c r="I25" s="42">
        <f>'Water Heater Stock'!I4</f>
        <v>2021</v>
      </c>
      <c r="J25" s="42">
        <f>'Water Heater Stock'!J4</f>
        <v>2022</v>
      </c>
      <c r="K25" s="42">
        <f>'Water Heater Stock'!K4</f>
        <v>2023</v>
      </c>
      <c r="L25" s="42">
        <f>'Water Heater Stock'!L4</f>
        <v>2024</v>
      </c>
      <c r="M25" s="42">
        <f>'Water Heater Stock'!M4</f>
        <v>2025</v>
      </c>
      <c r="N25" s="42">
        <f>'Water Heater Stock'!N4</f>
        <v>2026</v>
      </c>
      <c r="O25" s="42">
        <f>'Water Heater Stock'!O4</f>
        <v>2027</v>
      </c>
      <c r="P25" s="42">
        <f>'Water Heater Stock'!P4</f>
        <v>2028</v>
      </c>
      <c r="Q25" s="42">
        <f>'Water Heater Stock'!Q4</f>
        <v>2029</v>
      </c>
      <c r="R25" s="42">
        <f>'Water Heater Stock'!R4</f>
        <v>2030</v>
      </c>
      <c r="S25" s="42">
        <f>'Water Heater Stock'!S4</f>
        <v>2031</v>
      </c>
      <c r="T25" s="42">
        <f>'Water Heater Stock'!T4</f>
        <v>2032</v>
      </c>
      <c r="U25" s="42">
        <f>'Water Heater Stock'!U4</f>
        <v>2033</v>
      </c>
      <c r="V25" s="42">
        <f>'Water Heater Stock'!V4</f>
        <v>2034</v>
      </c>
      <c r="W25" s="42">
        <f>'Water Heater Stock'!W4</f>
        <v>2035</v>
      </c>
    </row>
    <row r="26" spans="1:23" ht="16.5" thickBot="1">
      <c r="A26" s="49" t="s">
        <v>48</v>
      </c>
      <c r="B26" s="50">
        <f t="shared" ref="B26:W26" si="8">SUM(B27:B31)</f>
        <v>4755945.3655164754</v>
      </c>
      <c r="C26" s="50">
        <f t="shared" si="8"/>
        <v>4930947.6841610214</v>
      </c>
      <c r="D26" s="50">
        <f t="shared" si="8"/>
        <v>5093449.8371880986</v>
      </c>
      <c r="E26" s="50">
        <f t="shared" si="8"/>
        <v>5244344.6935703857</v>
      </c>
      <c r="F26" s="50">
        <f t="shared" si="8"/>
        <v>5384461.3459253665</v>
      </c>
      <c r="G26" s="50">
        <f t="shared" si="8"/>
        <v>5514569.6659692768</v>
      </c>
      <c r="H26" s="50">
        <f t="shared" si="8"/>
        <v>5635384.5345814787</v>
      </c>
      <c r="I26" s="50">
        <f t="shared" si="8"/>
        <v>5747569.7697213814</v>
      </c>
      <c r="J26" s="50">
        <f t="shared" si="8"/>
        <v>5851741.7737798635</v>
      </c>
      <c r="K26" s="50">
        <f t="shared" si="8"/>
        <v>5948472.9204055956</v>
      </c>
      <c r="L26" s="50">
        <f t="shared" si="8"/>
        <v>6038294.6994152032</v>
      </c>
      <c r="M26" s="50">
        <f t="shared" si="8"/>
        <v>6121700.6370669827</v>
      </c>
      <c r="N26" s="50">
        <f t="shared" si="8"/>
        <v>6199149.0077436361</v>
      </c>
      <c r="O26" s="50">
        <f t="shared" si="8"/>
        <v>5917715.0820919704</v>
      </c>
      <c r="P26" s="50">
        <f t="shared" si="8"/>
        <v>5656383.5797011377</v>
      </c>
      <c r="Q26" s="50">
        <f t="shared" si="8"/>
        <v>5413718.6131953653</v>
      </c>
      <c r="R26" s="50">
        <f t="shared" si="8"/>
        <v>5188386.8585828627</v>
      </c>
      <c r="S26" s="50">
        <f t="shared" si="8"/>
        <v>4979150.2292998247</v>
      </c>
      <c r="T26" s="50">
        <f t="shared" si="8"/>
        <v>4784859.0735370032</v>
      </c>
      <c r="U26" s="50">
        <f t="shared" si="8"/>
        <v>4604445.8574715257</v>
      </c>
      <c r="V26" s="50">
        <f t="shared" si="8"/>
        <v>4436919.2996964399</v>
      </c>
      <c r="W26" s="50">
        <f t="shared" si="8"/>
        <v>4281358.924619575</v>
      </c>
    </row>
    <row r="27" spans="1:23" ht="16.5" thickTop="1">
      <c r="A27" s="14" t="str">
        <f>'Device Energy Use'!A5</f>
        <v>Electric Resistance</v>
      </c>
      <c r="B27" s="34">
        <f>'Water Heater Stock'!B15*'Device Energy Use'!$D5</f>
        <v>4755945.3655164754</v>
      </c>
      <c r="C27" s="34">
        <f>'Water Heater Stock'!C15*'Device Energy Use'!$D5</f>
        <v>4416234.9822652992</v>
      </c>
      <c r="D27" s="34">
        <f>'Water Heater Stock'!D15*'Device Energy Use'!$D5</f>
        <v>4100789.6263892059</v>
      </c>
      <c r="E27" s="34">
        <f>'Water Heater Stock'!E15*'Device Energy Use'!$D5</f>
        <v>3807876.08164712</v>
      </c>
      <c r="F27" s="34">
        <f>'Water Heater Stock'!F15*'Device Energy Use'!$D5</f>
        <v>3535884.9329580399</v>
      </c>
      <c r="G27" s="34">
        <f>'Water Heater Stock'!G15*'Device Energy Use'!$D5</f>
        <v>3283321.723461037</v>
      </c>
      <c r="H27" s="34">
        <f>'Water Heater Stock'!H15*'Device Energy Use'!$D5</f>
        <v>3048798.7432138203</v>
      </c>
      <c r="I27" s="34">
        <f>'Water Heater Stock'!I15*'Device Energy Use'!$D5</f>
        <v>2831027.404412833</v>
      </c>
      <c r="J27" s="34">
        <f>'Water Heater Stock'!J15*'Device Energy Use'!$D5</f>
        <v>2628811.1612404878</v>
      </c>
      <c r="K27" s="34">
        <f>'Water Heater Stock'!K15*'Device Energy Use'!$D5</f>
        <v>2441038.9354375959</v>
      </c>
      <c r="L27" s="34">
        <f>'Water Heater Stock'!L15*'Device Energy Use'!$D5</f>
        <v>2266679.0114777675</v>
      </c>
      <c r="M27" s="34">
        <f>'Water Heater Stock'!M15*'Device Energy Use'!$D5</f>
        <v>2104773.3678007838</v>
      </c>
      <c r="N27" s="34">
        <f>'Water Heater Stock'!N15*'Device Energy Use'!$D5</f>
        <v>1954432.4129578709</v>
      </c>
      <c r="O27" s="34">
        <f>'Water Heater Stock'!O15*'Device Energy Use'!$D5</f>
        <v>1814830.0977465943</v>
      </c>
      <c r="P27" s="34">
        <f>'Water Heater Stock'!P15*'Device Energy Use'!$D5</f>
        <v>1685199.3764789803</v>
      </c>
      <c r="Q27" s="34">
        <f>'Water Heater Stock'!Q15*'Device Energy Use'!$D5</f>
        <v>1564827.9924447676</v>
      </c>
      <c r="R27" s="34">
        <f>'Water Heater Stock'!R15*'Device Energy Use'!$D5</f>
        <v>1453054.5644129983</v>
      </c>
      <c r="S27" s="34">
        <f>'Water Heater Stock'!S15*'Device Energy Use'!$D5</f>
        <v>1349264.9526692128</v>
      </c>
      <c r="T27" s="34">
        <f>'Water Heater Stock'!T15*'Device Energy Use'!$D5</f>
        <v>1252888.8846214118</v>
      </c>
      <c r="U27" s="34">
        <f>'Water Heater Stock'!U15*'Device Energy Use'!$D5</f>
        <v>1163396.8214341681</v>
      </c>
      <c r="V27" s="34">
        <f>'Water Heater Stock'!V15*'Device Energy Use'!$D5</f>
        <v>1080297.0484745847</v>
      </c>
      <c r="W27" s="34">
        <f>'Water Heater Stock'!W15*'Device Energy Use'!$D5</f>
        <v>1003132.973583543</v>
      </c>
    </row>
    <row r="28" spans="1:23">
      <c r="A28" s="14" t="str">
        <f>'Device Energy Use'!A6</f>
        <v>HPWH</v>
      </c>
      <c r="B28" s="34">
        <f>'Water Heater Stock'!B16*'Device Energy Use'!$D6</f>
        <v>0</v>
      </c>
      <c r="C28" s="34">
        <f>'Water Heater Stock'!C16*'Device Energy Use'!$D6</f>
        <v>0</v>
      </c>
      <c r="D28" s="34">
        <f>'Water Heater Stock'!D16*'Device Energy Use'!$D6</f>
        <v>0</v>
      </c>
      <c r="E28" s="34">
        <f>'Water Heater Stock'!E16*'Device Energy Use'!$D6</f>
        <v>0</v>
      </c>
      <c r="F28" s="34">
        <f>'Water Heater Stock'!F16*'Device Energy Use'!$D6</f>
        <v>0</v>
      </c>
      <c r="G28" s="34">
        <f>'Water Heater Stock'!G16*'Device Energy Use'!$D6</f>
        <v>0</v>
      </c>
      <c r="H28" s="34">
        <f>'Water Heater Stock'!H16*'Device Energy Use'!$D6</f>
        <v>0</v>
      </c>
      <c r="I28" s="34">
        <f>'Water Heater Stock'!I16*'Device Energy Use'!$D6</f>
        <v>0</v>
      </c>
      <c r="J28" s="34">
        <f>'Water Heater Stock'!J16*'Device Energy Use'!$D6</f>
        <v>0</v>
      </c>
      <c r="K28" s="34">
        <f>'Water Heater Stock'!K16*'Device Energy Use'!$D6</f>
        <v>0</v>
      </c>
      <c r="L28" s="34">
        <f>'Water Heater Stock'!L16*'Device Energy Use'!$D6</f>
        <v>0</v>
      </c>
      <c r="M28" s="34">
        <f>'Water Heater Stock'!M16*'Device Energy Use'!$D6</f>
        <v>0</v>
      </c>
      <c r="N28" s="34">
        <f>'Water Heater Stock'!N16*'Device Energy Use'!$D6</f>
        <v>0</v>
      </c>
      <c r="O28" s="34">
        <f>'Water Heater Stock'!O16*'Device Energy Use'!$D6</f>
        <v>161362.43204430898</v>
      </c>
      <c r="P28" s="34">
        <f>'Water Heater Stock'!P16*'Device Energy Use'!$D6</f>
        <v>311198.976085453</v>
      </c>
      <c r="Q28" s="34">
        <f>'Water Heater Stock'!Q16*'Device Energy Use'!$D6</f>
        <v>450332.90983794397</v>
      </c>
      <c r="R28" s="34">
        <f>'Water Heater Stock'!R16*'Device Energy Use'!$D6</f>
        <v>579528.70546525693</v>
      </c>
      <c r="S28" s="34">
        <f>'Water Heater Stock'!S16*'Device Energy Use'!$D6</f>
        <v>699496.22997633321</v>
      </c>
      <c r="T28" s="34">
        <f>'Water Heater Stock'!T16*'Device Energy Use'!$D6</f>
        <v>810894.64559376123</v>
      </c>
      <c r="U28" s="34">
        <f>'Water Heater Stock'!U16*'Device Energy Use'!$D6</f>
        <v>914336.03152423014</v>
      </c>
      <c r="V28" s="34">
        <f>'Water Heater Stock'!V16*'Device Energy Use'!$D6</f>
        <v>1010388.7470310942</v>
      </c>
      <c r="W28" s="34">
        <f>'Water Heater Stock'!W16*'Device Energy Use'!$D6</f>
        <v>1099580.5542874676</v>
      </c>
    </row>
    <row r="29" spans="1:23">
      <c r="A29" s="14" t="str">
        <f>'Device Energy Use'!A7</f>
        <v>Gas Tank</v>
      </c>
      <c r="B29" s="34">
        <f>'Water Heater Stock'!B17*'Device Energy Use'!$D7</f>
        <v>0</v>
      </c>
      <c r="C29" s="34">
        <f>'Water Heater Stock'!C17*'Device Energy Use'!$D7</f>
        <v>514712.7018957223</v>
      </c>
      <c r="D29" s="34">
        <f>'Water Heater Stock'!D17*'Device Energy Use'!$D7</f>
        <v>992660.21079889301</v>
      </c>
      <c r="E29" s="34">
        <f>'Water Heater Stock'!E17*'Device Energy Use'!$D7</f>
        <v>1436468.6119232657</v>
      </c>
      <c r="F29" s="34">
        <f>'Water Heater Stock'!F17*'Device Energy Use'!$D7</f>
        <v>1848576.4129673264</v>
      </c>
      <c r="G29" s="34">
        <f>'Water Heater Stock'!G17*'Device Energy Use'!$D7</f>
        <v>2231247.9425082398</v>
      </c>
      <c r="H29" s="34">
        <f>'Water Heater Stock'!H17*'Device Energy Use'!$D7</f>
        <v>2586585.7913676589</v>
      </c>
      <c r="I29" s="34">
        <f>'Water Heater Stock'!I17*'Device Energy Use'!$D7</f>
        <v>2916542.3653085488</v>
      </c>
      <c r="J29" s="34">
        <f>'Water Heater Stock'!J17*'Device Energy Use'!$D7</f>
        <v>3222930.6125393752</v>
      </c>
      <c r="K29" s="34">
        <f>'Water Heater Stock'!K17*'Device Energy Use'!$D7</f>
        <v>3507433.9849679996</v>
      </c>
      <c r="L29" s="34">
        <f>'Water Heater Stock'!L17*'Device Energy Use'!$D7</f>
        <v>3771615.6879374362</v>
      </c>
      <c r="M29" s="34">
        <f>'Water Heater Stock'!M17*'Device Energy Use'!$D7</f>
        <v>4016927.2692661993</v>
      </c>
      <c r="N29" s="34">
        <f>'Water Heater Stock'!N17*'Device Energy Use'!$D7</f>
        <v>4244716.5947857648</v>
      </c>
      <c r="O29" s="34">
        <f>'Water Heater Stock'!O17*'Device Energy Use'!$D7</f>
        <v>3941522.5523010669</v>
      </c>
      <c r="P29" s="34">
        <f>'Water Heater Stock'!P17*'Device Energy Use'!$D7</f>
        <v>3659985.2271367046</v>
      </c>
      <c r="Q29" s="34">
        <f>'Water Heater Stock'!Q17*'Device Energy Use'!$D7</f>
        <v>3398557.7109126542</v>
      </c>
      <c r="R29" s="34">
        <f>'Water Heater Stock'!R17*'Device Energy Use'!$D7</f>
        <v>3155803.5887046074</v>
      </c>
      <c r="S29" s="34">
        <f>'Water Heater Stock'!S17*'Device Energy Use'!$D7</f>
        <v>2930389.0466542784</v>
      </c>
      <c r="T29" s="34">
        <f>'Water Heater Stock'!T17*'Device Energy Use'!$D7</f>
        <v>2721075.5433218298</v>
      </c>
      <c r="U29" s="34">
        <f>'Water Heater Stock'!U17*'Device Energy Use'!$D7</f>
        <v>2526713.0045131277</v>
      </c>
      <c r="V29" s="34">
        <f>'Water Heater Stock'!V17*'Device Energy Use'!$D7</f>
        <v>2346233.5041907616</v>
      </c>
      <c r="W29" s="34">
        <f>'Water Heater Stock'!W17*'Device Energy Use'!$D7</f>
        <v>2178645.3967485642</v>
      </c>
    </row>
    <row r="30" spans="1:23">
      <c r="A30" s="14" t="str">
        <f>'Device Energy Use'!A8</f>
        <v>Instant Gas</v>
      </c>
      <c r="B30" s="34">
        <f>'Water Heater Stock'!B18*'Device Energy Use'!$D8</f>
        <v>0</v>
      </c>
      <c r="C30" s="34">
        <f>'Water Heater Stock'!C18*'Device Energy Use'!$D8</f>
        <v>0</v>
      </c>
      <c r="D30" s="34">
        <f>'Water Heater Stock'!D18*'Device Energy Use'!$D8</f>
        <v>0</v>
      </c>
      <c r="E30" s="34">
        <f>'Water Heater Stock'!E18*'Device Energy Use'!$D8</f>
        <v>0</v>
      </c>
      <c r="F30" s="34">
        <f>'Water Heater Stock'!F18*'Device Energy Use'!$D8</f>
        <v>0</v>
      </c>
      <c r="G30" s="34">
        <f>'Water Heater Stock'!G18*'Device Energy Use'!$D8</f>
        <v>0</v>
      </c>
      <c r="H30" s="34">
        <f>'Water Heater Stock'!H18*'Device Energy Use'!$D8</f>
        <v>0</v>
      </c>
      <c r="I30" s="34">
        <f>'Water Heater Stock'!I18*'Device Energy Use'!$D8</f>
        <v>0</v>
      </c>
      <c r="J30" s="34">
        <f>'Water Heater Stock'!J18*'Device Energy Use'!$D8</f>
        <v>0</v>
      </c>
      <c r="K30" s="34">
        <f>'Water Heater Stock'!K18*'Device Energy Use'!$D8</f>
        <v>0</v>
      </c>
      <c r="L30" s="34">
        <f>'Water Heater Stock'!L18*'Device Energy Use'!$D8</f>
        <v>0</v>
      </c>
      <c r="M30" s="34">
        <f>'Water Heater Stock'!M18*'Device Energy Use'!$D8</f>
        <v>0</v>
      </c>
      <c r="N30" s="34">
        <f>'Water Heater Stock'!N18*'Device Energy Use'!$D8</f>
        <v>0</v>
      </c>
      <c r="O30" s="34">
        <f>'Water Heater Stock'!O18*'Device Energy Use'!$D8</f>
        <v>0</v>
      </c>
      <c r="P30" s="34">
        <f>'Water Heater Stock'!P18*'Device Energy Use'!$D8</f>
        <v>0</v>
      </c>
      <c r="Q30" s="34">
        <f>'Water Heater Stock'!Q18*'Device Energy Use'!$D8</f>
        <v>0</v>
      </c>
      <c r="R30" s="34">
        <f>'Water Heater Stock'!R18*'Device Energy Use'!$D8</f>
        <v>0</v>
      </c>
      <c r="S30" s="34">
        <f>'Water Heater Stock'!S18*'Device Energy Use'!$D8</f>
        <v>0</v>
      </c>
      <c r="T30" s="34">
        <f>'Water Heater Stock'!T18*'Device Energy Use'!$D8</f>
        <v>0</v>
      </c>
      <c r="U30" s="34">
        <f>'Water Heater Stock'!U18*'Device Energy Use'!$D8</f>
        <v>0</v>
      </c>
      <c r="V30" s="34">
        <f>'Water Heater Stock'!V18*'Device Energy Use'!$D8</f>
        <v>0</v>
      </c>
      <c r="W30" s="34">
        <f>'Water Heater Stock'!W18*'Device Energy Use'!$D8</f>
        <v>0</v>
      </c>
    </row>
    <row r="31" spans="1:23">
      <c r="A31" s="14" t="str">
        <f>'Device Energy Use'!A9</f>
        <v>Condensing Gas</v>
      </c>
      <c r="B31" s="34">
        <f>'Water Heater Stock'!B19*'Device Energy Use'!$D9</f>
        <v>0</v>
      </c>
      <c r="C31" s="34">
        <f>'Water Heater Stock'!C19*'Device Energy Use'!$D9</f>
        <v>0</v>
      </c>
      <c r="D31" s="34">
        <f>'Water Heater Stock'!D19*'Device Energy Use'!$D9</f>
        <v>0</v>
      </c>
      <c r="E31" s="34">
        <f>'Water Heater Stock'!E19*'Device Energy Use'!$D9</f>
        <v>0</v>
      </c>
      <c r="F31" s="34">
        <f>'Water Heater Stock'!F19*'Device Energy Use'!$D9</f>
        <v>0</v>
      </c>
      <c r="G31" s="34">
        <f>'Water Heater Stock'!G19*'Device Energy Use'!$D9</f>
        <v>0</v>
      </c>
      <c r="H31" s="34">
        <f>'Water Heater Stock'!H19*'Device Energy Use'!$D9</f>
        <v>0</v>
      </c>
      <c r="I31" s="34">
        <f>'Water Heater Stock'!I19*'Device Energy Use'!$D9</f>
        <v>0</v>
      </c>
      <c r="J31" s="34">
        <f>'Water Heater Stock'!J19*'Device Energy Use'!$D9</f>
        <v>0</v>
      </c>
      <c r="K31" s="34">
        <f>'Water Heater Stock'!K19*'Device Energy Use'!$D9</f>
        <v>0</v>
      </c>
      <c r="L31" s="34">
        <f>'Water Heater Stock'!L19*'Device Energy Use'!$D9</f>
        <v>0</v>
      </c>
      <c r="M31" s="34">
        <f>'Water Heater Stock'!M19*'Device Energy Use'!$D9</f>
        <v>0</v>
      </c>
      <c r="N31" s="34">
        <f>'Water Heater Stock'!N19*'Device Energy Use'!$D9</f>
        <v>0</v>
      </c>
      <c r="O31" s="34">
        <f>'Water Heater Stock'!O19*'Device Energy Use'!$D9</f>
        <v>0</v>
      </c>
      <c r="P31" s="34">
        <f>'Water Heater Stock'!P19*'Device Energy Use'!$D9</f>
        <v>0</v>
      </c>
      <c r="Q31" s="34">
        <f>'Water Heater Stock'!Q19*'Device Energy Use'!$D9</f>
        <v>0</v>
      </c>
      <c r="R31" s="34">
        <f>'Water Heater Stock'!R19*'Device Energy Use'!$D9</f>
        <v>0</v>
      </c>
      <c r="S31" s="34">
        <f>'Water Heater Stock'!S19*'Device Energy Use'!$D9</f>
        <v>0</v>
      </c>
      <c r="T31" s="34">
        <f>'Water Heater Stock'!T19*'Device Energy Use'!$D9</f>
        <v>0</v>
      </c>
      <c r="U31" s="34">
        <f>'Water Heater Stock'!U19*'Device Energy Use'!$D9</f>
        <v>0</v>
      </c>
      <c r="V31" s="34">
        <f>'Water Heater Stock'!V19*'Device Energy Use'!$D9</f>
        <v>0</v>
      </c>
      <c r="W31" s="34">
        <f>'Water Heater Stock'!W19*'Device Energy Use'!$D9</f>
        <v>0</v>
      </c>
    </row>
    <row r="34" spans="1:23">
      <c r="A34" s="12" t="s">
        <v>49</v>
      </c>
    </row>
    <row r="35" spans="1:23">
      <c r="A35" s="39" t="str">
        <f>'Device Energy Use'!A4</f>
        <v>Water Heat Ending</v>
      </c>
      <c r="B35" s="42">
        <f>'Water Heater Stock'!B4</f>
        <v>2014</v>
      </c>
      <c r="C35" s="42">
        <f>'Water Heater Stock'!C4</f>
        <v>2015</v>
      </c>
      <c r="D35" s="42">
        <f>'Water Heater Stock'!D4</f>
        <v>2016</v>
      </c>
      <c r="E35" s="42">
        <f>'Water Heater Stock'!E4</f>
        <v>2017</v>
      </c>
      <c r="F35" s="42">
        <f>'Water Heater Stock'!F4</f>
        <v>2018</v>
      </c>
      <c r="G35" s="42">
        <f>'Water Heater Stock'!G4</f>
        <v>2019</v>
      </c>
      <c r="H35" s="42">
        <f>'Water Heater Stock'!H4</f>
        <v>2020</v>
      </c>
      <c r="I35" s="42">
        <f>'Water Heater Stock'!I4</f>
        <v>2021</v>
      </c>
      <c r="J35" s="42">
        <f>'Water Heater Stock'!J4</f>
        <v>2022</v>
      </c>
      <c r="K35" s="42">
        <f>'Water Heater Stock'!K4</f>
        <v>2023</v>
      </c>
      <c r="L35" s="42">
        <f>'Water Heater Stock'!L4</f>
        <v>2024</v>
      </c>
      <c r="M35" s="42">
        <f>'Water Heater Stock'!M4</f>
        <v>2025</v>
      </c>
      <c r="N35" s="42">
        <f>'Water Heater Stock'!N4</f>
        <v>2026</v>
      </c>
      <c r="O35" s="42">
        <f>'Water Heater Stock'!O4</f>
        <v>2027</v>
      </c>
      <c r="P35" s="42">
        <f>'Water Heater Stock'!P4</f>
        <v>2028</v>
      </c>
      <c r="Q35" s="42">
        <f>'Water Heater Stock'!Q4</f>
        <v>2029</v>
      </c>
      <c r="R35" s="42">
        <f>'Water Heater Stock'!R4</f>
        <v>2030</v>
      </c>
      <c r="S35" s="42">
        <f>'Water Heater Stock'!S4</f>
        <v>2031</v>
      </c>
      <c r="T35" s="42">
        <f>'Water Heater Stock'!T4</f>
        <v>2032</v>
      </c>
      <c r="U35" s="42">
        <f>'Water Heater Stock'!U4</f>
        <v>2033</v>
      </c>
      <c r="V35" s="42">
        <f>'Water Heater Stock'!V4</f>
        <v>2034</v>
      </c>
      <c r="W35" s="42">
        <f>'Water Heater Stock'!W4</f>
        <v>2035</v>
      </c>
    </row>
    <row r="36" spans="1:23" ht="16.5" thickBot="1">
      <c r="A36" s="49" t="s">
        <v>48</v>
      </c>
      <c r="B36" s="50">
        <f t="shared" ref="B36:W36" si="9">SUM(B37:B41)</f>
        <v>1393887.8562475017</v>
      </c>
      <c r="C36" s="50">
        <f t="shared" si="9"/>
        <v>1376472.8746695612</v>
      </c>
      <c r="D36" s="50">
        <f t="shared" si="9"/>
        <v>1360283.2528162922</v>
      </c>
      <c r="E36" s="50">
        <f t="shared" si="9"/>
        <v>1345221.1642420262</v>
      </c>
      <c r="F36" s="50">
        <f t="shared" si="9"/>
        <v>1331188.9915178907</v>
      </c>
      <c r="G36" s="50">
        <f t="shared" si="9"/>
        <v>1318086.488637825</v>
      </c>
      <c r="H36" s="50">
        <f t="shared" si="9"/>
        <v>1305807.6627554083</v>
      </c>
      <c r="I36" s="50">
        <f t="shared" si="9"/>
        <v>1294237.6223887922</v>
      </c>
      <c r="J36" s="50">
        <f t="shared" si="9"/>
        <v>1283249.7660280818</v>
      </c>
      <c r="K36" s="50">
        <f t="shared" si="9"/>
        <v>1272703.7930384469</v>
      </c>
      <c r="L36" s="50">
        <f t="shared" si="9"/>
        <v>1262445.074575983</v>
      </c>
      <c r="M36" s="50">
        <f t="shared" si="9"/>
        <v>1252305.8886488443</v>
      </c>
      <c r="N36" s="50">
        <f t="shared" si="9"/>
        <v>1242108.8694126122</v>
      </c>
      <c r="O36" s="50">
        <f t="shared" si="9"/>
        <v>1231672.7372219851</v>
      </c>
      <c r="P36" s="50">
        <f t="shared" si="9"/>
        <v>1220819.9921381348</v>
      </c>
      <c r="Q36" s="50">
        <f t="shared" si="9"/>
        <v>1209385.8441633533</v>
      </c>
      <c r="R36" s="50">
        <f t="shared" si="9"/>
        <v>1197227.325995364</v>
      </c>
      <c r="S36" s="50">
        <f t="shared" si="9"/>
        <v>1184231.3947273737</v>
      </c>
      <c r="T36" s="50">
        <f t="shared" si="9"/>
        <v>1170320.9382851673</v>
      </c>
      <c r="U36" s="50">
        <f t="shared" si="9"/>
        <v>1155457.9443562345</v>
      </c>
      <c r="V36" s="50">
        <f t="shared" si="9"/>
        <v>1139643.572666561</v>
      </c>
      <c r="W36" s="50">
        <f t="shared" si="9"/>
        <v>1122915.364596185</v>
      </c>
    </row>
    <row r="37" spans="1:23" ht="16.5" thickTop="1">
      <c r="A37" s="38" t="str">
        <f>'Device Energy Use'!A5</f>
        <v>Electric Resistance</v>
      </c>
      <c r="B37" s="34">
        <f>'Water Heater Stock'!B6*'Device Energy Use'!$B5/1000</f>
        <v>1393887.8562475017</v>
      </c>
      <c r="C37" s="34">
        <f>'Water Heater Stock'!C6*'Device Energy Use'!$B5/1000</f>
        <v>1376467.7377178371</v>
      </c>
      <c r="D37" s="34">
        <f>'Water Heater Stock'!D6*'Device Energy Use'!$B5/1000</f>
        <v>1360268.2069514552</v>
      </c>
      <c r="E37" s="34">
        <f>'Water Heater Stock'!E6*'Device Energy Use'!$B5/1000</f>
        <v>1345187.650349546</v>
      </c>
      <c r="F37" s="34">
        <f>'Water Heater Stock'!F6*'Device Energy Use'!$B5/1000</f>
        <v>1331122.4088930329</v>
      </c>
      <c r="G37" s="34">
        <f>'Water Heater Stock'!G6*'Device Energy Use'!$B5/1000</f>
        <v>1317963.0600503157</v>
      </c>
      <c r="H37" s="34">
        <f>'Water Heater Stock'!H6*'Device Energy Use'!$B5/1000</f>
        <v>1305590.3097534745</v>
      </c>
      <c r="I37" s="34">
        <f>'Water Heater Stock'!I6*'Device Energy Use'!$B5/1000</f>
        <v>1293870.8360392994</v>
      </c>
      <c r="J37" s="34">
        <f>'Water Heater Stock'!J6*'Device Energy Use'!$B5/1000</f>
        <v>1282653.5988834586</v>
      </c>
      <c r="K37" s="34">
        <f>'Water Heater Stock'!K6*'Device Energy Use'!$B5/1000</f>
        <v>1271767.2771892417</v>
      </c>
      <c r="L37" s="34">
        <f>'Water Heater Stock'!L6*'Device Energy Use'!$B5/1000</f>
        <v>1261019.5682567561</v>
      </c>
      <c r="M37" s="34">
        <f>'Water Heater Stock'!M6*'Device Energy Use'!$B5/1000</f>
        <v>1250199.0365440594</v>
      </c>
      <c r="N37" s="34">
        <f>'Water Heater Stock'!N6*'Device Energy Use'!$B5/1000</f>
        <v>1239079.9850915503</v>
      </c>
      <c r="O37" s="34">
        <f>'Water Heater Stock'!O6*'Device Energy Use'!$B5/1000</f>
        <v>1227430.4328833506</v>
      </c>
      <c r="P37" s="34">
        <f>'Water Heater Stock'!P6*'Device Energy Use'!$B5/1000</f>
        <v>1215022.7554758908</v>
      </c>
      <c r="Q37" s="34">
        <f>'Water Heater Stock'!Q6*'Device Energy Use'!$B5/1000</f>
        <v>1201645.9871757473</v>
      </c>
      <c r="R37" s="34">
        <f>'Water Heater Stock'!R6*'Device Energy Use'!$B5/1000</f>
        <v>1187118.3381798619</v>
      </c>
      <c r="S37" s="34">
        <f>'Water Heater Stock'!S6*'Device Energy Use'!$B5/1000</f>
        <v>1171298.2941118253</v>
      </c>
      <c r="T37" s="34">
        <f>'Water Heater Stock'!T6*'Device Energy Use'!$B5/1000</f>
        <v>1154092.820091841</v>
      </c>
      <c r="U37" s="34">
        <f>'Water Heater Stock'!U6*'Device Energy Use'!$B5/1000</f>
        <v>1135461.6634243706</v>
      </c>
      <c r="V37" s="34">
        <f>'Water Heater Stock'!V6*'Device Energy Use'!$B5/1000</f>
        <v>1115417.4119707716</v>
      </c>
      <c r="W37" s="34">
        <f>'Water Heater Stock'!W6*'Device Energy Use'!$B5/1000</f>
        <v>1094021.6395517809</v>
      </c>
    </row>
    <row r="38" spans="1:23">
      <c r="A38" s="38" t="str">
        <f>'Device Energy Use'!A6</f>
        <v>HPWH</v>
      </c>
      <c r="B38" s="34">
        <f>'Water Heater Stock'!B7*'Device Energy Use'!$B6/1000</f>
        <v>0</v>
      </c>
      <c r="C38" s="34">
        <f>'Water Heater Stock'!C7*'Device Energy Use'!$B6/1000</f>
        <v>5.1369517241638754</v>
      </c>
      <c r="D38" s="34">
        <f>'Water Heater Stock'!D7*'Device Energy Use'!$B6/1000</f>
        <v>15.045864837039714</v>
      </c>
      <c r="E38" s="34">
        <f>'Water Heater Stock'!E7*'Device Energy Use'!$B6/1000</f>
        <v>33.513892480181489</v>
      </c>
      <c r="F38" s="34">
        <f>'Water Heater Stock'!F7*'Device Energy Use'!$B6/1000</f>
        <v>66.582624857872844</v>
      </c>
      <c r="G38" s="34">
        <f>'Water Heater Stock'!G7*'Device Energy Use'!$B6/1000</f>
        <v>123.42858750928458</v>
      </c>
      <c r="H38" s="34">
        <f>'Water Heater Stock'!H7*'Device Energy Use'!$B6/1000</f>
        <v>217.35300193368153</v>
      </c>
      <c r="I38" s="34">
        <f>'Water Heater Stock'!I7*'Device Energy Use'!$B6/1000</f>
        <v>366.78634949295656</v>
      </c>
      <c r="J38" s="34">
        <f>'Water Heater Stock'!J7*'Device Energy Use'!$B6/1000</f>
        <v>596.16714462321579</v>
      </c>
      <c r="K38" s="34">
        <f>'Water Heater Stock'!K7*'Device Energy Use'!$B6/1000</f>
        <v>936.51584920529115</v>
      </c>
      <c r="L38" s="34">
        <f>'Water Heater Stock'!L7*'Device Energy Use'!$B6/1000</f>
        <v>1425.5063192268535</v>
      </c>
      <c r="M38" s="34">
        <f>'Water Heater Stock'!M7*'Device Energy Use'!$B6/1000</f>
        <v>2106.8521047849372</v>
      </c>
      <c r="N38" s="34">
        <f>'Water Heater Stock'!N7*'Device Energy Use'!$B6/1000</f>
        <v>3028.8843210619966</v>
      </c>
      <c r="O38" s="34">
        <f>'Water Heater Stock'!O7*'Device Energy Use'!$B6/1000</f>
        <v>4242.3043386344525</v>
      </c>
      <c r="P38" s="34">
        <f>'Water Heater Stock'!P7*'Device Energy Use'!$B6/1000</f>
        <v>5797.2366622439476</v>
      </c>
      <c r="Q38" s="34">
        <f>'Water Heater Stock'!Q7*'Device Energy Use'!$B6/1000</f>
        <v>7739.8569876059901</v>
      </c>
      <c r="R38" s="34">
        <f>'Water Heater Stock'!R7*'Device Energy Use'!$B6/1000</f>
        <v>10108.987815502005</v>
      </c>
      <c r="S38" s="34">
        <f>'Water Heater Stock'!S7*'Device Energy Use'!$B6/1000</f>
        <v>12933.100615548392</v>
      </c>
      <c r="T38" s="34">
        <f>'Water Heater Stock'!T7*'Device Energy Use'!$B6/1000</f>
        <v>16228.118193326331</v>
      </c>
      <c r="U38" s="34">
        <f>'Water Heater Stock'!U7*'Device Energy Use'!$B6/1000</f>
        <v>19996.280931863846</v>
      </c>
      <c r="V38" s="34">
        <f>'Water Heater Stock'!V7*'Device Energy Use'!$B6/1000</f>
        <v>24226.160695789287</v>
      </c>
      <c r="W38" s="34">
        <f>'Water Heater Stock'!W7*'Device Energy Use'!$B6/1000</f>
        <v>28893.725044404066</v>
      </c>
    </row>
    <row r="39" spans="1:23">
      <c r="A39" s="38" t="str">
        <f>'Device Energy Use'!A7</f>
        <v>Gas Tank</v>
      </c>
      <c r="B39" s="34">
        <f>'Water Heater Stock'!B8*'Device Energy Use'!$B7/1000</f>
        <v>0</v>
      </c>
      <c r="C39" s="34">
        <f>'Water Heater Stock'!C8*'Device Energy Use'!$B7/1000</f>
        <v>0</v>
      </c>
      <c r="D39" s="34">
        <f>'Water Heater Stock'!D8*'Device Energy Use'!$B7/1000</f>
        <v>0</v>
      </c>
      <c r="E39" s="34">
        <f>'Water Heater Stock'!E8*'Device Energy Use'!$B7/1000</f>
        <v>0</v>
      </c>
      <c r="F39" s="34">
        <f>'Water Heater Stock'!F8*'Device Energy Use'!$B7/1000</f>
        <v>0</v>
      </c>
      <c r="G39" s="34">
        <f>'Water Heater Stock'!G8*'Device Energy Use'!$B7/1000</f>
        <v>0</v>
      </c>
      <c r="H39" s="34">
        <f>'Water Heater Stock'!H8*'Device Energy Use'!$B7/1000</f>
        <v>0</v>
      </c>
      <c r="I39" s="34">
        <f>'Water Heater Stock'!I8*'Device Energy Use'!$B7/1000</f>
        <v>0</v>
      </c>
      <c r="J39" s="34">
        <f>'Water Heater Stock'!J8*'Device Energy Use'!$B7/1000</f>
        <v>0</v>
      </c>
      <c r="K39" s="34">
        <f>'Water Heater Stock'!K8*'Device Energy Use'!$B7/1000</f>
        <v>0</v>
      </c>
      <c r="L39" s="34">
        <f>'Water Heater Stock'!L8*'Device Energy Use'!$B7/1000</f>
        <v>0</v>
      </c>
      <c r="M39" s="34">
        <f>'Water Heater Stock'!M8*'Device Energy Use'!$B7/1000</f>
        <v>0</v>
      </c>
      <c r="N39" s="34">
        <f>'Water Heater Stock'!N8*'Device Energy Use'!$B7/1000</f>
        <v>0</v>
      </c>
      <c r="O39" s="34">
        <f>'Water Heater Stock'!O8*'Device Energy Use'!$B7/1000</f>
        <v>0</v>
      </c>
      <c r="P39" s="34">
        <f>'Water Heater Stock'!P8*'Device Energy Use'!$B7/1000</f>
        <v>0</v>
      </c>
      <c r="Q39" s="34">
        <f>'Water Heater Stock'!Q8*'Device Energy Use'!$B7/1000</f>
        <v>0</v>
      </c>
      <c r="R39" s="34">
        <f>'Water Heater Stock'!R8*'Device Energy Use'!$B7/1000</f>
        <v>0</v>
      </c>
      <c r="S39" s="34">
        <f>'Water Heater Stock'!S8*'Device Energy Use'!$B7/1000</f>
        <v>0</v>
      </c>
      <c r="T39" s="34">
        <f>'Water Heater Stock'!T8*'Device Energy Use'!$B7/1000</f>
        <v>0</v>
      </c>
      <c r="U39" s="34">
        <f>'Water Heater Stock'!U8*'Device Energy Use'!$B7/1000</f>
        <v>0</v>
      </c>
      <c r="V39" s="34">
        <f>'Water Heater Stock'!V8*'Device Energy Use'!$B7/1000</f>
        <v>0</v>
      </c>
      <c r="W39" s="34">
        <f>'Water Heater Stock'!W8*'Device Energy Use'!$B7/1000</f>
        <v>0</v>
      </c>
    </row>
    <row r="40" spans="1:23">
      <c r="A40" s="38" t="str">
        <f>'Device Energy Use'!A8</f>
        <v>Instant Gas</v>
      </c>
      <c r="B40" s="34">
        <f>'Water Heater Stock'!B9*'Device Energy Use'!$B8/1000</f>
        <v>0</v>
      </c>
      <c r="C40" s="34">
        <f>'Water Heater Stock'!C9*'Device Energy Use'!$B8/1000</f>
        <v>0</v>
      </c>
      <c r="D40" s="34">
        <f>'Water Heater Stock'!D9*'Device Energy Use'!$B8/1000</f>
        <v>0</v>
      </c>
      <c r="E40" s="34">
        <f>'Water Heater Stock'!E9*'Device Energy Use'!$B8/1000</f>
        <v>0</v>
      </c>
      <c r="F40" s="34">
        <f>'Water Heater Stock'!F9*'Device Energy Use'!$B8/1000</f>
        <v>0</v>
      </c>
      <c r="G40" s="34">
        <f>'Water Heater Stock'!G9*'Device Energy Use'!$B8/1000</f>
        <v>0</v>
      </c>
      <c r="H40" s="34">
        <f>'Water Heater Stock'!H9*'Device Energy Use'!$B8/1000</f>
        <v>0</v>
      </c>
      <c r="I40" s="34">
        <f>'Water Heater Stock'!I9*'Device Energy Use'!$B8/1000</f>
        <v>0</v>
      </c>
      <c r="J40" s="34">
        <f>'Water Heater Stock'!J9*'Device Energy Use'!$B8/1000</f>
        <v>0</v>
      </c>
      <c r="K40" s="34">
        <f>'Water Heater Stock'!K9*'Device Energy Use'!$B8/1000</f>
        <v>0</v>
      </c>
      <c r="L40" s="34">
        <f>'Water Heater Stock'!L9*'Device Energy Use'!$B8/1000</f>
        <v>0</v>
      </c>
      <c r="M40" s="34">
        <f>'Water Heater Stock'!M9*'Device Energy Use'!$B8/1000</f>
        <v>0</v>
      </c>
      <c r="N40" s="34">
        <f>'Water Heater Stock'!N9*'Device Energy Use'!$B8/1000</f>
        <v>0</v>
      </c>
      <c r="O40" s="34">
        <f>'Water Heater Stock'!O9*'Device Energy Use'!$B8/1000</f>
        <v>0</v>
      </c>
      <c r="P40" s="34">
        <f>'Water Heater Stock'!P9*'Device Energy Use'!$B8/1000</f>
        <v>0</v>
      </c>
      <c r="Q40" s="34">
        <f>'Water Heater Stock'!Q9*'Device Energy Use'!$B8/1000</f>
        <v>0</v>
      </c>
      <c r="R40" s="34">
        <f>'Water Heater Stock'!R9*'Device Energy Use'!$B8/1000</f>
        <v>0</v>
      </c>
      <c r="S40" s="34">
        <f>'Water Heater Stock'!S9*'Device Energy Use'!$B8/1000</f>
        <v>0</v>
      </c>
      <c r="T40" s="34">
        <f>'Water Heater Stock'!T9*'Device Energy Use'!$B8/1000</f>
        <v>0</v>
      </c>
      <c r="U40" s="34">
        <f>'Water Heater Stock'!U9*'Device Energy Use'!$B8/1000</f>
        <v>0</v>
      </c>
      <c r="V40" s="34">
        <f>'Water Heater Stock'!V9*'Device Energy Use'!$B8/1000</f>
        <v>0</v>
      </c>
      <c r="W40" s="34">
        <f>'Water Heater Stock'!W9*'Device Energy Use'!$B8/1000</f>
        <v>0</v>
      </c>
    </row>
    <row r="41" spans="1:23">
      <c r="A41" s="38" t="str">
        <f>'Device Energy Use'!A9</f>
        <v>Condensing Gas</v>
      </c>
      <c r="B41" s="34">
        <f>'Water Heater Stock'!B10*'Device Energy Use'!$B9/1000</f>
        <v>0</v>
      </c>
      <c r="C41" s="34">
        <f>'Water Heater Stock'!C10*'Device Energy Use'!$B9/1000</f>
        <v>0</v>
      </c>
      <c r="D41" s="34">
        <f>'Water Heater Stock'!D10*'Device Energy Use'!$B9/1000</f>
        <v>0</v>
      </c>
      <c r="E41" s="34">
        <f>'Water Heater Stock'!E10*'Device Energy Use'!$B9/1000</f>
        <v>0</v>
      </c>
      <c r="F41" s="34">
        <f>'Water Heater Stock'!F10*'Device Energy Use'!$B9/1000</f>
        <v>0</v>
      </c>
      <c r="G41" s="34">
        <f>'Water Heater Stock'!G10*'Device Energy Use'!$B9/1000</f>
        <v>0</v>
      </c>
      <c r="H41" s="34">
        <f>'Water Heater Stock'!H10*'Device Energy Use'!$B9/1000</f>
        <v>0</v>
      </c>
      <c r="I41" s="34">
        <f>'Water Heater Stock'!I10*'Device Energy Use'!$B9/1000</f>
        <v>0</v>
      </c>
      <c r="J41" s="34">
        <f>'Water Heater Stock'!J10*'Device Energy Use'!$B9/1000</f>
        <v>0</v>
      </c>
      <c r="K41" s="34">
        <f>'Water Heater Stock'!K10*'Device Energy Use'!$B9/1000</f>
        <v>0</v>
      </c>
      <c r="L41" s="34">
        <f>'Water Heater Stock'!L10*'Device Energy Use'!$B9/1000</f>
        <v>0</v>
      </c>
      <c r="M41" s="34">
        <f>'Water Heater Stock'!M10*'Device Energy Use'!$B9/1000</f>
        <v>0</v>
      </c>
      <c r="N41" s="34">
        <f>'Water Heater Stock'!N10*'Device Energy Use'!$B9/1000</f>
        <v>0</v>
      </c>
      <c r="O41" s="34">
        <f>'Water Heater Stock'!O10*'Device Energy Use'!$B9/1000</f>
        <v>0</v>
      </c>
      <c r="P41" s="34">
        <f>'Water Heater Stock'!P10*'Device Energy Use'!$B9/1000</f>
        <v>0</v>
      </c>
      <c r="Q41" s="34">
        <f>'Water Heater Stock'!Q10*'Device Energy Use'!$B9/1000</f>
        <v>0</v>
      </c>
      <c r="R41" s="34">
        <f>'Water Heater Stock'!R10*'Device Energy Use'!$B9/1000</f>
        <v>0</v>
      </c>
      <c r="S41" s="34">
        <f>'Water Heater Stock'!S10*'Device Energy Use'!$B9/1000</f>
        <v>0</v>
      </c>
      <c r="T41" s="34">
        <f>'Water Heater Stock'!T10*'Device Energy Use'!$B9/1000</f>
        <v>0</v>
      </c>
      <c r="U41" s="34">
        <f>'Water Heater Stock'!U10*'Device Energy Use'!$B9/1000</f>
        <v>0</v>
      </c>
      <c r="V41" s="34">
        <f>'Water Heater Stock'!V10*'Device Energy Use'!$B9/1000</f>
        <v>0</v>
      </c>
      <c r="W41" s="34">
        <f>'Water Heater Stock'!W10*'Device Energy Use'!$B9/1000</f>
        <v>0</v>
      </c>
    </row>
    <row r="42" spans="1:23">
      <c r="A42" s="38"/>
    </row>
    <row r="43" spans="1:23">
      <c r="A43" s="12" t="s">
        <v>104</v>
      </c>
    </row>
    <row r="44" spans="1:23">
      <c r="A44" s="39" t="str">
        <f>'Device Energy Use'!A4</f>
        <v>Water Heat Ending</v>
      </c>
      <c r="B44" s="42">
        <f>'Water Heater Stock'!B13</f>
        <v>2014</v>
      </c>
      <c r="C44" s="42">
        <f>'Water Heater Stock'!C13</f>
        <v>2015</v>
      </c>
      <c r="D44" s="42">
        <f>'Water Heater Stock'!D13</f>
        <v>2016</v>
      </c>
      <c r="E44" s="42">
        <f>'Water Heater Stock'!E13</f>
        <v>2017</v>
      </c>
      <c r="F44" s="42">
        <f>'Water Heater Stock'!F13</f>
        <v>2018</v>
      </c>
      <c r="G44" s="42">
        <f>'Water Heater Stock'!G13</f>
        <v>2019</v>
      </c>
      <c r="H44" s="42">
        <f>'Water Heater Stock'!H13</f>
        <v>2020</v>
      </c>
      <c r="I44" s="42">
        <f>'Water Heater Stock'!I13</f>
        <v>2021</v>
      </c>
      <c r="J44" s="42">
        <f>'Water Heater Stock'!J13</f>
        <v>2022</v>
      </c>
      <c r="K44" s="42">
        <f>'Water Heater Stock'!K13</f>
        <v>2023</v>
      </c>
      <c r="L44" s="42">
        <f>'Water Heater Stock'!L13</f>
        <v>2024</v>
      </c>
      <c r="M44" s="42">
        <f>'Water Heater Stock'!M13</f>
        <v>2025</v>
      </c>
      <c r="N44" s="42">
        <f>'Water Heater Stock'!N13</f>
        <v>2026</v>
      </c>
      <c r="O44" s="42">
        <f>'Water Heater Stock'!O13</f>
        <v>2027</v>
      </c>
      <c r="P44" s="42">
        <f>'Water Heater Stock'!P13</f>
        <v>2028</v>
      </c>
      <c r="Q44" s="42">
        <f>'Water Heater Stock'!Q13</f>
        <v>2029</v>
      </c>
      <c r="R44" s="42">
        <f>'Water Heater Stock'!R13</f>
        <v>2030</v>
      </c>
      <c r="S44" s="42">
        <f>'Water Heater Stock'!S13</f>
        <v>2031</v>
      </c>
      <c r="T44" s="42">
        <f>'Water Heater Stock'!T13</f>
        <v>2032</v>
      </c>
      <c r="U44" s="42">
        <f>'Water Heater Stock'!U13</f>
        <v>2033</v>
      </c>
      <c r="V44" s="42">
        <f>'Water Heater Stock'!V13</f>
        <v>2034</v>
      </c>
      <c r="W44" s="42">
        <f>'Water Heater Stock'!W13</f>
        <v>2035</v>
      </c>
    </row>
    <row r="45" spans="1:23" ht="16.5" thickBot="1">
      <c r="A45" s="49" t="s">
        <v>48</v>
      </c>
      <c r="B45" s="50">
        <f t="shared" ref="B45:W45" si="10">SUM(B46:B50)</f>
        <v>1393887.8562475017</v>
      </c>
      <c r="C45" s="50">
        <f t="shared" si="10"/>
        <v>1294324.4379441086</v>
      </c>
      <c r="D45" s="50">
        <f t="shared" si="10"/>
        <v>1201872.6923766723</v>
      </c>
      <c r="E45" s="50">
        <f t="shared" si="10"/>
        <v>1116024.6429211958</v>
      </c>
      <c r="F45" s="50">
        <f t="shared" si="10"/>
        <v>1036308.5969982533</v>
      </c>
      <c r="G45" s="50">
        <f t="shared" si="10"/>
        <v>962286.55435552087</v>
      </c>
      <c r="H45" s="50">
        <f t="shared" si="10"/>
        <v>893551.80047298362</v>
      </c>
      <c r="I45" s="50">
        <f t="shared" si="10"/>
        <v>829726.67186777061</v>
      </c>
      <c r="J45" s="50">
        <f t="shared" si="10"/>
        <v>770460.48102007271</v>
      </c>
      <c r="K45" s="50">
        <f t="shared" si="10"/>
        <v>715427.58951863879</v>
      </c>
      <c r="L45" s="50">
        <f t="shared" si="10"/>
        <v>664325.61883873609</v>
      </c>
      <c r="M45" s="50">
        <f t="shared" si="10"/>
        <v>616873.78892168344</v>
      </c>
      <c r="N45" s="50">
        <f t="shared" si="10"/>
        <v>572811.37542727741</v>
      </c>
      <c r="O45" s="50">
        <f t="shared" si="10"/>
        <v>579188.90087658365</v>
      </c>
      <c r="P45" s="50">
        <f t="shared" si="10"/>
        <v>585110.88879379642</v>
      </c>
      <c r="Q45" s="50">
        <f t="shared" si="10"/>
        <v>590609.87757406547</v>
      </c>
      <c r="R45" s="50">
        <f t="shared" si="10"/>
        <v>595716.0814414582</v>
      </c>
      <c r="S45" s="50">
        <f t="shared" si="10"/>
        <v>600457.55646117998</v>
      </c>
      <c r="T45" s="50">
        <f t="shared" si="10"/>
        <v>604860.35469377879</v>
      </c>
      <c r="U45" s="50">
        <f t="shared" si="10"/>
        <v>608948.66733833472</v>
      </c>
      <c r="V45" s="50">
        <f t="shared" si="10"/>
        <v>612744.95765113679</v>
      </c>
      <c r="W45" s="50">
        <f t="shared" si="10"/>
        <v>616270.08437016723</v>
      </c>
    </row>
    <row r="46" spans="1:23" ht="16.5" thickTop="1">
      <c r="A46" s="38" t="str">
        <f>'Device Energy Use'!A5</f>
        <v>Electric Resistance</v>
      </c>
      <c r="B46" s="34">
        <f>'Water Heater Stock'!B15*'Device Energy Use'!$B5/1000</f>
        <v>1393887.8562475017</v>
      </c>
      <c r="C46" s="34">
        <f>'Water Heater Stock'!C15*'Device Energy Use'!$B5/1000</f>
        <v>1294324.4379441086</v>
      </c>
      <c r="D46" s="34">
        <f>'Water Heater Stock'!D15*'Device Energy Use'!$B5/1000</f>
        <v>1201872.6923766723</v>
      </c>
      <c r="E46" s="34">
        <f>'Water Heater Stock'!E15*'Device Energy Use'!$B5/1000</f>
        <v>1116024.6429211958</v>
      </c>
      <c r="F46" s="34">
        <f>'Water Heater Stock'!F15*'Device Energy Use'!$B5/1000</f>
        <v>1036308.5969982533</v>
      </c>
      <c r="G46" s="34">
        <f>'Water Heater Stock'!G15*'Device Energy Use'!$B5/1000</f>
        <v>962286.55435552087</v>
      </c>
      <c r="H46" s="34">
        <f>'Water Heater Stock'!H15*'Device Energy Use'!$B5/1000</f>
        <v>893551.80047298362</v>
      </c>
      <c r="I46" s="34">
        <f>'Water Heater Stock'!I15*'Device Energy Use'!$B5/1000</f>
        <v>829726.67186777061</v>
      </c>
      <c r="J46" s="34">
        <f>'Water Heater Stock'!J15*'Device Energy Use'!$B5/1000</f>
        <v>770460.48102007271</v>
      </c>
      <c r="K46" s="34">
        <f>'Water Heater Stock'!K15*'Device Energy Use'!$B5/1000</f>
        <v>715427.58951863879</v>
      </c>
      <c r="L46" s="34">
        <f>'Water Heater Stock'!L15*'Device Energy Use'!$B5/1000</f>
        <v>664325.61883873609</v>
      </c>
      <c r="M46" s="34">
        <f>'Water Heater Stock'!M15*'Device Energy Use'!$B5/1000</f>
        <v>616873.78892168344</v>
      </c>
      <c r="N46" s="34">
        <f>'Water Heater Stock'!N15*'Device Energy Use'!$B5/1000</f>
        <v>572811.37542727741</v>
      </c>
      <c r="O46" s="34">
        <f>'Water Heater Stock'!O15*'Device Energy Use'!$B5/1000</f>
        <v>531896.27718247194</v>
      </c>
      <c r="P46" s="34">
        <f>'Water Heater Stock'!P15*'Device Energy Use'!$B5/1000</f>
        <v>493903.6859551525</v>
      </c>
      <c r="Q46" s="34">
        <f>'Water Heater Stock'!Q15*'Device Energy Use'!$B5/1000</f>
        <v>458624.85124407022</v>
      </c>
      <c r="R46" s="34">
        <f>'Water Heater Stock'!R15*'Device Energy Use'!$B5/1000</f>
        <v>425865.93329806521</v>
      </c>
      <c r="S46" s="34">
        <f>'Water Heater Stock'!S15*'Device Energy Use'!$B5/1000</f>
        <v>395446.93806248909</v>
      </c>
      <c r="T46" s="34">
        <f>'Water Heater Stock'!T15*'Device Energy Use'!$B5/1000</f>
        <v>367200.72820088267</v>
      </c>
      <c r="U46" s="34">
        <f>'Water Heater Stock'!U15*'Device Energy Use'!$B5/1000</f>
        <v>340972.10475796252</v>
      </c>
      <c r="V46" s="34">
        <f>'Water Heater Stock'!V15*'Device Energy Use'!$B5/1000</f>
        <v>316616.95441810804</v>
      </c>
      <c r="W46" s="34">
        <f>'Water Heater Stock'!W15*'Device Energy Use'!$B5/1000</f>
        <v>294001.45767395745</v>
      </c>
    </row>
    <row r="47" spans="1:23">
      <c r="A47" s="38" t="str">
        <f>'Device Energy Use'!A6</f>
        <v>HPWH</v>
      </c>
      <c r="B47" s="34">
        <f>'Water Heater Stock'!B16*'Device Energy Use'!$B6/1000</f>
        <v>0</v>
      </c>
      <c r="C47" s="34">
        <f>'Water Heater Stock'!C16*'Device Energy Use'!$B6/1000</f>
        <v>0</v>
      </c>
      <c r="D47" s="34">
        <f>'Water Heater Stock'!D16*'Device Energy Use'!$B6/1000</f>
        <v>0</v>
      </c>
      <c r="E47" s="34">
        <f>'Water Heater Stock'!E16*'Device Energy Use'!$B6/1000</f>
        <v>0</v>
      </c>
      <c r="F47" s="34">
        <f>'Water Heater Stock'!F16*'Device Energy Use'!$B6/1000</f>
        <v>0</v>
      </c>
      <c r="G47" s="34">
        <f>'Water Heater Stock'!G16*'Device Energy Use'!$B6/1000</f>
        <v>0</v>
      </c>
      <c r="H47" s="34">
        <f>'Water Heater Stock'!H16*'Device Energy Use'!$B6/1000</f>
        <v>0</v>
      </c>
      <c r="I47" s="34">
        <f>'Water Heater Stock'!I16*'Device Energy Use'!$B6/1000</f>
        <v>0</v>
      </c>
      <c r="J47" s="34">
        <f>'Water Heater Stock'!J16*'Device Energy Use'!$B6/1000</f>
        <v>0</v>
      </c>
      <c r="K47" s="34">
        <f>'Water Heater Stock'!K16*'Device Energy Use'!$B6/1000</f>
        <v>0</v>
      </c>
      <c r="L47" s="34">
        <f>'Water Heater Stock'!L16*'Device Energy Use'!$B6/1000</f>
        <v>0</v>
      </c>
      <c r="M47" s="34">
        <f>'Water Heater Stock'!M16*'Device Energy Use'!$B6/1000</f>
        <v>0</v>
      </c>
      <c r="N47" s="34">
        <f>'Water Heater Stock'!N16*'Device Energy Use'!$B6/1000</f>
        <v>0</v>
      </c>
      <c r="O47" s="34">
        <f>'Water Heater Stock'!O16*'Device Energy Use'!$B6/1000</f>
        <v>47292.623694111659</v>
      </c>
      <c r="P47" s="34">
        <f>'Water Heater Stock'!P16*'Device Energy Use'!$B6/1000</f>
        <v>91207.202838643905</v>
      </c>
      <c r="Q47" s="34">
        <f>'Water Heater Stock'!Q16*'Device Energy Use'!$B6/1000</f>
        <v>131985.02632999531</v>
      </c>
      <c r="R47" s="34">
        <f>'Water Heater Stock'!R16*'Device Energy Use'!$B6/1000</f>
        <v>169850.14814339302</v>
      </c>
      <c r="S47" s="34">
        <f>'Water Heater Stock'!S16*'Device Energy Use'!$B6/1000</f>
        <v>205010.61839869089</v>
      </c>
      <c r="T47" s="34">
        <f>'Water Heater Stock'!T16*'Device Energy Use'!$B6/1000</f>
        <v>237659.62649289606</v>
      </c>
      <c r="U47" s="34">
        <f>'Water Heater Stock'!U16*'Device Energy Use'!$B6/1000</f>
        <v>267976.56258037227</v>
      </c>
      <c r="V47" s="34">
        <f>'Water Heater Stock'!V16*'Device Energy Use'!$B6/1000</f>
        <v>296128.00323302875</v>
      </c>
      <c r="W47" s="34">
        <f>'Water Heater Stock'!W16*'Device Energy Use'!$B6/1000</f>
        <v>322268.62669620977</v>
      </c>
    </row>
    <row r="48" spans="1:23">
      <c r="A48" s="38" t="str">
        <f>'Device Energy Use'!A7</f>
        <v>Gas Tank</v>
      </c>
      <c r="B48" s="34">
        <f>'Water Heater Stock'!B17*'Device Energy Use'!$B7/1000</f>
        <v>0</v>
      </c>
      <c r="C48" s="34">
        <f>'Water Heater Stock'!C17*'Device Energy Use'!$B7/1000</f>
        <v>0</v>
      </c>
      <c r="D48" s="34">
        <f>'Water Heater Stock'!D17*'Device Energy Use'!$B7/1000</f>
        <v>0</v>
      </c>
      <c r="E48" s="34">
        <f>'Water Heater Stock'!E17*'Device Energy Use'!$B7/1000</f>
        <v>0</v>
      </c>
      <c r="F48" s="34">
        <f>'Water Heater Stock'!F17*'Device Energy Use'!$B7/1000</f>
        <v>0</v>
      </c>
      <c r="G48" s="34">
        <f>'Water Heater Stock'!G17*'Device Energy Use'!$B7/1000</f>
        <v>0</v>
      </c>
      <c r="H48" s="34">
        <f>'Water Heater Stock'!H17*'Device Energy Use'!$B7/1000</f>
        <v>0</v>
      </c>
      <c r="I48" s="34">
        <f>'Water Heater Stock'!I17*'Device Energy Use'!$B7/1000</f>
        <v>0</v>
      </c>
      <c r="J48" s="34">
        <f>'Water Heater Stock'!J17*'Device Energy Use'!$B7/1000</f>
        <v>0</v>
      </c>
      <c r="K48" s="34">
        <f>'Water Heater Stock'!K17*'Device Energy Use'!$B7/1000</f>
        <v>0</v>
      </c>
      <c r="L48" s="34">
        <f>'Water Heater Stock'!L17*'Device Energy Use'!$B7/1000</f>
        <v>0</v>
      </c>
      <c r="M48" s="34">
        <f>'Water Heater Stock'!M17*'Device Energy Use'!$B7/1000</f>
        <v>0</v>
      </c>
      <c r="N48" s="34">
        <f>'Water Heater Stock'!N17*'Device Energy Use'!$B7/1000</f>
        <v>0</v>
      </c>
      <c r="O48" s="34">
        <f>'Water Heater Stock'!O17*'Device Energy Use'!$B7/1000</f>
        <v>0</v>
      </c>
      <c r="P48" s="34">
        <f>'Water Heater Stock'!P17*'Device Energy Use'!$B7/1000</f>
        <v>0</v>
      </c>
      <c r="Q48" s="34">
        <f>'Water Heater Stock'!Q17*'Device Energy Use'!$B7/1000</f>
        <v>0</v>
      </c>
      <c r="R48" s="34">
        <f>'Water Heater Stock'!R17*'Device Energy Use'!$B7/1000</f>
        <v>0</v>
      </c>
      <c r="S48" s="34">
        <f>'Water Heater Stock'!S17*'Device Energy Use'!$B7/1000</f>
        <v>0</v>
      </c>
      <c r="T48" s="34">
        <f>'Water Heater Stock'!T17*'Device Energy Use'!$B7/1000</f>
        <v>0</v>
      </c>
      <c r="U48" s="34">
        <f>'Water Heater Stock'!U17*'Device Energy Use'!$B7/1000</f>
        <v>0</v>
      </c>
      <c r="V48" s="34">
        <f>'Water Heater Stock'!V17*'Device Energy Use'!$B7/1000</f>
        <v>0</v>
      </c>
      <c r="W48" s="34">
        <f>'Water Heater Stock'!W17*'Device Energy Use'!$B7/1000</f>
        <v>0</v>
      </c>
    </row>
    <row r="49" spans="1:23">
      <c r="A49" s="38" t="str">
        <f>'Device Energy Use'!A8</f>
        <v>Instant Gas</v>
      </c>
      <c r="B49" s="34">
        <f>'Water Heater Stock'!B18*'Device Energy Use'!$B8/1000</f>
        <v>0</v>
      </c>
      <c r="C49" s="34">
        <f>'Water Heater Stock'!C18*'Device Energy Use'!$B8/1000</f>
        <v>0</v>
      </c>
      <c r="D49" s="34">
        <f>'Water Heater Stock'!D18*'Device Energy Use'!$B8/1000</f>
        <v>0</v>
      </c>
      <c r="E49" s="34">
        <f>'Water Heater Stock'!E18*'Device Energy Use'!$B8/1000</f>
        <v>0</v>
      </c>
      <c r="F49" s="34">
        <f>'Water Heater Stock'!F18*'Device Energy Use'!$B8/1000</f>
        <v>0</v>
      </c>
      <c r="G49" s="34">
        <f>'Water Heater Stock'!G18*'Device Energy Use'!$B8/1000</f>
        <v>0</v>
      </c>
      <c r="H49" s="34">
        <f>'Water Heater Stock'!H18*'Device Energy Use'!$B8/1000</f>
        <v>0</v>
      </c>
      <c r="I49" s="34">
        <f>'Water Heater Stock'!I18*'Device Energy Use'!$B8/1000</f>
        <v>0</v>
      </c>
      <c r="J49" s="34">
        <f>'Water Heater Stock'!J18*'Device Energy Use'!$B8/1000</f>
        <v>0</v>
      </c>
      <c r="K49" s="34">
        <f>'Water Heater Stock'!K18*'Device Energy Use'!$B8/1000</f>
        <v>0</v>
      </c>
      <c r="L49" s="34">
        <f>'Water Heater Stock'!L18*'Device Energy Use'!$B8/1000</f>
        <v>0</v>
      </c>
      <c r="M49" s="34">
        <f>'Water Heater Stock'!M18*'Device Energy Use'!$B8/1000</f>
        <v>0</v>
      </c>
      <c r="N49" s="34">
        <f>'Water Heater Stock'!N18*'Device Energy Use'!$B8/1000</f>
        <v>0</v>
      </c>
      <c r="O49" s="34">
        <f>'Water Heater Stock'!O18*'Device Energy Use'!$B8/1000</f>
        <v>0</v>
      </c>
      <c r="P49" s="34">
        <f>'Water Heater Stock'!P18*'Device Energy Use'!$B8/1000</f>
        <v>0</v>
      </c>
      <c r="Q49" s="34">
        <f>'Water Heater Stock'!Q18*'Device Energy Use'!$B8/1000</f>
        <v>0</v>
      </c>
      <c r="R49" s="34">
        <f>'Water Heater Stock'!R18*'Device Energy Use'!$B8/1000</f>
        <v>0</v>
      </c>
      <c r="S49" s="34">
        <f>'Water Heater Stock'!S18*'Device Energy Use'!$B8/1000</f>
        <v>0</v>
      </c>
      <c r="T49" s="34">
        <f>'Water Heater Stock'!T18*'Device Energy Use'!$B8/1000</f>
        <v>0</v>
      </c>
      <c r="U49" s="34">
        <f>'Water Heater Stock'!U18*'Device Energy Use'!$B8/1000</f>
        <v>0</v>
      </c>
      <c r="V49" s="34">
        <f>'Water Heater Stock'!V18*'Device Energy Use'!$B8/1000</f>
        <v>0</v>
      </c>
      <c r="W49" s="34">
        <f>'Water Heater Stock'!W18*'Device Energy Use'!$B8/1000</f>
        <v>0</v>
      </c>
    </row>
    <row r="50" spans="1:23">
      <c r="A50" s="38" t="str">
        <f>'Device Energy Use'!A9</f>
        <v>Condensing Gas</v>
      </c>
      <c r="B50" s="34">
        <f>'Water Heater Stock'!B19*'Device Energy Use'!$B9/1000</f>
        <v>0</v>
      </c>
      <c r="C50" s="34">
        <f>'Water Heater Stock'!C19*'Device Energy Use'!$B9/1000</f>
        <v>0</v>
      </c>
      <c r="D50" s="34">
        <f>'Water Heater Stock'!D19*'Device Energy Use'!$B9/1000</f>
        <v>0</v>
      </c>
      <c r="E50" s="34">
        <f>'Water Heater Stock'!E19*'Device Energy Use'!$B9/1000</f>
        <v>0</v>
      </c>
      <c r="F50" s="34">
        <f>'Water Heater Stock'!F19*'Device Energy Use'!$B9/1000</f>
        <v>0</v>
      </c>
      <c r="G50" s="34">
        <f>'Water Heater Stock'!G19*'Device Energy Use'!$B9/1000</f>
        <v>0</v>
      </c>
      <c r="H50" s="34">
        <f>'Water Heater Stock'!H19*'Device Energy Use'!$B9/1000</f>
        <v>0</v>
      </c>
      <c r="I50" s="34">
        <f>'Water Heater Stock'!I19*'Device Energy Use'!$B9/1000</f>
        <v>0</v>
      </c>
      <c r="J50" s="34">
        <f>'Water Heater Stock'!J19*'Device Energy Use'!$B9/1000</f>
        <v>0</v>
      </c>
      <c r="K50" s="34">
        <f>'Water Heater Stock'!K19*'Device Energy Use'!$B9/1000</f>
        <v>0</v>
      </c>
      <c r="L50" s="34">
        <f>'Water Heater Stock'!L19*'Device Energy Use'!$B9/1000</f>
        <v>0</v>
      </c>
      <c r="M50" s="34">
        <f>'Water Heater Stock'!M19*'Device Energy Use'!$B9/1000</f>
        <v>0</v>
      </c>
      <c r="N50" s="34">
        <f>'Water Heater Stock'!N19*'Device Energy Use'!$B9/1000</f>
        <v>0</v>
      </c>
      <c r="O50" s="34">
        <f>'Water Heater Stock'!O19*'Device Energy Use'!$B9/1000</f>
        <v>0</v>
      </c>
      <c r="P50" s="34">
        <f>'Water Heater Stock'!P19*'Device Energy Use'!$B9/1000</f>
        <v>0</v>
      </c>
      <c r="Q50" s="34">
        <f>'Water Heater Stock'!Q19*'Device Energy Use'!$B9/1000</f>
        <v>0</v>
      </c>
      <c r="R50" s="34">
        <f>'Water Heater Stock'!R19*'Device Energy Use'!$B9/1000</f>
        <v>0</v>
      </c>
      <c r="S50" s="34">
        <f>'Water Heater Stock'!S19*'Device Energy Use'!$B9/1000</f>
        <v>0</v>
      </c>
      <c r="T50" s="34">
        <f>'Water Heater Stock'!T19*'Device Energy Use'!$B9/1000</f>
        <v>0</v>
      </c>
      <c r="U50" s="34">
        <f>'Water Heater Stock'!U19*'Device Energy Use'!$B9/1000</f>
        <v>0</v>
      </c>
      <c r="V50" s="34">
        <f>'Water Heater Stock'!V19*'Device Energy Use'!$B9/1000</f>
        <v>0</v>
      </c>
      <c r="W50" s="34">
        <f>'Water Heater Stock'!W19*'Device Energy Use'!$B9/1000</f>
        <v>0</v>
      </c>
    </row>
    <row r="51" spans="1:23">
      <c r="A51" s="38"/>
    </row>
    <row r="52" spans="1:23">
      <c r="A52" s="12" t="s">
        <v>50</v>
      </c>
    </row>
    <row r="53" spans="1:23">
      <c r="A53" s="39" t="str">
        <f>'Device Energy Use'!A4</f>
        <v>Water Heat Ending</v>
      </c>
      <c r="B53" s="42">
        <f>'Water Heater Stock'!B4</f>
        <v>2014</v>
      </c>
      <c r="C53" s="42">
        <f>'Water Heater Stock'!C4</f>
        <v>2015</v>
      </c>
      <c r="D53" s="42">
        <f>'Water Heater Stock'!D4</f>
        <v>2016</v>
      </c>
      <c r="E53" s="42">
        <f>'Water Heater Stock'!E4</f>
        <v>2017</v>
      </c>
      <c r="F53" s="42">
        <f>'Water Heater Stock'!F4</f>
        <v>2018</v>
      </c>
      <c r="G53" s="42">
        <f>'Water Heater Stock'!G4</f>
        <v>2019</v>
      </c>
      <c r="H53" s="42">
        <f>'Water Heater Stock'!H4</f>
        <v>2020</v>
      </c>
      <c r="I53" s="42">
        <f>'Water Heater Stock'!I4</f>
        <v>2021</v>
      </c>
      <c r="J53" s="42">
        <f>'Water Heater Stock'!J4</f>
        <v>2022</v>
      </c>
      <c r="K53" s="42">
        <f>'Water Heater Stock'!K4</f>
        <v>2023</v>
      </c>
      <c r="L53" s="42">
        <f>'Water Heater Stock'!L4</f>
        <v>2024</v>
      </c>
      <c r="M53" s="42">
        <f>'Water Heater Stock'!M4</f>
        <v>2025</v>
      </c>
      <c r="N53" s="42">
        <f>'Water Heater Stock'!N4</f>
        <v>2026</v>
      </c>
      <c r="O53" s="42">
        <f>'Water Heater Stock'!O4</f>
        <v>2027</v>
      </c>
      <c r="P53" s="42">
        <f>'Water Heater Stock'!P4</f>
        <v>2028</v>
      </c>
      <c r="Q53" s="42">
        <f>'Water Heater Stock'!Q4</f>
        <v>2029</v>
      </c>
      <c r="R53" s="42">
        <f>'Water Heater Stock'!R4</f>
        <v>2030</v>
      </c>
      <c r="S53" s="42">
        <f>'Water Heater Stock'!S4</f>
        <v>2031</v>
      </c>
      <c r="T53" s="42">
        <f>'Water Heater Stock'!T4</f>
        <v>2032</v>
      </c>
      <c r="U53" s="42">
        <f>'Water Heater Stock'!U4</f>
        <v>2033</v>
      </c>
      <c r="V53" s="42">
        <f>'Water Heater Stock'!V4</f>
        <v>2034</v>
      </c>
      <c r="W53" s="42">
        <f>'Water Heater Stock'!W4</f>
        <v>2035</v>
      </c>
    </row>
    <row r="54" spans="1:23" ht="16.5" thickBot="1">
      <c r="A54" s="49" t="s">
        <v>48</v>
      </c>
      <c r="B54" s="50">
        <f t="shared" ref="B54:W54" si="11">SUM(B55:B59)</f>
        <v>0</v>
      </c>
      <c r="C54" s="50">
        <f t="shared" si="11"/>
        <v>89974.801176860681</v>
      </c>
      <c r="D54" s="50">
        <f t="shared" si="11"/>
        <v>173563.30634725516</v>
      </c>
      <c r="E54" s="50">
        <f t="shared" si="11"/>
        <v>251230.22357823659</v>
      </c>
      <c r="F54" s="50">
        <f t="shared" si="11"/>
        <v>323414.66967377433</v>
      </c>
      <c r="G54" s="50">
        <f t="shared" si="11"/>
        <v>390535.20575863309</v>
      </c>
      <c r="H54" s="50">
        <f t="shared" si="11"/>
        <v>452995.090898455</v>
      </c>
      <c r="I54" s="50">
        <f t="shared" si="11"/>
        <v>511187.49400991009</v>
      </c>
      <c r="J54" s="50">
        <f t="shared" si="11"/>
        <v>565500.25724256749</v>
      </c>
      <c r="K54" s="50">
        <f t="shared" si="11"/>
        <v>616319.67499046749</v>
      </c>
      <c r="L54" s="50">
        <f t="shared" si="11"/>
        <v>664032.67946018046</v>
      </c>
      <c r="M54" s="50">
        <f t="shared" si="11"/>
        <v>709026.84949700953</v>
      </c>
      <c r="N54" s="50">
        <f t="shared" si="11"/>
        <v>751687.82150063117</v>
      </c>
      <c r="O54" s="50">
        <f t="shared" si="11"/>
        <v>792393.99323900568</v>
      </c>
      <c r="P54" s="50">
        <f t="shared" si="11"/>
        <v>831508.84360960813</v>
      </c>
      <c r="Q54" s="50">
        <f t="shared" si="11"/>
        <v>869371.6619615719</v>
      </c>
      <c r="R54" s="50">
        <f t="shared" si="11"/>
        <v>906287.86787741806</v>
      </c>
      <c r="S54" s="50">
        <f t="shared" si="11"/>
        <v>942520.28306184267</v>
      </c>
      <c r="T54" s="50">
        <f t="shared" si="11"/>
        <v>978282.61681860243</v>
      </c>
      <c r="U54" s="50">
        <f t="shared" si="11"/>
        <v>1013736.0572887185</v>
      </c>
      <c r="V54" s="50">
        <f t="shared" si="11"/>
        <v>1048989.3209960037</v>
      </c>
      <c r="W54" s="50">
        <f t="shared" si="11"/>
        <v>1084101.950528675</v>
      </c>
    </row>
    <row r="55" spans="1:23" ht="16.5" thickTop="1">
      <c r="A55" s="38" t="str">
        <f>'Device Energy Use'!A5</f>
        <v>Electric Resistance</v>
      </c>
      <c r="B55" s="34">
        <f>'Water Heater Stock'!B6*'Device Energy Use'!$C5</f>
        <v>0</v>
      </c>
      <c r="C55" s="34">
        <f>'Water Heater Stock'!C6*'Device Energy Use'!$C5</f>
        <v>0</v>
      </c>
      <c r="D55" s="34">
        <f>'Water Heater Stock'!D6*'Device Energy Use'!$C5</f>
        <v>0</v>
      </c>
      <c r="E55" s="34">
        <f>'Water Heater Stock'!E6*'Device Energy Use'!$C5</f>
        <v>0</v>
      </c>
      <c r="F55" s="34">
        <f>'Water Heater Stock'!F6*'Device Energy Use'!$C5</f>
        <v>0</v>
      </c>
      <c r="G55" s="34">
        <f>'Water Heater Stock'!G6*'Device Energy Use'!$C5</f>
        <v>0</v>
      </c>
      <c r="H55" s="34">
        <f>'Water Heater Stock'!H6*'Device Energy Use'!$C5</f>
        <v>0</v>
      </c>
      <c r="I55" s="34">
        <f>'Water Heater Stock'!I6*'Device Energy Use'!$C5</f>
        <v>0</v>
      </c>
      <c r="J55" s="34">
        <f>'Water Heater Stock'!J6*'Device Energy Use'!$C5</f>
        <v>0</v>
      </c>
      <c r="K55" s="34">
        <f>'Water Heater Stock'!K6*'Device Energy Use'!$C5</f>
        <v>0</v>
      </c>
      <c r="L55" s="34">
        <f>'Water Heater Stock'!L6*'Device Energy Use'!$C5</f>
        <v>0</v>
      </c>
      <c r="M55" s="34">
        <f>'Water Heater Stock'!M6*'Device Energy Use'!$C5</f>
        <v>0</v>
      </c>
      <c r="N55" s="34">
        <f>'Water Heater Stock'!N6*'Device Energy Use'!$C5</f>
        <v>0</v>
      </c>
      <c r="O55" s="34">
        <f>'Water Heater Stock'!O6*'Device Energy Use'!$C5</f>
        <v>0</v>
      </c>
      <c r="P55" s="34">
        <f>'Water Heater Stock'!P6*'Device Energy Use'!$C5</f>
        <v>0</v>
      </c>
      <c r="Q55" s="34">
        <f>'Water Heater Stock'!Q6*'Device Energy Use'!$C5</f>
        <v>0</v>
      </c>
      <c r="R55" s="34">
        <f>'Water Heater Stock'!R6*'Device Energy Use'!$C5</f>
        <v>0</v>
      </c>
      <c r="S55" s="34">
        <f>'Water Heater Stock'!S6*'Device Energy Use'!$C5</f>
        <v>0</v>
      </c>
      <c r="T55" s="34">
        <f>'Water Heater Stock'!T6*'Device Energy Use'!$C5</f>
        <v>0</v>
      </c>
      <c r="U55" s="34">
        <f>'Water Heater Stock'!U6*'Device Energy Use'!$C5</f>
        <v>0</v>
      </c>
      <c r="V55" s="34">
        <f>'Water Heater Stock'!V6*'Device Energy Use'!$C5</f>
        <v>0</v>
      </c>
      <c r="W55" s="34">
        <f>'Water Heater Stock'!W6*'Device Energy Use'!$C5</f>
        <v>0</v>
      </c>
    </row>
    <row r="56" spans="1:23">
      <c r="A56" s="38" t="str">
        <f>'Device Energy Use'!A6</f>
        <v>HPWH</v>
      </c>
      <c r="B56" s="34">
        <f>'Water Heater Stock'!B7*'Device Energy Use'!$C6</f>
        <v>0</v>
      </c>
      <c r="C56" s="34">
        <f>'Water Heater Stock'!C7*'Device Energy Use'!$C6</f>
        <v>0</v>
      </c>
      <c r="D56" s="34">
        <f>'Water Heater Stock'!D7*'Device Energy Use'!$C6</f>
        <v>0</v>
      </c>
      <c r="E56" s="34">
        <f>'Water Heater Stock'!E7*'Device Energy Use'!$C6</f>
        <v>0</v>
      </c>
      <c r="F56" s="34">
        <f>'Water Heater Stock'!F7*'Device Energy Use'!$C6</f>
        <v>0</v>
      </c>
      <c r="G56" s="34">
        <f>'Water Heater Stock'!G7*'Device Energy Use'!$C6</f>
        <v>0</v>
      </c>
      <c r="H56" s="34">
        <f>'Water Heater Stock'!H7*'Device Energy Use'!$C6</f>
        <v>0</v>
      </c>
      <c r="I56" s="34">
        <f>'Water Heater Stock'!I7*'Device Energy Use'!$C6</f>
        <v>0</v>
      </c>
      <c r="J56" s="34">
        <f>'Water Heater Stock'!J7*'Device Energy Use'!$C6</f>
        <v>0</v>
      </c>
      <c r="K56" s="34">
        <f>'Water Heater Stock'!K7*'Device Energy Use'!$C6</f>
        <v>0</v>
      </c>
      <c r="L56" s="34">
        <f>'Water Heater Stock'!L7*'Device Energy Use'!$C6</f>
        <v>0</v>
      </c>
      <c r="M56" s="34">
        <f>'Water Heater Stock'!M7*'Device Energy Use'!$C6</f>
        <v>0</v>
      </c>
      <c r="N56" s="34">
        <f>'Water Heater Stock'!N7*'Device Energy Use'!$C6</f>
        <v>0</v>
      </c>
      <c r="O56" s="34">
        <f>'Water Heater Stock'!O7*'Device Energy Use'!$C6</f>
        <v>0</v>
      </c>
      <c r="P56" s="34">
        <f>'Water Heater Stock'!P7*'Device Energy Use'!$C6</f>
        <v>0</v>
      </c>
      <c r="Q56" s="34">
        <f>'Water Heater Stock'!Q7*'Device Energy Use'!$C6</f>
        <v>0</v>
      </c>
      <c r="R56" s="34">
        <f>'Water Heater Stock'!R7*'Device Energy Use'!$C6</f>
        <v>0</v>
      </c>
      <c r="S56" s="34">
        <f>'Water Heater Stock'!S7*'Device Energy Use'!$C6</f>
        <v>0</v>
      </c>
      <c r="T56" s="34">
        <f>'Water Heater Stock'!T7*'Device Energy Use'!$C6</f>
        <v>0</v>
      </c>
      <c r="U56" s="34">
        <f>'Water Heater Stock'!U7*'Device Energy Use'!$C6</f>
        <v>0</v>
      </c>
      <c r="V56" s="34">
        <f>'Water Heater Stock'!V7*'Device Energy Use'!$C6</f>
        <v>0</v>
      </c>
      <c r="W56" s="34">
        <f>'Water Heater Stock'!W7*'Device Energy Use'!$C6</f>
        <v>0</v>
      </c>
    </row>
    <row r="57" spans="1:23">
      <c r="A57" s="38" t="str">
        <f>'Device Energy Use'!A7</f>
        <v>Gas Tank</v>
      </c>
      <c r="B57" s="34">
        <f>'Water Heater Stock'!B8*'Device Energy Use'!$C7</f>
        <v>0</v>
      </c>
      <c r="C57" s="34">
        <f>'Water Heater Stock'!C8*'Device Energy Use'!$C7</f>
        <v>89939.318935579387</v>
      </c>
      <c r="D57" s="34">
        <f>'Water Heater Stock'!D8*'Device Energy Use'!$C7</f>
        <v>173459.19757953845</v>
      </c>
      <c r="E57" s="34">
        <f>'Water Heater Stock'!E8*'Device Energy Use'!$C7</f>
        <v>250997.86889742932</v>
      </c>
      <c r="F57" s="34">
        <f>'Water Heater Stock'!F8*'Device Energy Use'!$C7</f>
        <v>322952.07196507044</v>
      </c>
      <c r="G57" s="34">
        <f>'Water Heater Stock'!G8*'Device Energy Use'!$C7</f>
        <v>389675.77847339667</v>
      </c>
      <c r="H57" s="34">
        <f>'Water Heater Stock'!H8*'Device Energy Use'!$C7</f>
        <v>451478.29353876569</v>
      </c>
      <c r="I57" s="34">
        <f>'Water Heater Stock'!I8*'Device Energy Use'!$C7</f>
        <v>508622.12215458922</v>
      </c>
      <c r="J57" s="34">
        <f>'Water Heater Stock'!J8*'Device Energy Use'!$C7</f>
        <v>561321.18183589482</v>
      </c>
      <c r="K57" s="34">
        <f>'Water Heater Stock'!K8*'Device Energy Use'!$C7</f>
        <v>609740.10171231802</v>
      </c>
      <c r="L57" s="34">
        <f>'Water Heater Stock'!L8*'Device Energy Use'!$C7</f>
        <v>653995.42822491366</v>
      </c>
      <c r="M57" s="34">
        <f>'Water Heater Stock'!M8*'Device Energy Use'!$C7</f>
        <v>694159.50175791071</v>
      </c>
      <c r="N57" s="34">
        <f>'Water Heater Stock'!N8*'Device Energy Use'!$C7</f>
        <v>730267.53093338304</v>
      </c>
      <c r="O57" s="34">
        <f>'Water Heater Stock'!O8*'Device Energy Use'!$C7</f>
        <v>762327.95947145007</v>
      </c>
      <c r="P57" s="34">
        <f>'Water Heater Stock'!P8*'Device Energy Use'!$C7</f>
        <v>790335.64002339856</v>
      </c>
      <c r="Q57" s="34">
        <f>'Water Heater Stock'!Q8*'Device Energy Use'!$C7</f>
        <v>814286.71389445337</v>
      </c>
      <c r="R57" s="34">
        <f>'Water Heater Stock'!R8*'Device Energy Use'!$C7</f>
        <v>834193.60746902728</v>
      </c>
      <c r="S57" s="34">
        <f>'Water Heater Stock'!S8*'Device Energy Use'!$C7</f>
        <v>850098.3544477442</v>
      </c>
      <c r="T57" s="34">
        <f>'Water Heater Stock'!T8*'Device Energy Use'!$C7</f>
        <v>862082.62691957003</v>
      </c>
      <c r="U57" s="34">
        <f>'Water Heater Stock'!U8*'Device Energy Use'!$C7</f>
        <v>870273.38092194463</v>
      </c>
      <c r="V57" s="34">
        <f>'Water Heater Stock'!V8*'Device Energy Use'!$C7</f>
        <v>874843.75360549998</v>
      </c>
      <c r="W57" s="34">
        <f>'Water Heater Stock'!W8*'Device Energy Use'!$C7</f>
        <v>876009.59111123311</v>
      </c>
    </row>
    <row r="58" spans="1:23">
      <c r="A58" s="38" t="str">
        <f>'Device Energy Use'!A8</f>
        <v>Instant Gas</v>
      </c>
      <c r="B58" s="34">
        <f>'Water Heater Stock'!B9*'Device Energy Use'!$C8</f>
        <v>0</v>
      </c>
      <c r="C58" s="34">
        <f>'Water Heater Stock'!C9*'Device Energy Use'!$C8</f>
        <v>9.6154028512056513</v>
      </c>
      <c r="D58" s="34">
        <f>'Water Heater Stock'!D9*'Device Energy Use'!$C8</f>
        <v>28.245060174624683</v>
      </c>
      <c r="E58" s="34">
        <f>'Water Heater Stock'!E9*'Device Energy Use'!$C8</f>
        <v>63.12041992731762</v>
      </c>
      <c r="F58" s="34">
        <f>'Water Heater Stock'!F9*'Device Energy Use'!$C8</f>
        <v>125.84315306656146</v>
      </c>
      <c r="G58" s="34">
        <f>'Water Heater Stock'!G9*'Device Energy Use'!$C8</f>
        <v>234.13788628059743</v>
      </c>
      <c r="H58" s="34">
        <f>'Water Heater Stock'!H9*'Device Energy Use'!$C8</f>
        <v>413.85148178350761</v>
      </c>
      <c r="I58" s="34">
        <f>'Water Heater Stock'!I9*'Device Energy Use'!$C8</f>
        <v>701.02350659234071</v>
      </c>
      <c r="J58" s="34">
        <f>'Water Heater Stock'!J9*'Device Energy Use'!$C8</f>
        <v>1143.7581943942578</v>
      </c>
      <c r="K58" s="34">
        <f>'Water Heater Stock'!K9*'Device Energy Use'!$C8</f>
        <v>1803.545553513376</v>
      </c>
      <c r="L58" s="34">
        <f>'Water Heater Stock'!L9*'Device Energy Use'!$C8</f>
        <v>2755.6327033424741</v>
      </c>
      <c r="M58" s="34">
        <f>'Water Heater Stock'!M9*'Device Energy Use'!$C8</f>
        <v>4088.0639154888913</v>
      </c>
      <c r="N58" s="34">
        <f>'Water Heater Stock'!N9*'Device Energy Use'!$C8</f>
        <v>5899.1132472500603</v>
      </c>
      <c r="O58" s="34">
        <f>'Water Heater Stock'!O9*'Device Energy Use'!$C8</f>
        <v>8293.0356889468858</v>
      </c>
      <c r="P58" s="34">
        <f>'Water Heater Stock'!P9*'Device Energy Use'!$C8</f>
        <v>11374.342176560909</v>
      </c>
      <c r="Q58" s="34">
        <f>'Water Heater Stock'!Q9*'Device Energy Use'!$C8</f>
        <v>15241.107650902726</v>
      </c>
      <c r="R58" s="34">
        <f>'Water Heater Stock'!R9*'Device Energy Use'!$C8</f>
        <v>19978.07105621733</v>
      </c>
      <c r="S58" s="34">
        <f>'Water Heater Stock'!S9*'Device Energy Use'!$C8</f>
        <v>25650.402298540765</v>
      </c>
      <c r="T58" s="34">
        <f>'Water Heater Stock'!T9*'Device Energy Use'!$C8</f>
        <v>32298.945917378591</v>
      </c>
      <c r="U58" s="34">
        <f>'Water Heater Stock'!U9*'Device Energy Use'!$C8</f>
        <v>39937.512402644155</v>
      </c>
      <c r="V58" s="34">
        <f>'Water Heater Stock'!V9*'Device Energy Use'!$C8</f>
        <v>48552.439685295947</v>
      </c>
      <c r="W58" s="34">
        <f>'Water Heater Stock'!W9*'Device Energy Use'!$C8</f>
        <v>58104.284438985022</v>
      </c>
    </row>
    <row r="59" spans="1:23">
      <c r="A59" s="38" t="str">
        <f>'Device Energy Use'!A9</f>
        <v>Condensing Gas</v>
      </c>
      <c r="B59" s="34">
        <f>'Water Heater Stock'!B10*'Device Energy Use'!$C9</f>
        <v>0</v>
      </c>
      <c r="C59" s="34">
        <f>'Water Heater Stock'!C10*'Device Energy Use'!$C9</f>
        <v>25.866838430080236</v>
      </c>
      <c r="D59" s="34">
        <f>'Water Heater Stock'!D10*'Device Energy Use'!$C9</f>
        <v>75.863707542073257</v>
      </c>
      <c r="E59" s="34">
        <f>'Water Heater Stock'!E10*'Device Energy Use'!$C9</f>
        <v>169.23426087994088</v>
      </c>
      <c r="F59" s="34">
        <f>'Water Heater Stock'!F10*'Device Energy Use'!$C9</f>
        <v>336.75455563730691</v>
      </c>
      <c r="G59" s="34">
        <f>'Water Heater Stock'!G10*'Device Energy Use'!$C9</f>
        <v>625.28939895583983</v>
      </c>
      <c r="H59" s="34">
        <f>'Water Heater Stock'!H10*'Device Energy Use'!$C9</f>
        <v>1102.9458779058111</v>
      </c>
      <c r="I59" s="34">
        <f>'Water Heater Stock'!I10*'Device Energy Use'!$C9</f>
        <v>1864.3483487285287</v>
      </c>
      <c r="J59" s="34">
        <f>'Water Heater Stock'!J10*'Device Energy Use'!$C9</f>
        <v>3035.3172122783812</v>
      </c>
      <c r="K59" s="34">
        <f>'Water Heater Stock'!K10*'Device Energy Use'!$C9</f>
        <v>4776.0277246361184</v>
      </c>
      <c r="L59" s="34">
        <f>'Water Heater Stock'!L10*'Device Energy Use'!$C9</f>
        <v>7281.6185319242759</v>
      </c>
      <c r="M59" s="34">
        <f>'Water Heater Stock'!M10*'Device Energy Use'!$C9</f>
        <v>10779.283823609885</v>
      </c>
      <c r="N59" s="34">
        <f>'Water Heater Stock'!N10*'Device Energy Use'!$C9</f>
        <v>15521.177319998089</v>
      </c>
      <c r="O59" s="34">
        <f>'Water Heater Stock'!O10*'Device Energy Use'!$C9</f>
        <v>21772.998078608751</v>
      </c>
      <c r="P59" s="34">
        <f>'Water Heater Stock'!P10*'Device Energy Use'!$C9</f>
        <v>29798.861409648642</v>
      </c>
      <c r="Q59" s="34">
        <f>'Water Heater Stock'!Q10*'Device Energy Use'!$C9</f>
        <v>39843.840416215833</v>
      </c>
      <c r="R59" s="34">
        <f>'Water Heater Stock'!R10*'Device Energy Use'!$C9</f>
        <v>52116.189352173511</v>
      </c>
      <c r="S59" s="34">
        <f>'Water Heater Stock'!S10*'Device Energy Use'!$C9</f>
        <v>66771.526315557712</v>
      </c>
      <c r="T59" s="34">
        <f>'Water Heater Stock'!T10*'Device Energy Use'!$C9</f>
        <v>83901.043981653725</v>
      </c>
      <c r="U59" s="34">
        <f>'Water Heater Stock'!U10*'Device Energy Use'!$C9</f>
        <v>103525.16396412971</v>
      </c>
      <c r="V59" s="34">
        <f>'Water Heater Stock'!V10*'Device Energy Use'!$C9</f>
        <v>125593.12770520779</v>
      </c>
      <c r="W59" s="34">
        <f>'Water Heater Stock'!W10*'Device Energy Use'!$C9</f>
        <v>149988.07497845677</v>
      </c>
    </row>
    <row r="61" spans="1:23">
      <c r="A61" s="12" t="s">
        <v>105</v>
      </c>
    </row>
    <row r="62" spans="1:23">
      <c r="A62" s="39" t="str">
        <f>'Device Energy Use'!A4</f>
        <v>Water Heat Ending</v>
      </c>
      <c r="B62" s="42">
        <f>'Water Heater Stock'!B13</f>
        <v>2014</v>
      </c>
      <c r="C62" s="42">
        <f>'Water Heater Stock'!C13</f>
        <v>2015</v>
      </c>
      <c r="D62" s="42">
        <f>'Water Heater Stock'!D13</f>
        <v>2016</v>
      </c>
      <c r="E62" s="42">
        <f>'Water Heater Stock'!E13</f>
        <v>2017</v>
      </c>
      <c r="F62" s="42">
        <f>'Water Heater Stock'!F13</f>
        <v>2018</v>
      </c>
      <c r="G62" s="42">
        <f>'Water Heater Stock'!G13</f>
        <v>2019</v>
      </c>
      <c r="H62" s="42">
        <f>'Water Heater Stock'!H13</f>
        <v>2020</v>
      </c>
      <c r="I62" s="42">
        <f>'Water Heater Stock'!I13</f>
        <v>2021</v>
      </c>
      <c r="J62" s="42">
        <f>'Water Heater Stock'!J13</f>
        <v>2022</v>
      </c>
      <c r="K62" s="42">
        <f>'Water Heater Stock'!K13</f>
        <v>2023</v>
      </c>
      <c r="L62" s="42">
        <f>'Water Heater Stock'!L13</f>
        <v>2024</v>
      </c>
      <c r="M62" s="42">
        <f>'Water Heater Stock'!M13</f>
        <v>2025</v>
      </c>
      <c r="N62" s="42">
        <f>'Water Heater Stock'!N13</f>
        <v>2026</v>
      </c>
      <c r="O62" s="42">
        <f>'Water Heater Stock'!O13</f>
        <v>2027</v>
      </c>
      <c r="P62" s="42">
        <f>'Water Heater Stock'!P13</f>
        <v>2028</v>
      </c>
      <c r="Q62" s="42">
        <f>'Water Heater Stock'!Q13</f>
        <v>2029</v>
      </c>
      <c r="R62" s="42">
        <f>'Water Heater Stock'!R13</f>
        <v>2030</v>
      </c>
      <c r="S62" s="42">
        <f>'Water Heater Stock'!S13</f>
        <v>2031</v>
      </c>
      <c r="T62" s="42">
        <f>'Water Heater Stock'!T13</f>
        <v>2032</v>
      </c>
      <c r="U62" s="42">
        <f>'Water Heater Stock'!U13</f>
        <v>2033</v>
      </c>
      <c r="V62" s="42">
        <f>'Water Heater Stock'!V13</f>
        <v>2034</v>
      </c>
      <c r="W62" s="42">
        <f>'Water Heater Stock'!W13</f>
        <v>2035</v>
      </c>
    </row>
    <row r="63" spans="1:23" ht="16.5" thickBot="1">
      <c r="A63" s="49" t="s">
        <v>48</v>
      </c>
      <c r="B63" s="50">
        <f t="shared" ref="B63:W63" si="12">SUM(B64:B68)</f>
        <v>0</v>
      </c>
      <c r="C63" s="50">
        <f t="shared" si="12"/>
        <v>514712.7018957223</v>
      </c>
      <c r="D63" s="50">
        <f t="shared" si="12"/>
        <v>992660.21079889301</v>
      </c>
      <c r="E63" s="50">
        <f t="shared" si="12"/>
        <v>1436468.6119232657</v>
      </c>
      <c r="F63" s="50">
        <f t="shared" si="12"/>
        <v>1848576.4129673264</v>
      </c>
      <c r="G63" s="50">
        <f t="shared" si="12"/>
        <v>2231247.9425082398</v>
      </c>
      <c r="H63" s="50">
        <f t="shared" si="12"/>
        <v>2586585.7913676589</v>
      </c>
      <c r="I63" s="50">
        <f t="shared" si="12"/>
        <v>2916542.3653085488</v>
      </c>
      <c r="J63" s="50">
        <f t="shared" si="12"/>
        <v>3222930.6125393752</v>
      </c>
      <c r="K63" s="50">
        <f t="shared" si="12"/>
        <v>3507433.9849679996</v>
      </c>
      <c r="L63" s="50">
        <f t="shared" si="12"/>
        <v>3771615.6879374362</v>
      </c>
      <c r="M63" s="50">
        <f t="shared" si="12"/>
        <v>4016927.2692661993</v>
      </c>
      <c r="N63" s="50">
        <f t="shared" si="12"/>
        <v>4244716.5947857648</v>
      </c>
      <c r="O63" s="50">
        <f t="shared" si="12"/>
        <v>3941522.5523010669</v>
      </c>
      <c r="P63" s="50">
        <f t="shared" si="12"/>
        <v>3659985.2271367046</v>
      </c>
      <c r="Q63" s="50">
        <f t="shared" si="12"/>
        <v>3398557.7109126542</v>
      </c>
      <c r="R63" s="50">
        <f t="shared" si="12"/>
        <v>3155803.5887046074</v>
      </c>
      <c r="S63" s="50">
        <f t="shared" si="12"/>
        <v>2930389.0466542784</v>
      </c>
      <c r="T63" s="50">
        <f t="shared" si="12"/>
        <v>2721075.5433218298</v>
      </c>
      <c r="U63" s="50">
        <f t="shared" si="12"/>
        <v>2526713.0045131277</v>
      </c>
      <c r="V63" s="50">
        <f t="shared" si="12"/>
        <v>2346233.5041907616</v>
      </c>
      <c r="W63" s="50">
        <f t="shared" si="12"/>
        <v>2178645.3967485642</v>
      </c>
    </row>
    <row r="64" spans="1:23" ht="16.5" thickTop="1">
      <c r="A64" s="38" t="str">
        <f>'Device Energy Use'!A5</f>
        <v>Electric Resistance</v>
      </c>
      <c r="B64" s="34">
        <f>'Water Heater Stock'!B15*'Device Energy Use'!$C5</f>
        <v>0</v>
      </c>
      <c r="C64" s="34">
        <f>'Water Heater Stock'!C15*'Device Energy Use'!$C5</f>
        <v>0</v>
      </c>
      <c r="D64" s="34">
        <f>'Water Heater Stock'!D15*'Device Energy Use'!$C5</f>
        <v>0</v>
      </c>
      <c r="E64" s="34">
        <f>'Water Heater Stock'!E15*'Device Energy Use'!$C5</f>
        <v>0</v>
      </c>
      <c r="F64" s="34">
        <f>'Water Heater Stock'!F15*'Device Energy Use'!$C5</f>
        <v>0</v>
      </c>
      <c r="G64" s="34">
        <f>'Water Heater Stock'!G15*'Device Energy Use'!$C5</f>
        <v>0</v>
      </c>
      <c r="H64" s="34">
        <f>'Water Heater Stock'!H15*'Device Energy Use'!$C5</f>
        <v>0</v>
      </c>
      <c r="I64" s="34">
        <f>'Water Heater Stock'!I15*'Device Energy Use'!$C5</f>
        <v>0</v>
      </c>
      <c r="J64" s="34">
        <f>'Water Heater Stock'!J15*'Device Energy Use'!$C5</f>
        <v>0</v>
      </c>
      <c r="K64" s="34">
        <f>'Water Heater Stock'!K15*'Device Energy Use'!$C5</f>
        <v>0</v>
      </c>
      <c r="L64" s="34">
        <f>'Water Heater Stock'!L15*'Device Energy Use'!$C5</f>
        <v>0</v>
      </c>
      <c r="M64" s="34">
        <f>'Water Heater Stock'!M15*'Device Energy Use'!$C5</f>
        <v>0</v>
      </c>
      <c r="N64" s="34">
        <f>'Water Heater Stock'!N15*'Device Energy Use'!$C5</f>
        <v>0</v>
      </c>
      <c r="O64" s="34">
        <f>'Water Heater Stock'!O15*'Device Energy Use'!$C5</f>
        <v>0</v>
      </c>
      <c r="P64" s="34">
        <f>'Water Heater Stock'!P15*'Device Energy Use'!$C5</f>
        <v>0</v>
      </c>
      <c r="Q64" s="34">
        <f>'Water Heater Stock'!Q15*'Device Energy Use'!$C5</f>
        <v>0</v>
      </c>
      <c r="R64" s="34">
        <f>'Water Heater Stock'!R15*'Device Energy Use'!$C5</f>
        <v>0</v>
      </c>
      <c r="S64" s="34">
        <f>'Water Heater Stock'!S15*'Device Energy Use'!$C5</f>
        <v>0</v>
      </c>
      <c r="T64" s="34">
        <f>'Water Heater Stock'!T15*'Device Energy Use'!$C5</f>
        <v>0</v>
      </c>
      <c r="U64" s="34">
        <f>'Water Heater Stock'!U15*'Device Energy Use'!$C5</f>
        <v>0</v>
      </c>
      <c r="V64" s="34">
        <f>'Water Heater Stock'!V15*'Device Energy Use'!$C5</f>
        <v>0</v>
      </c>
      <c r="W64" s="34">
        <f>'Water Heater Stock'!W15*'Device Energy Use'!$C5</f>
        <v>0</v>
      </c>
    </row>
    <row r="65" spans="1:23">
      <c r="A65" s="38" t="str">
        <f>'Device Energy Use'!A6</f>
        <v>HPWH</v>
      </c>
      <c r="B65" s="34">
        <f>'Water Heater Stock'!B16*'Device Energy Use'!$C6</f>
        <v>0</v>
      </c>
      <c r="C65" s="34">
        <f>'Water Heater Stock'!C16*'Device Energy Use'!$C6</f>
        <v>0</v>
      </c>
      <c r="D65" s="34">
        <f>'Water Heater Stock'!D16*'Device Energy Use'!$C6</f>
        <v>0</v>
      </c>
      <c r="E65" s="34">
        <f>'Water Heater Stock'!E16*'Device Energy Use'!$C6</f>
        <v>0</v>
      </c>
      <c r="F65" s="34">
        <f>'Water Heater Stock'!F16*'Device Energy Use'!$C6</f>
        <v>0</v>
      </c>
      <c r="G65" s="34">
        <f>'Water Heater Stock'!G16*'Device Energy Use'!$C6</f>
        <v>0</v>
      </c>
      <c r="H65" s="34">
        <f>'Water Heater Stock'!H16*'Device Energy Use'!$C6</f>
        <v>0</v>
      </c>
      <c r="I65" s="34">
        <f>'Water Heater Stock'!I16*'Device Energy Use'!$C6</f>
        <v>0</v>
      </c>
      <c r="J65" s="34">
        <f>'Water Heater Stock'!J16*'Device Energy Use'!$C6</f>
        <v>0</v>
      </c>
      <c r="K65" s="34">
        <f>'Water Heater Stock'!K16*'Device Energy Use'!$C6</f>
        <v>0</v>
      </c>
      <c r="L65" s="34">
        <f>'Water Heater Stock'!L16*'Device Energy Use'!$C6</f>
        <v>0</v>
      </c>
      <c r="M65" s="34">
        <f>'Water Heater Stock'!M16*'Device Energy Use'!$C6</f>
        <v>0</v>
      </c>
      <c r="N65" s="34">
        <f>'Water Heater Stock'!N16*'Device Energy Use'!$C6</f>
        <v>0</v>
      </c>
      <c r="O65" s="34">
        <f>'Water Heater Stock'!O16*'Device Energy Use'!$C6</f>
        <v>0</v>
      </c>
      <c r="P65" s="34">
        <f>'Water Heater Stock'!P16*'Device Energy Use'!$C6</f>
        <v>0</v>
      </c>
      <c r="Q65" s="34">
        <f>'Water Heater Stock'!Q16*'Device Energy Use'!$C6</f>
        <v>0</v>
      </c>
      <c r="R65" s="34">
        <f>'Water Heater Stock'!R16*'Device Energy Use'!$C6</f>
        <v>0</v>
      </c>
      <c r="S65" s="34">
        <f>'Water Heater Stock'!S16*'Device Energy Use'!$C6</f>
        <v>0</v>
      </c>
      <c r="T65" s="34">
        <f>'Water Heater Stock'!T16*'Device Energy Use'!$C6</f>
        <v>0</v>
      </c>
      <c r="U65" s="34">
        <f>'Water Heater Stock'!U16*'Device Energy Use'!$C6</f>
        <v>0</v>
      </c>
      <c r="V65" s="34">
        <f>'Water Heater Stock'!V16*'Device Energy Use'!$C6</f>
        <v>0</v>
      </c>
      <c r="W65" s="34">
        <f>'Water Heater Stock'!W16*'Device Energy Use'!$C6</f>
        <v>0</v>
      </c>
    </row>
    <row r="66" spans="1:23">
      <c r="A66" s="38" t="str">
        <f>'Device Energy Use'!A7</f>
        <v>Gas Tank</v>
      </c>
      <c r="B66" s="34">
        <f>'Water Heater Stock'!B17*'Device Energy Use'!$C7</f>
        <v>0</v>
      </c>
      <c r="C66" s="34">
        <f>'Water Heater Stock'!C17*'Device Energy Use'!$C7</f>
        <v>514712.7018957223</v>
      </c>
      <c r="D66" s="34">
        <f>'Water Heater Stock'!D17*'Device Energy Use'!$C7</f>
        <v>992660.21079889301</v>
      </c>
      <c r="E66" s="34">
        <f>'Water Heater Stock'!E17*'Device Energy Use'!$C7</f>
        <v>1436468.6119232657</v>
      </c>
      <c r="F66" s="34">
        <f>'Water Heater Stock'!F17*'Device Energy Use'!$C7</f>
        <v>1848576.4129673264</v>
      </c>
      <c r="G66" s="34">
        <f>'Water Heater Stock'!G17*'Device Energy Use'!$C7</f>
        <v>2231247.9425082398</v>
      </c>
      <c r="H66" s="34">
        <f>'Water Heater Stock'!H17*'Device Energy Use'!$C7</f>
        <v>2586585.7913676589</v>
      </c>
      <c r="I66" s="34">
        <f>'Water Heater Stock'!I17*'Device Energy Use'!$C7</f>
        <v>2916542.3653085488</v>
      </c>
      <c r="J66" s="34">
        <f>'Water Heater Stock'!J17*'Device Energy Use'!$C7</f>
        <v>3222930.6125393752</v>
      </c>
      <c r="K66" s="34">
        <f>'Water Heater Stock'!K17*'Device Energy Use'!$C7</f>
        <v>3507433.9849679996</v>
      </c>
      <c r="L66" s="34">
        <f>'Water Heater Stock'!L17*'Device Energy Use'!$C7</f>
        <v>3771615.6879374362</v>
      </c>
      <c r="M66" s="34">
        <f>'Water Heater Stock'!M17*'Device Energy Use'!$C7</f>
        <v>4016927.2692661993</v>
      </c>
      <c r="N66" s="34">
        <f>'Water Heater Stock'!N17*'Device Energy Use'!$C7</f>
        <v>4244716.5947857648</v>
      </c>
      <c r="O66" s="34">
        <f>'Water Heater Stock'!O17*'Device Energy Use'!$C7</f>
        <v>3941522.5523010669</v>
      </c>
      <c r="P66" s="34">
        <f>'Water Heater Stock'!P17*'Device Energy Use'!$C7</f>
        <v>3659985.2271367046</v>
      </c>
      <c r="Q66" s="34">
        <f>'Water Heater Stock'!Q17*'Device Energy Use'!$C7</f>
        <v>3398557.7109126542</v>
      </c>
      <c r="R66" s="34">
        <f>'Water Heater Stock'!R17*'Device Energy Use'!$C7</f>
        <v>3155803.5887046074</v>
      </c>
      <c r="S66" s="34">
        <f>'Water Heater Stock'!S17*'Device Energy Use'!$C7</f>
        <v>2930389.0466542784</v>
      </c>
      <c r="T66" s="34">
        <f>'Water Heater Stock'!T17*'Device Energy Use'!$C7</f>
        <v>2721075.5433218298</v>
      </c>
      <c r="U66" s="34">
        <f>'Water Heater Stock'!U17*'Device Energy Use'!$C7</f>
        <v>2526713.0045131277</v>
      </c>
      <c r="V66" s="34">
        <f>'Water Heater Stock'!V17*'Device Energy Use'!$C7</f>
        <v>2346233.5041907616</v>
      </c>
      <c r="W66" s="34">
        <f>'Water Heater Stock'!W17*'Device Energy Use'!$C7</f>
        <v>2178645.3967485642</v>
      </c>
    </row>
    <row r="67" spans="1:23">
      <c r="A67" s="38" t="str">
        <f>'Device Energy Use'!A8</f>
        <v>Instant Gas</v>
      </c>
      <c r="B67" s="34">
        <f>'Water Heater Stock'!B18*'Device Energy Use'!$C8</f>
        <v>0</v>
      </c>
      <c r="C67" s="34">
        <f>'Water Heater Stock'!C18*'Device Energy Use'!$C8</f>
        <v>0</v>
      </c>
      <c r="D67" s="34">
        <f>'Water Heater Stock'!D18*'Device Energy Use'!$C8</f>
        <v>0</v>
      </c>
      <c r="E67" s="34">
        <f>'Water Heater Stock'!E18*'Device Energy Use'!$C8</f>
        <v>0</v>
      </c>
      <c r="F67" s="34">
        <f>'Water Heater Stock'!F18*'Device Energy Use'!$C8</f>
        <v>0</v>
      </c>
      <c r="G67" s="34">
        <f>'Water Heater Stock'!G18*'Device Energy Use'!$C8</f>
        <v>0</v>
      </c>
      <c r="H67" s="34">
        <f>'Water Heater Stock'!H18*'Device Energy Use'!$C8</f>
        <v>0</v>
      </c>
      <c r="I67" s="34">
        <f>'Water Heater Stock'!I18*'Device Energy Use'!$C8</f>
        <v>0</v>
      </c>
      <c r="J67" s="34">
        <f>'Water Heater Stock'!J18*'Device Energy Use'!$C8</f>
        <v>0</v>
      </c>
      <c r="K67" s="34">
        <f>'Water Heater Stock'!K18*'Device Energy Use'!$C8</f>
        <v>0</v>
      </c>
      <c r="L67" s="34">
        <f>'Water Heater Stock'!L18*'Device Energy Use'!$C8</f>
        <v>0</v>
      </c>
      <c r="M67" s="34">
        <f>'Water Heater Stock'!M18*'Device Energy Use'!$C8</f>
        <v>0</v>
      </c>
      <c r="N67" s="34">
        <f>'Water Heater Stock'!N18*'Device Energy Use'!$C8</f>
        <v>0</v>
      </c>
      <c r="O67" s="34">
        <f>'Water Heater Stock'!O18*'Device Energy Use'!$C8</f>
        <v>0</v>
      </c>
      <c r="P67" s="34">
        <f>'Water Heater Stock'!P18*'Device Energy Use'!$C8</f>
        <v>0</v>
      </c>
      <c r="Q67" s="34">
        <f>'Water Heater Stock'!Q18*'Device Energy Use'!$C8</f>
        <v>0</v>
      </c>
      <c r="R67" s="34">
        <f>'Water Heater Stock'!R18*'Device Energy Use'!$C8</f>
        <v>0</v>
      </c>
      <c r="S67" s="34">
        <f>'Water Heater Stock'!S18*'Device Energy Use'!$C8</f>
        <v>0</v>
      </c>
      <c r="T67" s="34">
        <f>'Water Heater Stock'!T18*'Device Energy Use'!$C8</f>
        <v>0</v>
      </c>
      <c r="U67" s="34">
        <f>'Water Heater Stock'!U18*'Device Energy Use'!$C8</f>
        <v>0</v>
      </c>
      <c r="V67" s="34">
        <f>'Water Heater Stock'!V18*'Device Energy Use'!$C8</f>
        <v>0</v>
      </c>
      <c r="W67" s="34">
        <f>'Water Heater Stock'!W18*'Device Energy Use'!$C8</f>
        <v>0</v>
      </c>
    </row>
    <row r="68" spans="1:23">
      <c r="A68" s="38" t="str">
        <f>'Device Energy Use'!A9</f>
        <v>Condensing Gas</v>
      </c>
      <c r="B68" s="34">
        <f>'Water Heater Stock'!B19*'Device Energy Use'!$C9</f>
        <v>0</v>
      </c>
      <c r="C68" s="34">
        <f>'Water Heater Stock'!C19*'Device Energy Use'!$C9</f>
        <v>0</v>
      </c>
      <c r="D68" s="34">
        <f>'Water Heater Stock'!D19*'Device Energy Use'!$C9</f>
        <v>0</v>
      </c>
      <c r="E68" s="34">
        <f>'Water Heater Stock'!E19*'Device Energy Use'!$C9</f>
        <v>0</v>
      </c>
      <c r="F68" s="34">
        <f>'Water Heater Stock'!F19*'Device Energy Use'!$C9</f>
        <v>0</v>
      </c>
      <c r="G68" s="34">
        <f>'Water Heater Stock'!G19*'Device Energy Use'!$C9</f>
        <v>0</v>
      </c>
      <c r="H68" s="34">
        <f>'Water Heater Stock'!H19*'Device Energy Use'!$C9</f>
        <v>0</v>
      </c>
      <c r="I68" s="34">
        <f>'Water Heater Stock'!I19*'Device Energy Use'!$C9</f>
        <v>0</v>
      </c>
      <c r="J68" s="34">
        <f>'Water Heater Stock'!J19*'Device Energy Use'!$C9</f>
        <v>0</v>
      </c>
      <c r="K68" s="34">
        <f>'Water Heater Stock'!K19*'Device Energy Use'!$C9</f>
        <v>0</v>
      </c>
      <c r="L68" s="34">
        <f>'Water Heater Stock'!L19*'Device Energy Use'!$C9</f>
        <v>0</v>
      </c>
      <c r="M68" s="34">
        <f>'Water Heater Stock'!M19*'Device Energy Use'!$C9</f>
        <v>0</v>
      </c>
      <c r="N68" s="34">
        <f>'Water Heater Stock'!N19*'Device Energy Use'!$C9</f>
        <v>0</v>
      </c>
      <c r="O68" s="34">
        <f>'Water Heater Stock'!O19*'Device Energy Use'!$C9</f>
        <v>0</v>
      </c>
      <c r="P68" s="34">
        <f>'Water Heater Stock'!P19*'Device Energy Use'!$C9</f>
        <v>0</v>
      </c>
      <c r="Q68" s="34">
        <f>'Water Heater Stock'!Q19*'Device Energy Use'!$C9</f>
        <v>0</v>
      </c>
      <c r="R68" s="34">
        <f>'Water Heater Stock'!R19*'Device Energy Use'!$C9</f>
        <v>0</v>
      </c>
      <c r="S68" s="34">
        <f>'Water Heater Stock'!S19*'Device Energy Use'!$C9</f>
        <v>0</v>
      </c>
      <c r="T68" s="34">
        <f>'Water Heater Stock'!T19*'Device Energy Use'!$C9</f>
        <v>0</v>
      </c>
      <c r="U68" s="34">
        <f>'Water Heater Stock'!U19*'Device Energy Use'!$C9</f>
        <v>0</v>
      </c>
      <c r="V68" s="34">
        <f>'Water Heater Stock'!V19*'Device Energy Use'!$C9</f>
        <v>0</v>
      </c>
      <c r="W68" s="34">
        <f>'Water Heater Stock'!W19*'Device Energy Use'!$C9</f>
        <v>0</v>
      </c>
    </row>
    <row r="69" spans="1:23">
      <c r="A69" s="3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19"/>
  <sheetViews>
    <sheetView workbookViewId="0"/>
  </sheetViews>
  <sheetFormatPr defaultColWidth="9.140625" defaultRowHeight="15.75"/>
  <cols>
    <col min="1" max="1" width="20.7109375" style="9" customWidth="1"/>
    <col min="2" max="11" width="9.7109375" style="9" customWidth="1"/>
    <col min="1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>
      <c r="A3" s="12" t="s">
        <v>111</v>
      </c>
    </row>
    <row r="4" spans="1:23" s="23" customFormat="1">
      <c r="A4" s="41" t="str">
        <f>+'Device Energy Use'!A4</f>
        <v>Water Heat Ending</v>
      </c>
      <c r="B4" s="40">
        <v>2014</v>
      </c>
      <c r="C4" s="40">
        <v>2015</v>
      </c>
      <c r="D4" s="40">
        <v>2016</v>
      </c>
      <c r="E4" s="40">
        <v>2017</v>
      </c>
      <c r="F4" s="40">
        <v>2018</v>
      </c>
      <c r="G4" s="40">
        <v>2019</v>
      </c>
      <c r="H4" s="40">
        <v>2020</v>
      </c>
      <c r="I4" s="40">
        <v>2021</v>
      </c>
      <c r="J4" s="40">
        <v>2022</v>
      </c>
      <c r="K4" s="40">
        <v>2023</v>
      </c>
      <c r="L4" s="40">
        <v>2024</v>
      </c>
      <c r="M4" s="40">
        <v>2025</v>
      </c>
      <c r="N4" s="40">
        <v>2026</v>
      </c>
      <c r="O4" s="40">
        <v>2027</v>
      </c>
      <c r="P4" s="40">
        <v>2028</v>
      </c>
      <c r="Q4" s="40">
        <v>2029</v>
      </c>
      <c r="R4" s="40">
        <v>2030</v>
      </c>
      <c r="S4" s="40">
        <v>2031</v>
      </c>
      <c r="T4" s="40">
        <v>2032</v>
      </c>
      <c r="U4" s="40">
        <v>2033</v>
      </c>
      <c r="V4" s="40">
        <v>2034</v>
      </c>
      <c r="W4" s="40">
        <v>2035</v>
      </c>
    </row>
    <row r="5" spans="1:23" s="23" customFormat="1" ht="16.5" thickBot="1">
      <c r="A5" s="49" t="s">
        <v>48</v>
      </c>
      <c r="B5" s="50">
        <f t="shared" ref="B5:W5" si="0">SUM(B6:B10)</f>
        <v>415412.04699999961</v>
      </c>
      <c r="C5" s="50">
        <f t="shared" si="0"/>
        <v>415412.04699999967</v>
      </c>
      <c r="D5" s="50">
        <f t="shared" si="0"/>
        <v>415412.04699999967</v>
      </c>
      <c r="E5" s="50">
        <f t="shared" si="0"/>
        <v>415412.04699999967</v>
      </c>
      <c r="F5" s="50">
        <f t="shared" si="0"/>
        <v>415412.04699999973</v>
      </c>
      <c r="G5" s="50">
        <f t="shared" si="0"/>
        <v>415412.04699999967</v>
      </c>
      <c r="H5" s="50">
        <f t="shared" si="0"/>
        <v>415412.04699999973</v>
      </c>
      <c r="I5" s="50">
        <f t="shared" si="0"/>
        <v>415412.04699999973</v>
      </c>
      <c r="J5" s="50">
        <f t="shared" si="0"/>
        <v>415412.04699999967</v>
      </c>
      <c r="K5" s="50">
        <f t="shared" si="0"/>
        <v>415412.04699999973</v>
      </c>
      <c r="L5" s="50">
        <f t="shared" si="0"/>
        <v>415412.04699999967</v>
      </c>
      <c r="M5" s="50">
        <f t="shared" si="0"/>
        <v>415412.04699999967</v>
      </c>
      <c r="N5" s="50">
        <f t="shared" si="0"/>
        <v>415412.04699999961</v>
      </c>
      <c r="O5" s="50">
        <f t="shared" si="0"/>
        <v>415412.04699999967</v>
      </c>
      <c r="P5" s="50">
        <f t="shared" si="0"/>
        <v>415412.04699999973</v>
      </c>
      <c r="Q5" s="50">
        <f t="shared" si="0"/>
        <v>415412.04699999961</v>
      </c>
      <c r="R5" s="50">
        <f t="shared" si="0"/>
        <v>415412.04699999961</v>
      </c>
      <c r="S5" s="50">
        <f t="shared" si="0"/>
        <v>415412.04699999955</v>
      </c>
      <c r="T5" s="50">
        <f t="shared" si="0"/>
        <v>415412.04699999961</v>
      </c>
      <c r="U5" s="50">
        <f t="shared" si="0"/>
        <v>415412.04699999955</v>
      </c>
      <c r="V5" s="50">
        <f t="shared" si="0"/>
        <v>415412.04699999955</v>
      </c>
      <c r="W5" s="50">
        <f t="shared" si="0"/>
        <v>415412.04699999955</v>
      </c>
    </row>
    <row r="6" spans="1:23" ht="16.5" thickTop="1">
      <c r="A6" s="9" t="str">
        <f>+'Device Energy Use'!A5</f>
        <v>Electric Resistance</v>
      </c>
      <c r="B6" s="34">
        <f>Households</f>
        <v>415412.04699999961</v>
      </c>
      <c r="C6" s="34">
        <f>+B6-'Water Heaters Retired'!C6+'Water Heaters Purchased'!C6</f>
        <v>410220.43343872495</v>
      </c>
      <c r="D6" s="34">
        <f>+C6-'Water Heaters Retired'!D6+'Water Heaters Purchased'!D6</f>
        <v>405392.58433598676</v>
      </c>
      <c r="E6" s="34">
        <f>+D6-'Water Heaters Retired'!E6+'Water Heaters Purchased'!E6</f>
        <v>400898.21639969986</v>
      </c>
      <c r="F6" s="34">
        <f>+E6-'Water Heaters Retired'!F6+'Water Heaters Purchased'!F6</f>
        <v>396706.43675343122</v>
      </c>
      <c r="G6" s="34">
        <f>+F6-'Water Heaters Retired'!G6+'Water Heaters Purchased'!G6</f>
        <v>392784.63485563948</v>
      </c>
      <c r="H6" s="34">
        <f>+G6-'Water Heaters Retired'!H6+'Water Heaters Purchased'!H6</f>
        <v>389097.25820995471</v>
      </c>
      <c r="I6" s="34">
        <f>+H6-'Water Heaters Retired'!I6+'Water Heaters Purchased'!I6</f>
        <v>385604.5736704148</v>
      </c>
      <c r="J6" s="34">
        <f>+I6-'Water Heaters Retired'!J6+'Water Heaters Purchased'!J6</f>
        <v>382261.56768345047</v>
      </c>
      <c r="K6" s="34">
        <f>+J6-'Water Heaters Retired'!K6+'Water Heaters Purchased'!K6</f>
        <v>379017.18244899571</v>
      </c>
      <c r="L6" s="34">
        <f>+K6-'Water Heaters Retired'!L6+'Water Heaters Purchased'!L6</f>
        <v>375814.10714548919</v>
      </c>
      <c r="M6" s="34">
        <f>+L6-'Water Heaters Retired'!M6+'Water Heaters Purchased'!M6</f>
        <v>372589.32890507847</v>
      </c>
      <c r="N6" s="34">
        <f>+M6-'Water Heaters Retired'!N6+'Water Heaters Purchased'!N6</f>
        <v>369275.58461504639</v>
      </c>
      <c r="O6" s="34">
        <f>+N6-'Water Heaters Retired'!O6+'Water Heaters Purchased'!O6</f>
        <v>365803.73836303176</v>
      </c>
      <c r="P6" s="34">
        <f>+O6-'Water Heaters Retired'!P6+'Water Heaters Purchased'!P6</f>
        <v>362105.95259981806</v>
      </c>
      <c r="Q6" s="34">
        <f>+P6-'Water Heaters Retired'!Q6+'Water Heaters Purchased'!Q6</f>
        <v>358119.35448369198</v>
      </c>
      <c r="R6" s="34">
        <f>+Q6-'Water Heaters Retired'!R6+'Water Heaters Purchased'!R6</f>
        <v>353789.76628875278</v>
      </c>
      <c r="S6" s="34">
        <f>+R6-'Water Heaters Retired'!S6+'Water Heaters Purchased'!S6</f>
        <v>349075.01333321346</v>
      </c>
      <c r="T6" s="34">
        <f>+S6-'Water Heaters Retired'!T6+'Water Heaters Purchased'!T6</f>
        <v>343947.36898922117</v>
      </c>
      <c r="U6" s="34">
        <f>+T6-'Water Heaters Retired'!U6+'Water Heaters Purchased'!U6</f>
        <v>338394.836987079</v>
      </c>
      <c r="V6" s="34">
        <f>+U6-'Water Heaters Retired'!V6+'Water Heaters Purchased'!V6</f>
        <v>332421.16881169338</v>
      </c>
      <c r="W6" s="34">
        <f>+V6-'Water Heaters Retired'!W6+'Water Heaters Purchased'!W6</f>
        <v>326044.71493996895</v>
      </c>
    </row>
    <row r="7" spans="1:23">
      <c r="A7" s="9" t="str">
        <f>+'Device Energy Use'!A6</f>
        <v>HPWH</v>
      </c>
      <c r="B7" s="34">
        <v>0</v>
      </c>
      <c r="C7" s="34">
        <f>+B7-'Water Heaters Retired'!C7+'Water Heaters Purchased'!C7</f>
        <v>3.2230209406703318</v>
      </c>
      <c r="D7" s="34">
        <f>+C7-'Water Heaters Retired'!D7+'Water Heaters Purchased'!D7</f>
        <v>9.4400609630349361</v>
      </c>
      <c r="E7" s="34">
        <f>+D7-'Water Heaters Retired'!E7+'Water Heaters Purchased'!E7</f>
        <v>21.027251776359705</v>
      </c>
      <c r="F7" s="34">
        <f>+E7-'Water Heaters Retired'!F7+'Water Heaters Purchased'!F7</f>
        <v>41.775201661380308</v>
      </c>
      <c r="G7" s="34">
        <f>+F7-'Water Heaters Retired'!G7+'Water Heaters Purchased'!G7</f>
        <v>77.44143678604172</v>
      </c>
      <c r="H7" s="34">
        <f>+G7-'Water Heaters Retired'!H7+'Water Heaters Purchased'!H7</f>
        <v>136.37139579384274</v>
      </c>
      <c r="I7" s="34">
        <f>+H7-'Water Heaters Retired'!I7+'Water Heaters Purchased'!I7</f>
        <v>230.1287122491388</v>
      </c>
      <c r="J7" s="34">
        <f>+I7-'Water Heaters Retired'!J7+'Water Heaters Purchased'!J7</f>
        <v>374.04657361716056</v>
      </c>
      <c r="K7" s="34">
        <f>+J7-'Water Heaters Retired'!K7+'Water Heaters Purchased'!K7</f>
        <v>587.58780602510114</v>
      </c>
      <c r="L7" s="34">
        <f>+K7-'Water Heaters Retired'!L7+'Water Heaters Purchased'!L7</f>
        <v>894.38970125300466</v>
      </c>
      <c r="M7" s="34">
        <f>+L7-'Water Heaters Retired'!M7+'Water Heaters Purchased'!M7</f>
        <v>1321.8789697157358</v>
      </c>
      <c r="N7" s="34">
        <f>+M7-'Water Heaters Retired'!N7+'Water Heaters Purchased'!N7</f>
        <v>1900.3794697408434</v>
      </c>
      <c r="O7" s="34">
        <f>+N7-'Water Heaters Retired'!O7+'Water Heaters Purchased'!O7</f>
        <v>2661.7022028450074</v>
      </c>
      <c r="P7" s="34">
        <f>+O7-'Water Heaters Retired'!P7+'Water Heaters Purchased'!P7</f>
        <v>3637.2962339791611</v>
      </c>
      <c r="Q7" s="34">
        <f>+P7-'Water Heaters Retired'!Q7+'Water Heaters Purchased'!Q7</f>
        <v>4856.1330704169759</v>
      </c>
      <c r="R7" s="34">
        <f>+Q7-'Water Heaters Retired'!R7+'Water Heaters Purchased'!R7</f>
        <v>6342.57068546763</v>
      </c>
      <c r="S7" s="34">
        <f>+R7-'Water Heaters Retired'!S7+'Water Heaters Purchased'!S7</f>
        <v>8114.4726191666796</v>
      </c>
      <c r="T7" s="34">
        <f>+S7-'Water Heaters Retired'!T7+'Water Heaters Purchased'!T7</f>
        <v>10181.829141732343</v>
      </c>
      <c r="U7" s="34">
        <f>+T7-'Water Heaters Retired'!U7+'Water Heaters Purchased'!U7</f>
        <v>12546.045911968173</v>
      </c>
      <c r="V7" s="34">
        <f>+U7-'Water Heaters Retired'!V7+'Water Heaters Purchased'!V7</f>
        <v>15199.952700992624</v>
      </c>
      <c r="W7" s="34">
        <f>+V7-'Water Heaters Retired'!W7+'Water Heaters Purchased'!W7</f>
        <v>18128.471099705104</v>
      </c>
    </row>
    <row r="8" spans="1:23">
      <c r="A8" s="9" t="str">
        <f>+'Device Energy Use'!A7</f>
        <v>Gas Tank</v>
      </c>
      <c r="B8" s="34">
        <v>0</v>
      </c>
      <c r="C8" s="34">
        <f>+B8-'Water Heaters Retired'!C8+'Water Heaters Purchased'!C8</f>
        <v>5184.8447891705264</v>
      </c>
      <c r="D8" s="34">
        <f>+C8-'Water Heaters Retired'!D8+'Water Heaters Purchased'!D8</f>
        <v>9999.6200476918493</v>
      </c>
      <c r="E8" s="34">
        <f>+D8-'Water Heaters Retired'!E8+'Water Heaters Purchased'!E8</f>
        <v>14469.589141295179</v>
      </c>
      <c r="F8" s="34">
        <f>+E8-'Water Heaters Retired'!F8+'Water Heaters Purchased'!F8</f>
        <v>18617.62338537697</v>
      </c>
      <c r="G8" s="34">
        <f>+F8-'Water Heaters Retired'!G8+'Water Heaters Purchased'!G8</f>
        <v>22464.128630225809</v>
      </c>
      <c r="H8" s="34">
        <f>+G8-'Water Heaters Retired'!H8+'Water Heaters Purchased'!H8</f>
        <v>26026.935776050759</v>
      </c>
      <c r="I8" s="34">
        <f>+H8-'Water Heaters Retired'!I8+'Water Heaters Purchased'!I8</f>
        <v>29321.177777641002</v>
      </c>
      <c r="J8" s="34">
        <f>+I8-'Water Heaters Retired'!J8+'Water Heaters Purchased'!J8</f>
        <v>32359.186606443833</v>
      </c>
      <c r="K8" s="34">
        <f>+J8-'Water Heaters Retired'!K8+'Water Heaters Purchased'!K8</f>
        <v>35150.452844498774</v>
      </c>
      <c r="L8" s="34">
        <f>+K8-'Water Heaters Retired'!L8+'Water Heaters Purchased'!L8</f>
        <v>37701.695190754748</v>
      </c>
      <c r="M8" s="34">
        <f>+L8-'Water Heaters Retired'!M8+'Water Heaters Purchased'!M8</f>
        <v>40017.083942125886</v>
      </c>
      <c r="N8" s="34">
        <f>+M8-'Water Heaters Retired'!N8+'Water Heaters Purchased'!N8</f>
        <v>42098.648814234388</v>
      </c>
      <c r="O8" s="34">
        <f>+N8-'Water Heaters Retired'!O8+'Water Heaters Purchased'!O8</f>
        <v>43946.876572810528</v>
      </c>
      <c r="P8" s="34">
        <f>+O8-'Water Heaters Retired'!P8+'Water Heaters Purchased'!P8</f>
        <v>45561.470482183315</v>
      </c>
      <c r="Q8" s="34">
        <f>+P8-'Water Heaters Retired'!Q8+'Water Heaters Purchased'!Q8</f>
        <v>46942.20809533252</v>
      </c>
      <c r="R8" s="34">
        <f>+Q8-'Water Heaters Retired'!R8+'Water Heaters Purchased'!R8</f>
        <v>48089.805771635038</v>
      </c>
      <c r="S8" s="34">
        <f>+R8-'Water Heaters Retired'!S8+'Water Heaters Purchased'!S8</f>
        <v>49006.686680581457</v>
      </c>
      <c r="T8" s="34">
        <f>+S8-'Water Heaters Retired'!T8+'Water Heaters Purchased'!T8</f>
        <v>49697.559075579826</v>
      </c>
      <c r="U8" s="34">
        <f>+T8-'Water Heaters Retired'!U8+'Water Heaters Purchased'!U8</f>
        <v>50169.741750645531</v>
      </c>
      <c r="V8" s="34">
        <f>+U8-'Water Heaters Retired'!V8+'Water Heaters Purchased'!V8</f>
        <v>50433.215760381725</v>
      </c>
      <c r="W8" s="34">
        <f>+V8-'Water Heaters Retired'!W8+'Water Heaters Purchased'!W8</f>
        <v>50500.424258157313</v>
      </c>
    </row>
    <row r="9" spans="1:23">
      <c r="A9" s="9" t="str">
        <f>+'Device Energy Use'!A8</f>
        <v>Instant Gas</v>
      </c>
      <c r="B9" s="34">
        <v>0</v>
      </c>
      <c r="C9" s="34">
        <f>+B9-'Water Heaters Retired'!C9+'Water Heaters Purchased'!C9</f>
        <v>0.73049276037282396</v>
      </c>
      <c r="D9" s="34">
        <f>+C9-'Water Heaters Retired'!D9+'Water Heaters Purchased'!D9</f>
        <v>2.1458083757011805</v>
      </c>
      <c r="E9" s="34">
        <f>+D9-'Water Heaters Retired'!E9+'Water Heaters Purchased'!E9</f>
        <v>4.7953279235530477</v>
      </c>
      <c r="F9" s="34">
        <f>+E9-'Water Heaters Retired'!F9+'Water Heaters Purchased'!F9</f>
        <v>9.5604431431685377</v>
      </c>
      <c r="G9" s="34">
        <f>+F9-'Water Heaters Retired'!G9+'Water Heaters Purchased'!G9</f>
        <v>17.787713474274888</v>
      </c>
      <c r="H9" s="34">
        <f>+G9-'Water Heaters Retired'!H9+'Water Heaters Purchased'!H9</f>
        <v>31.440753548304151</v>
      </c>
      <c r="I9" s="34">
        <f>+H9-'Water Heaters Retired'!I9+'Water Heaters Purchased'!I9</f>
        <v>53.257529023099167</v>
      </c>
      <c r="J9" s="34">
        <f>+I9-'Water Heaters Retired'!J9+'Water Heaters Purchased'!J9</f>
        <v>86.892571590730199</v>
      </c>
      <c r="K9" s="34">
        <f>+J9-'Water Heaters Retired'!K9+'Water Heaters Purchased'!K9</f>
        <v>137.01734500691498</v>
      </c>
      <c r="L9" s="34">
        <f>+K9-'Water Heaters Retired'!L9+'Water Heaters Purchased'!L9</f>
        <v>209.34845592931862</v>
      </c>
      <c r="M9" s="34">
        <f>+L9-'Water Heaters Retired'!M9+'Water Heaters Purchased'!M9</f>
        <v>310.57472478457521</v>
      </c>
      <c r="N9" s="34">
        <f>+M9-'Water Heaters Retired'!N9+'Water Heaters Purchased'!N9</f>
        <v>448.1621401016248</v>
      </c>
      <c r="O9" s="34">
        <f>+N9-'Water Heaters Retired'!O9+'Water Heaters Purchased'!O9</f>
        <v>630.0310684881556</v>
      </c>
      <c r="P9" s="34">
        <f>+O9-'Water Heaters Retired'!P9+'Water Heaters Purchased'!P9</f>
        <v>864.12132102600185</v>
      </c>
      <c r="Q9" s="34">
        <f>+P9-'Water Heaters Retired'!Q9+'Water Heaters Purchased'!Q9</f>
        <v>1157.8837591449737</v>
      </c>
      <c r="R9" s="34">
        <f>+Q9-'Water Heaters Retired'!R9+'Water Heaters Purchased'!R9</f>
        <v>1517.7560939062193</v>
      </c>
      <c r="S9" s="34">
        <f>+R9-'Water Heaters Retired'!S9+'Water Heaters Purchased'!S9</f>
        <v>1948.6893549535503</v>
      </c>
      <c r="T9" s="34">
        <f>+S9-'Water Heaters Retired'!T9+'Water Heaters Purchased'!T9</f>
        <v>2453.7865470046349</v>
      </c>
      <c r="U9" s="34">
        <f>+T9-'Water Heaters Retired'!U9+'Water Heaters Purchased'!U9</f>
        <v>3034.0968682111284</v>
      </c>
      <c r="V9" s="34">
        <f>+U9-'Water Heaters Retired'!V9+'Water Heaters Purchased'!V9</f>
        <v>3688.5823961187161</v>
      </c>
      <c r="W9" s="34">
        <f>+V9-'Water Heaters Retired'!W9+'Water Heaters Purchased'!W9</f>
        <v>4414.2465777187736</v>
      </c>
    </row>
    <row r="10" spans="1:23">
      <c r="A10" s="9" t="str">
        <f>+'Device Energy Use'!A9</f>
        <v>Condensing Gas</v>
      </c>
      <c r="B10" s="34">
        <v>0</v>
      </c>
      <c r="C10" s="34">
        <f>+B10-'Water Heaters Retired'!C10+'Water Heaters Purchased'!C10</f>
        <v>2.8152584031210082</v>
      </c>
      <c r="D10" s="34">
        <f>+C10-'Water Heaters Retired'!D10+'Water Heaters Purchased'!D10</f>
        <v>8.2567469823204771</v>
      </c>
      <c r="E10" s="34">
        <f>+D10-'Water Heaters Retired'!E10+'Water Heaters Purchased'!E10</f>
        <v>18.418879304715578</v>
      </c>
      <c r="F10" s="34">
        <f>+E10-'Water Heaters Retired'!F10+'Water Heaters Purchased'!F10</f>
        <v>36.651216386952498</v>
      </c>
      <c r="G10" s="34">
        <f>+F10-'Water Heaters Retired'!G10+'Water Heaters Purchased'!G10</f>
        <v>68.054363874087585</v>
      </c>
      <c r="H10" s="34">
        <f>+G10-'Water Heaters Retired'!H10+'Water Heaters Purchased'!H10</f>
        <v>120.0408646520618</v>
      </c>
      <c r="I10" s="34">
        <f>+H10-'Water Heaters Retired'!I10+'Water Heaters Purchased'!I10</f>
        <v>202.90931067165928</v>
      </c>
      <c r="J10" s="34">
        <f>+I10-'Water Heaters Retired'!J10+'Water Heaters Purchased'!J10</f>
        <v>330.35356489749569</v>
      </c>
      <c r="K10" s="34">
        <f>+J10-'Water Heaters Retired'!K10+'Water Heaters Purchased'!K10</f>
        <v>519.80655547315894</v>
      </c>
      <c r="L10" s="34">
        <f>+K10-'Water Heaters Retired'!L10+'Water Heaters Purchased'!L10</f>
        <v>792.50650657340077</v>
      </c>
      <c r="M10" s="34">
        <f>+L10-'Water Heaters Retired'!M10+'Water Heaters Purchased'!M10</f>
        <v>1173.1804582949935</v>
      </c>
      <c r="N10" s="34">
        <f>+M10-'Water Heaters Retired'!N10+'Water Heaters Purchased'!N10</f>
        <v>1689.2719608764453</v>
      </c>
      <c r="O10" s="34">
        <f>+N10-'Water Heaters Retired'!O10+'Water Heaters Purchased'!O10</f>
        <v>2369.6987928242424</v>
      </c>
      <c r="P10" s="34">
        <f>+O10-'Water Heaters Retired'!P10+'Water Heaters Purchased'!P10</f>
        <v>3243.2063629931386</v>
      </c>
      <c r="Q10" s="34">
        <f>+P10-'Water Heaters Retired'!Q10+'Water Heaters Purchased'!Q10</f>
        <v>4336.4675914131858</v>
      </c>
      <c r="R10" s="34">
        <f>+Q10-'Water Heaters Retired'!R10+'Water Heaters Purchased'!R10</f>
        <v>5672.1481602379572</v>
      </c>
      <c r="S10" s="34">
        <f>+R10-'Water Heaters Retired'!S10+'Water Heaters Purchased'!S10</f>
        <v>7267.1850120844583</v>
      </c>
      <c r="T10" s="34">
        <f>+S10-'Water Heaters Retired'!T10+'Water Heaters Purchased'!T10</f>
        <v>9131.5032464616233</v>
      </c>
      <c r="U10" s="34">
        <f>+T10-'Water Heaters Retired'!U10+'Water Heaters Purchased'!U10</f>
        <v>11267.325482095737</v>
      </c>
      <c r="V10" s="34">
        <f>+U10-'Water Heaters Retired'!V10+'Water Heaters Purchased'!V10</f>
        <v>13669.127330813091</v>
      </c>
      <c r="W10" s="34">
        <f>+V10-'Water Heaters Retired'!W10+'Water Heaters Purchased'!W10</f>
        <v>16324.190124449409</v>
      </c>
    </row>
    <row r="11" spans="1:23">
      <c r="A11" s="38"/>
    </row>
    <row r="12" spans="1:23">
      <c r="A12" s="102" t="s">
        <v>112</v>
      </c>
    </row>
    <row r="13" spans="1:23" s="23" customFormat="1">
      <c r="A13" s="41" t="str">
        <f>+'Device Energy Use'!A4</f>
        <v>Water Heat Ending</v>
      </c>
      <c r="B13" s="40">
        <v>2014</v>
      </c>
      <c r="C13" s="40">
        <v>2015</v>
      </c>
      <c r="D13" s="40">
        <v>2016</v>
      </c>
      <c r="E13" s="40">
        <v>2017</v>
      </c>
      <c r="F13" s="40">
        <v>2018</v>
      </c>
      <c r="G13" s="40">
        <v>2019</v>
      </c>
      <c r="H13" s="40">
        <v>2020</v>
      </c>
      <c r="I13" s="40">
        <v>2021</v>
      </c>
      <c r="J13" s="40">
        <v>2022</v>
      </c>
      <c r="K13" s="40">
        <v>2023</v>
      </c>
      <c r="L13" s="40">
        <v>2024</v>
      </c>
      <c r="M13" s="40">
        <v>2025</v>
      </c>
      <c r="N13" s="40">
        <v>2026</v>
      </c>
      <c r="O13" s="40">
        <v>2027</v>
      </c>
      <c r="P13" s="40">
        <v>2028</v>
      </c>
      <c r="Q13" s="40">
        <v>2029</v>
      </c>
      <c r="R13" s="40">
        <v>2030</v>
      </c>
      <c r="S13" s="40">
        <v>2031</v>
      </c>
      <c r="T13" s="40">
        <v>2032</v>
      </c>
      <c r="U13" s="40">
        <v>2033</v>
      </c>
      <c r="V13" s="40">
        <v>2034</v>
      </c>
      <c r="W13" s="40">
        <v>2035</v>
      </c>
    </row>
    <row r="14" spans="1:23" s="23" customFormat="1" ht="16.5" thickBot="1">
      <c r="A14" s="49" t="s">
        <v>48</v>
      </c>
      <c r="B14" s="50">
        <f t="shared" ref="B14:W14" si="1">SUM(B15:B19)</f>
        <v>415412.04699999961</v>
      </c>
      <c r="C14" s="50">
        <f t="shared" si="1"/>
        <v>415412.04699999961</v>
      </c>
      <c r="D14" s="50">
        <f t="shared" si="1"/>
        <v>415412.04699999961</v>
      </c>
      <c r="E14" s="50">
        <f t="shared" si="1"/>
        <v>415412.04699999961</v>
      </c>
      <c r="F14" s="50">
        <f t="shared" si="1"/>
        <v>415412.04699999961</v>
      </c>
      <c r="G14" s="50">
        <f t="shared" si="1"/>
        <v>415412.04699999961</v>
      </c>
      <c r="H14" s="50">
        <f t="shared" si="1"/>
        <v>415412.04699999961</v>
      </c>
      <c r="I14" s="50">
        <f t="shared" si="1"/>
        <v>415412.04699999967</v>
      </c>
      <c r="J14" s="50">
        <f t="shared" si="1"/>
        <v>415412.04699999967</v>
      </c>
      <c r="K14" s="50">
        <f t="shared" si="1"/>
        <v>415412.04699999967</v>
      </c>
      <c r="L14" s="50">
        <f t="shared" si="1"/>
        <v>415412.04699999967</v>
      </c>
      <c r="M14" s="50">
        <f t="shared" si="1"/>
        <v>415412.04699999967</v>
      </c>
      <c r="N14" s="50">
        <f t="shared" si="1"/>
        <v>415412.04699999967</v>
      </c>
      <c r="O14" s="50">
        <f t="shared" si="1"/>
        <v>415412.04699999967</v>
      </c>
      <c r="P14" s="50">
        <f t="shared" si="1"/>
        <v>415412.04699999967</v>
      </c>
      <c r="Q14" s="50">
        <f t="shared" si="1"/>
        <v>415412.04699999967</v>
      </c>
      <c r="R14" s="50">
        <f t="shared" si="1"/>
        <v>415412.04699999961</v>
      </c>
      <c r="S14" s="50">
        <f t="shared" si="1"/>
        <v>415412.04699999961</v>
      </c>
      <c r="T14" s="50">
        <f t="shared" si="1"/>
        <v>415412.04699999961</v>
      </c>
      <c r="U14" s="50">
        <f t="shared" si="1"/>
        <v>415412.04699999967</v>
      </c>
      <c r="V14" s="50">
        <f t="shared" si="1"/>
        <v>415412.04699999961</v>
      </c>
      <c r="W14" s="50">
        <f t="shared" si="1"/>
        <v>415412.04699999961</v>
      </c>
    </row>
    <row r="15" spans="1:23" ht="16.5" thickTop="1">
      <c r="A15" s="9" t="str">
        <f>+'Device Energy Use'!A5</f>
        <v>Electric Resistance</v>
      </c>
      <c r="B15" s="34">
        <f>Households</f>
        <v>415412.04699999961</v>
      </c>
      <c r="C15" s="34">
        <f>+B15-'Water Heaters Retired'!C15+'Water Heaters Purchased'!C15</f>
        <v>385739.75792857108</v>
      </c>
      <c r="D15" s="34">
        <f>+C15-'Water Heaters Retired'!D15+'Water Heaters Purchased'!D15</f>
        <v>358186.91807653027</v>
      </c>
      <c r="E15" s="34">
        <f>+D15-'Water Heaters Retired'!E15+'Water Heaters Purchased'!E15</f>
        <v>332602.13821392099</v>
      </c>
      <c r="F15" s="34">
        <f>+E15-'Water Heaters Retired'!F15+'Water Heaters Purchased'!F15</f>
        <v>308844.84262721235</v>
      </c>
      <c r="G15" s="34">
        <f>+F15-'Water Heaters Retired'!G15+'Water Heaters Purchased'!G15</f>
        <v>286784.4967252686</v>
      </c>
      <c r="H15" s="34">
        <f>+G15-'Water Heaters Retired'!H15+'Water Heaters Purchased'!H15</f>
        <v>266299.88981632085</v>
      </c>
      <c r="I15" s="34">
        <f>+H15-'Water Heaters Retired'!I15+'Water Heaters Purchased'!I15</f>
        <v>247278.46911515508</v>
      </c>
      <c r="J15" s="34">
        <f>+I15-'Water Heaters Retired'!J15+'Water Heaters Purchased'!J15</f>
        <v>229615.72132121545</v>
      </c>
      <c r="K15" s="34">
        <f>+J15-'Water Heaters Retired'!K15+'Water Heaters Purchased'!K15</f>
        <v>213214.59836970005</v>
      </c>
      <c r="L15" s="34">
        <f>+K15-'Water Heaters Retired'!L15+'Water Heaters Purchased'!L15</f>
        <v>197984.98420043575</v>
      </c>
      <c r="M15" s="34">
        <f>+L15-'Water Heaters Retired'!M15+'Water Heaters Purchased'!M15</f>
        <v>183843.19961469033</v>
      </c>
      <c r="N15" s="34">
        <f>+M15-'Water Heaters Retired'!N15+'Water Heaters Purchased'!N15</f>
        <v>170711.5424993553</v>
      </c>
      <c r="O15" s="34">
        <f>+N15-'Water Heaters Retired'!O15+'Water Heaters Purchased'!O15</f>
        <v>158517.8608922585</v>
      </c>
      <c r="P15" s="34">
        <f>+O15-'Water Heaters Retired'!P15+'Water Heaters Purchased'!P15</f>
        <v>147195.15654281146</v>
      </c>
      <c r="Q15" s="34">
        <f>+P15-'Water Heaters Retired'!Q15+'Water Heaters Purchased'!Q15</f>
        <v>136681.2167897535</v>
      </c>
      <c r="R15" s="34">
        <f>+Q15-'Water Heaters Retired'!R15+'Water Heaters Purchased'!R15</f>
        <v>126918.27273334253</v>
      </c>
      <c r="S15" s="34">
        <f>+R15-'Water Heaters Retired'!S15+'Water Heaters Purchased'!S15</f>
        <v>117852.68182381806</v>
      </c>
      <c r="T15" s="34">
        <f>+S15-'Water Heaters Retired'!T15+'Water Heaters Purchased'!T15</f>
        <v>109434.63312211676</v>
      </c>
      <c r="U15" s="34">
        <f>+T15-'Water Heaters Retired'!U15+'Water Heaters Purchased'!U15</f>
        <v>101617.87361339414</v>
      </c>
      <c r="V15" s="34">
        <f>+U15-'Water Heaters Retired'!V15+'Water Heaters Purchased'!V15</f>
        <v>94359.454069580272</v>
      </c>
      <c r="W15" s="34">
        <f>+V15-'Water Heaters Retired'!W15+'Water Heaters Purchased'!W15</f>
        <v>87619.493064610258</v>
      </c>
    </row>
    <row r="16" spans="1:23">
      <c r="A16" s="9" t="str">
        <f>+'Device Energy Use'!A6</f>
        <v>HPWH</v>
      </c>
      <c r="B16" s="34">
        <v>0</v>
      </c>
      <c r="C16" s="34">
        <f>+B16-'Water Heaters Retired'!C16+'Water Heaters Purchased'!C16</f>
        <v>0</v>
      </c>
      <c r="D16" s="34">
        <f>+C16-'Water Heaters Retired'!D16+'Water Heaters Purchased'!D16</f>
        <v>0</v>
      </c>
      <c r="E16" s="34">
        <f>+D16-'Water Heaters Retired'!E16+'Water Heaters Purchased'!E16</f>
        <v>0</v>
      </c>
      <c r="F16" s="34">
        <f>+E16-'Water Heaters Retired'!F16+'Water Heaters Purchased'!F16</f>
        <v>0</v>
      </c>
      <c r="G16" s="34">
        <f>+F16-'Water Heaters Retired'!G16+'Water Heaters Purchased'!G16</f>
        <v>0</v>
      </c>
      <c r="H16" s="34">
        <f>+G16-'Water Heaters Retired'!H16+'Water Heaters Purchased'!H16</f>
        <v>0</v>
      </c>
      <c r="I16" s="34">
        <f>+H16-'Water Heaters Retired'!I16+'Water Heaters Purchased'!I16</f>
        <v>0</v>
      </c>
      <c r="J16" s="34">
        <f>+I16-'Water Heaters Retired'!J16+'Water Heaters Purchased'!J16</f>
        <v>0</v>
      </c>
      <c r="K16" s="34">
        <f>+J16-'Water Heaters Retired'!K16+'Water Heaters Purchased'!K16</f>
        <v>0</v>
      </c>
      <c r="L16" s="34">
        <f>+K16-'Water Heaters Retired'!L16+'Water Heaters Purchased'!L16</f>
        <v>0</v>
      </c>
      <c r="M16" s="34">
        <f>+L16-'Water Heaters Retired'!M16+'Water Heaters Purchased'!M16</f>
        <v>0</v>
      </c>
      <c r="N16" s="34">
        <f>+M16-'Water Heaters Retired'!N16+'Water Heaters Purchased'!N16</f>
        <v>0</v>
      </c>
      <c r="O16" s="34">
        <f>+N16-'Water Heaters Retired'!O16+'Water Heaters Purchased'!O16</f>
        <v>29672.289071428546</v>
      </c>
      <c r="P16" s="34">
        <f>+O16-'Water Heaters Retired'!P16+'Water Heaters Purchased'!P16</f>
        <v>57225.128923469339</v>
      </c>
      <c r="Q16" s="34">
        <f>+P16-'Water Heaters Retired'!Q16+'Water Heaters Purchased'!Q16</f>
        <v>82809.908786078653</v>
      </c>
      <c r="R16" s="34">
        <f>+Q16-'Water Heaters Retired'!R16+'Water Heaters Purchased'!R16</f>
        <v>106567.2043727873</v>
      </c>
      <c r="S16" s="34">
        <f>+R16-'Water Heaters Retired'!S16+'Water Heaters Purchased'!S16</f>
        <v>128627.55027473104</v>
      </c>
      <c r="T16" s="34">
        <f>+S16-'Water Heaters Retired'!T16+'Water Heaters Purchased'!T16</f>
        <v>149112.15718367879</v>
      </c>
      <c r="U16" s="34">
        <f>+T16-'Water Heaters Retired'!U16+'Water Heaters Purchased'!U16</f>
        <v>168133.57788484456</v>
      </c>
      <c r="V16" s="34">
        <f>+U16-'Water Heaters Retired'!V16+'Water Heaters Purchased'!V16</f>
        <v>185796.32567878423</v>
      </c>
      <c r="W16" s="34">
        <f>+V16-'Water Heaters Retired'!W16+'Water Heaters Purchased'!W16</f>
        <v>202197.44863029959</v>
      </c>
    </row>
    <row r="17" spans="1:23">
      <c r="A17" s="9" t="str">
        <f>+'Device Energy Use'!A7</f>
        <v>Gas Tank</v>
      </c>
      <c r="B17" s="34">
        <v>0</v>
      </c>
      <c r="C17" s="34">
        <f>+B17-'Water Heaters Retired'!C17+'Water Heaters Purchased'!C17</f>
        <v>29672.289071428542</v>
      </c>
      <c r="D17" s="34">
        <f>+C17-'Water Heaters Retired'!D17+'Water Heaters Purchased'!D17</f>
        <v>57225.128923469332</v>
      </c>
      <c r="E17" s="34">
        <f>+D17-'Water Heaters Retired'!E17+'Water Heaters Purchased'!E17</f>
        <v>82809.908786078639</v>
      </c>
      <c r="F17" s="34">
        <f>+E17-'Water Heaters Retired'!F17+'Water Heaters Purchased'!F17</f>
        <v>106567.20437278728</v>
      </c>
      <c r="G17" s="34">
        <f>+F17-'Water Heaters Retired'!G17+'Water Heaters Purchased'!G17</f>
        <v>128627.55027473102</v>
      </c>
      <c r="H17" s="34">
        <f>+G17-'Water Heaters Retired'!H17+'Water Heaters Purchased'!H17</f>
        <v>149112.15718367876</v>
      </c>
      <c r="I17" s="34">
        <f>+H17-'Water Heaters Retired'!I17+'Water Heaters Purchased'!I17</f>
        <v>168133.57788484456</v>
      </c>
      <c r="J17" s="34">
        <f>+I17-'Water Heaters Retired'!J17+'Water Heaters Purchased'!J17</f>
        <v>185796.32567878423</v>
      </c>
      <c r="K17" s="34">
        <f>+J17-'Water Heaters Retired'!K17+'Water Heaters Purchased'!K17</f>
        <v>202197.44863029962</v>
      </c>
      <c r="L17" s="34">
        <f>+K17-'Water Heaters Retired'!L17+'Water Heaters Purchased'!L17</f>
        <v>217427.06279956392</v>
      </c>
      <c r="M17" s="34">
        <f>+L17-'Water Heaters Retired'!M17+'Water Heaters Purchased'!M17</f>
        <v>231568.84738530935</v>
      </c>
      <c r="N17" s="34">
        <f>+M17-'Water Heaters Retired'!N17+'Water Heaters Purchased'!N17</f>
        <v>244700.50450064437</v>
      </c>
      <c r="O17" s="34">
        <f>+N17-'Water Heaters Retired'!O17+'Water Heaters Purchased'!O17</f>
        <v>227221.89703631261</v>
      </c>
      <c r="P17" s="34">
        <f>+O17-'Water Heaters Retired'!P17+'Water Heaters Purchased'!P17</f>
        <v>210991.76153371885</v>
      </c>
      <c r="Q17" s="34">
        <f>+P17-'Water Heaters Retired'!Q17+'Water Heaters Purchased'!Q17</f>
        <v>195920.92142416749</v>
      </c>
      <c r="R17" s="34">
        <f>+Q17-'Water Heaters Retired'!R17+'Water Heaters Purchased'!R17</f>
        <v>181926.5698938698</v>
      </c>
      <c r="S17" s="34">
        <f>+R17-'Water Heaters Retired'!S17+'Water Heaters Purchased'!S17</f>
        <v>168931.81490145053</v>
      </c>
      <c r="T17" s="34">
        <f>+S17-'Water Heaters Retired'!T17+'Water Heaters Purchased'!T17</f>
        <v>156865.25669420406</v>
      </c>
      <c r="U17" s="34">
        <f>+T17-'Water Heaters Retired'!U17+'Water Heaters Purchased'!U17</f>
        <v>145660.59550176092</v>
      </c>
      <c r="V17" s="34">
        <f>+U17-'Water Heaters Retired'!V17+'Water Heaters Purchased'!V17</f>
        <v>135256.26725163514</v>
      </c>
      <c r="W17" s="34">
        <f>+V17-'Water Heaters Retired'!W17+'Water Heaters Purchased'!W17</f>
        <v>125595.10530508978</v>
      </c>
    </row>
    <row r="18" spans="1:23">
      <c r="A18" s="9" t="str">
        <f>+'Device Energy Use'!A8</f>
        <v>Instant Gas</v>
      </c>
      <c r="B18" s="34">
        <v>0</v>
      </c>
      <c r="C18" s="34">
        <f>+B18-'Water Heaters Retired'!C18+'Water Heaters Purchased'!C18</f>
        <v>0</v>
      </c>
      <c r="D18" s="34">
        <f>+C18-'Water Heaters Retired'!D18+'Water Heaters Purchased'!D18</f>
        <v>0</v>
      </c>
      <c r="E18" s="34">
        <f>+D18-'Water Heaters Retired'!E18+'Water Heaters Purchased'!E18</f>
        <v>0</v>
      </c>
      <c r="F18" s="34">
        <f>+E18-'Water Heaters Retired'!F18+'Water Heaters Purchased'!F18</f>
        <v>0</v>
      </c>
      <c r="G18" s="34">
        <f>+F18-'Water Heaters Retired'!G18+'Water Heaters Purchased'!G18</f>
        <v>0</v>
      </c>
      <c r="H18" s="34">
        <f>+G18-'Water Heaters Retired'!H18+'Water Heaters Purchased'!H18</f>
        <v>0</v>
      </c>
      <c r="I18" s="34">
        <f>+H18-'Water Heaters Retired'!I18+'Water Heaters Purchased'!I18</f>
        <v>0</v>
      </c>
      <c r="J18" s="34">
        <f>+I18-'Water Heaters Retired'!J18+'Water Heaters Purchased'!J18</f>
        <v>0</v>
      </c>
      <c r="K18" s="34">
        <f>+J18-'Water Heaters Retired'!K18+'Water Heaters Purchased'!K18</f>
        <v>0</v>
      </c>
      <c r="L18" s="34">
        <f>+K18-'Water Heaters Retired'!L18+'Water Heaters Purchased'!L18</f>
        <v>0</v>
      </c>
      <c r="M18" s="34">
        <f>+L18-'Water Heaters Retired'!M18+'Water Heaters Purchased'!M18</f>
        <v>0</v>
      </c>
      <c r="N18" s="34">
        <f>+M18-'Water Heaters Retired'!N18+'Water Heaters Purchased'!N18</f>
        <v>0</v>
      </c>
      <c r="O18" s="34">
        <f>+N18-'Water Heaters Retired'!O18+'Water Heaters Purchased'!O18</f>
        <v>0</v>
      </c>
      <c r="P18" s="34">
        <f>+O18-'Water Heaters Retired'!P18+'Water Heaters Purchased'!P18</f>
        <v>0</v>
      </c>
      <c r="Q18" s="34">
        <f>+P18-'Water Heaters Retired'!Q18+'Water Heaters Purchased'!Q18</f>
        <v>0</v>
      </c>
      <c r="R18" s="34">
        <f>+Q18-'Water Heaters Retired'!R18+'Water Heaters Purchased'!R18</f>
        <v>0</v>
      </c>
      <c r="S18" s="34">
        <f>+R18-'Water Heaters Retired'!S18+'Water Heaters Purchased'!S18</f>
        <v>0</v>
      </c>
      <c r="T18" s="34">
        <f>+S18-'Water Heaters Retired'!T18+'Water Heaters Purchased'!T18</f>
        <v>0</v>
      </c>
      <c r="U18" s="34">
        <f>+T18-'Water Heaters Retired'!U18+'Water Heaters Purchased'!U18</f>
        <v>0</v>
      </c>
      <c r="V18" s="34">
        <f>+U18-'Water Heaters Retired'!V18+'Water Heaters Purchased'!V18</f>
        <v>0</v>
      </c>
      <c r="W18" s="34">
        <f>+V18-'Water Heaters Retired'!W18+'Water Heaters Purchased'!W18</f>
        <v>0</v>
      </c>
    </row>
    <row r="19" spans="1:23">
      <c r="A19" s="9" t="str">
        <f>+'Device Energy Use'!A9</f>
        <v>Condensing Gas</v>
      </c>
      <c r="B19" s="34">
        <v>0</v>
      </c>
      <c r="C19" s="34">
        <f>+B19-'Water Heaters Retired'!C19+'Water Heaters Purchased'!C19</f>
        <v>0</v>
      </c>
      <c r="D19" s="34">
        <f>+C19-'Water Heaters Retired'!D19+'Water Heaters Purchased'!D19</f>
        <v>0</v>
      </c>
      <c r="E19" s="34">
        <f>+D19-'Water Heaters Retired'!E19+'Water Heaters Purchased'!E19</f>
        <v>0</v>
      </c>
      <c r="F19" s="34">
        <f>+E19-'Water Heaters Retired'!F19+'Water Heaters Purchased'!F19</f>
        <v>0</v>
      </c>
      <c r="G19" s="34">
        <f>+F19-'Water Heaters Retired'!G19+'Water Heaters Purchased'!G19</f>
        <v>0</v>
      </c>
      <c r="H19" s="34">
        <f>+G19-'Water Heaters Retired'!H19+'Water Heaters Purchased'!H19</f>
        <v>0</v>
      </c>
      <c r="I19" s="34">
        <f>+H19-'Water Heaters Retired'!I19+'Water Heaters Purchased'!I19</f>
        <v>0</v>
      </c>
      <c r="J19" s="34">
        <f>+I19-'Water Heaters Retired'!J19+'Water Heaters Purchased'!J19</f>
        <v>0</v>
      </c>
      <c r="K19" s="34">
        <f>+J19-'Water Heaters Retired'!K19+'Water Heaters Purchased'!K19</f>
        <v>0</v>
      </c>
      <c r="L19" s="34">
        <f>+K19-'Water Heaters Retired'!L19+'Water Heaters Purchased'!L19</f>
        <v>0</v>
      </c>
      <c r="M19" s="34">
        <f>+L19-'Water Heaters Retired'!M19+'Water Heaters Purchased'!M19</f>
        <v>0</v>
      </c>
      <c r="N19" s="34">
        <f>+M19-'Water Heaters Retired'!N19+'Water Heaters Purchased'!N19</f>
        <v>0</v>
      </c>
      <c r="O19" s="34">
        <f>+N19-'Water Heaters Retired'!O19+'Water Heaters Purchased'!O19</f>
        <v>0</v>
      </c>
      <c r="P19" s="34">
        <f>+O19-'Water Heaters Retired'!P19+'Water Heaters Purchased'!P19</f>
        <v>0</v>
      </c>
      <c r="Q19" s="34">
        <f>+P19-'Water Heaters Retired'!Q19+'Water Heaters Purchased'!Q19</f>
        <v>0</v>
      </c>
      <c r="R19" s="34">
        <f>+Q19-'Water Heaters Retired'!R19+'Water Heaters Purchased'!R19</f>
        <v>0</v>
      </c>
      <c r="S19" s="34">
        <f>+R19-'Water Heaters Retired'!S19+'Water Heaters Purchased'!S19</f>
        <v>0</v>
      </c>
      <c r="T19" s="34">
        <f>+S19-'Water Heaters Retired'!T19+'Water Heaters Purchased'!T19</f>
        <v>0</v>
      </c>
      <c r="U19" s="34">
        <f>+T19-'Water Heaters Retired'!U19+'Water Heaters Purchased'!U19</f>
        <v>0</v>
      </c>
      <c r="V19" s="34">
        <f>+U19-'Water Heaters Retired'!V19+'Water Heaters Purchased'!V19</f>
        <v>0</v>
      </c>
      <c r="W19" s="34">
        <f>+V19-'Water Heaters Retired'!W19+'Water Heaters Purchased'!W19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W19"/>
  <sheetViews>
    <sheetView workbookViewId="0"/>
  </sheetViews>
  <sheetFormatPr defaultColWidth="9.140625" defaultRowHeight="15.75"/>
  <cols>
    <col min="1" max="1" width="20.7109375" style="9" customWidth="1"/>
    <col min="2" max="10" width="9.7109375" style="9" customWidth="1"/>
    <col min="11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>
      <c r="A3" s="12" t="s">
        <v>109</v>
      </c>
      <c r="D3" s="12"/>
    </row>
    <row r="4" spans="1:23">
      <c r="A4" s="39" t="str">
        <f>'Device Energy Use'!A4</f>
        <v>Water Heat Ending</v>
      </c>
      <c r="B4" s="40">
        <f>'Water Heater Stock'!B4</f>
        <v>2014</v>
      </c>
      <c r="C4" s="40">
        <f>'Water Heater Stock'!C4</f>
        <v>2015</v>
      </c>
      <c r="D4" s="40">
        <f>'Water Heater Stock'!D4</f>
        <v>2016</v>
      </c>
      <c r="E4" s="40">
        <f>'Water Heater Stock'!E4</f>
        <v>2017</v>
      </c>
      <c r="F4" s="40">
        <f>'Water Heater Stock'!F4</f>
        <v>2018</v>
      </c>
      <c r="G4" s="40">
        <f>'Water Heater Stock'!G4</f>
        <v>2019</v>
      </c>
      <c r="H4" s="40">
        <f>'Water Heater Stock'!H4</f>
        <v>2020</v>
      </c>
      <c r="I4" s="40">
        <f>'Water Heater Stock'!I4</f>
        <v>2021</v>
      </c>
      <c r="J4" s="40">
        <f>'Water Heater Stock'!J4</f>
        <v>2022</v>
      </c>
      <c r="K4" s="40">
        <f>'Water Heater Stock'!K4</f>
        <v>2023</v>
      </c>
      <c r="L4" s="40">
        <f>'Water Heater Stock'!L4</f>
        <v>2024</v>
      </c>
      <c r="M4" s="40">
        <f>'Water Heater Stock'!M4</f>
        <v>2025</v>
      </c>
      <c r="N4" s="40">
        <f>'Water Heater Stock'!N4</f>
        <v>2026</v>
      </c>
      <c r="O4" s="40">
        <f>'Water Heater Stock'!O4</f>
        <v>2027</v>
      </c>
      <c r="P4" s="40">
        <f>'Water Heater Stock'!P4</f>
        <v>2028</v>
      </c>
      <c r="Q4" s="40">
        <f>'Water Heater Stock'!Q4</f>
        <v>2029</v>
      </c>
      <c r="R4" s="40">
        <f>'Water Heater Stock'!R4</f>
        <v>2030</v>
      </c>
      <c r="S4" s="40">
        <f>'Water Heater Stock'!S4</f>
        <v>2031</v>
      </c>
      <c r="T4" s="40">
        <f>'Water Heater Stock'!T4</f>
        <v>2032</v>
      </c>
      <c r="U4" s="40">
        <f>'Water Heater Stock'!U4</f>
        <v>2033</v>
      </c>
      <c r="V4" s="40">
        <f>'Water Heater Stock'!V4</f>
        <v>2034</v>
      </c>
      <c r="W4" s="40">
        <f>'Water Heater Stock'!W4</f>
        <v>2035</v>
      </c>
    </row>
    <row r="5" spans="1:23" ht="16.5" thickBot="1">
      <c r="A5" s="49" t="s">
        <v>48</v>
      </c>
      <c r="B5" s="50">
        <f t="shared" ref="B5:W5" si="0">SUM(B6:B10)</f>
        <v>0</v>
      </c>
      <c r="C5" s="50">
        <f t="shared" si="0"/>
        <v>29672.289071428542</v>
      </c>
      <c r="D5" s="50">
        <f t="shared" si="0"/>
        <v>29672.289071428546</v>
      </c>
      <c r="E5" s="50">
        <f t="shared" si="0"/>
        <v>29672.28907142855</v>
      </c>
      <c r="F5" s="50">
        <f t="shared" si="0"/>
        <v>29672.28907142855</v>
      </c>
      <c r="G5" s="50">
        <f t="shared" si="0"/>
        <v>29672.28907142855</v>
      </c>
      <c r="H5" s="50">
        <f t="shared" si="0"/>
        <v>29672.289071428546</v>
      </c>
      <c r="I5" s="50">
        <f t="shared" si="0"/>
        <v>29672.289071428546</v>
      </c>
      <c r="J5" s="50">
        <f t="shared" si="0"/>
        <v>29672.289071428553</v>
      </c>
      <c r="K5" s="50">
        <f t="shared" si="0"/>
        <v>29672.289071428546</v>
      </c>
      <c r="L5" s="50">
        <f t="shared" si="0"/>
        <v>29672.289071428546</v>
      </c>
      <c r="M5" s="50">
        <f t="shared" si="0"/>
        <v>29672.28907142855</v>
      </c>
      <c r="N5" s="50">
        <f t="shared" si="0"/>
        <v>29672.289071428546</v>
      </c>
      <c r="O5" s="50">
        <f t="shared" si="0"/>
        <v>29672.28907142855</v>
      </c>
      <c r="P5" s="50">
        <f t="shared" si="0"/>
        <v>29672.289071428546</v>
      </c>
      <c r="Q5" s="50">
        <f t="shared" si="0"/>
        <v>29672.28907142855</v>
      </c>
      <c r="R5" s="50">
        <f t="shared" si="0"/>
        <v>29672.289071428542</v>
      </c>
      <c r="S5" s="50">
        <f t="shared" si="0"/>
        <v>29672.289071428546</v>
      </c>
      <c r="T5" s="50">
        <f t="shared" si="0"/>
        <v>29672.289071428542</v>
      </c>
      <c r="U5" s="50">
        <f t="shared" si="0"/>
        <v>29672.289071428542</v>
      </c>
      <c r="V5" s="50">
        <f t="shared" si="0"/>
        <v>29672.289071428539</v>
      </c>
      <c r="W5" s="50">
        <f t="shared" si="0"/>
        <v>29672.289071428535</v>
      </c>
    </row>
    <row r="6" spans="1:23" ht="16.5" thickTop="1">
      <c r="A6" s="9" t="str">
        <f>+'Water Heater Stock'!A6</f>
        <v>Electric Resistance</v>
      </c>
      <c r="B6" s="34">
        <v>0</v>
      </c>
      <c r="C6" s="34">
        <f>'Water Heater Stock'!B6/Lifetime</f>
        <v>29672.289071428542</v>
      </c>
      <c r="D6" s="34">
        <f>'Water Heater Stock'!C6/Lifetime</f>
        <v>29301.459531337496</v>
      </c>
      <c r="E6" s="34">
        <f>'Water Heater Stock'!D6/Lifetime</f>
        <v>28956.613166856197</v>
      </c>
      <c r="F6" s="34">
        <f>'Water Heater Stock'!E6/Lifetime</f>
        <v>28635.586885692846</v>
      </c>
      <c r="G6" s="34">
        <f>'Water Heater Stock'!F6/Lifetime</f>
        <v>28336.174053816514</v>
      </c>
      <c r="H6" s="34">
        <f>'Water Heater Stock'!G6/Lifetime</f>
        <v>28056.04534683139</v>
      </c>
      <c r="I6" s="34">
        <f>'Water Heater Stock'!H6/Lifetime</f>
        <v>27792.66130071105</v>
      </c>
      <c r="J6" s="34">
        <f>'Water Heater Stock'!I6/Lifetime</f>
        <v>27543.183833601059</v>
      </c>
      <c r="K6" s="34">
        <f>'Water Heater Stock'!J6/Lifetime</f>
        <v>27304.397691675033</v>
      </c>
      <c r="L6" s="34">
        <f>'Water Heater Stock'!K6/Lifetime</f>
        <v>27072.65588921398</v>
      </c>
      <c r="M6" s="34">
        <f>'Water Heater Stock'!L6/Lifetime</f>
        <v>26843.864796106373</v>
      </c>
      <c r="N6" s="34">
        <f>'Water Heater Stock'!M6/Lifetime</f>
        <v>26613.523493219891</v>
      </c>
      <c r="O6" s="34">
        <f>'Water Heater Stock'!N6/Lifetime</f>
        <v>26376.827472503315</v>
      </c>
      <c r="P6" s="34">
        <f>'Water Heater Stock'!O6/Lifetime</f>
        <v>26128.838454502267</v>
      </c>
      <c r="Q6" s="34">
        <f>'Water Heater Stock'!P6/Lifetime</f>
        <v>25864.710899987003</v>
      </c>
      <c r="R6" s="34">
        <f>'Water Heater Stock'!Q6/Lifetime</f>
        <v>25579.953891692283</v>
      </c>
      <c r="S6" s="34">
        <f>'Water Heater Stock'!R6/Lifetime</f>
        <v>25270.69759205377</v>
      </c>
      <c r="T6" s="34">
        <f>'Water Heater Stock'!S6/Lifetime</f>
        <v>24933.929523800962</v>
      </c>
      <c r="U6" s="34">
        <f>'Water Heater Stock'!T6/Lifetime</f>
        <v>24567.669213515797</v>
      </c>
      <c r="V6" s="34">
        <f>'Water Heater Stock'!U6/Lifetime</f>
        <v>24171.059784791356</v>
      </c>
      <c r="W6" s="34">
        <f>'Water Heater Stock'!V6/Lifetime</f>
        <v>23744.369200835241</v>
      </c>
    </row>
    <row r="7" spans="1:23">
      <c r="A7" s="9" t="str">
        <f>+'Water Heater Stock'!A7</f>
        <v>HPWH</v>
      </c>
      <c r="B7" s="34">
        <v>0</v>
      </c>
      <c r="C7" s="34">
        <f>'Water Heater Stock'!B7/Lifetime</f>
        <v>0</v>
      </c>
      <c r="D7" s="34">
        <f>'Water Heater Stock'!C7/Lifetime</f>
        <v>0.23021578147645227</v>
      </c>
      <c r="E7" s="34">
        <f>'Water Heater Stock'!D7/Lifetime</f>
        <v>0.67429006878820974</v>
      </c>
      <c r="F7" s="34">
        <f>'Water Heater Stock'!E7/Lifetime</f>
        <v>1.5019465554542646</v>
      </c>
      <c r="G7" s="34">
        <f>'Water Heater Stock'!F7/Lifetime</f>
        <v>2.9839429758128793</v>
      </c>
      <c r="H7" s="34">
        <f>'Water Heater Stock'!G7/Lifetime</f>
        <v>5.5315311990029796</v>
      </c>
      <c r="I7" s="34">
        <f>'Water Heater Stock'!H7/Lifetime</f>
        <v>9.7408139852744817</v>
      </c>
      <c r="J7" s="34">
        <f>'Water Heater Stock'!I7/Lifetime</f>
        <v>16.43776516065277</v>
      </c>
      <c r="K7" s="34">
        <f>'Water Heater Stock'!J7/Lifetime</f>
        <v>26.717612401225754</v>
      </c>
      <c r="L7" s="34">
        <f>'Water Heater Stock'!K7/Lifetime</f>
        <v>41.970557573221512</v>
      </c>
      <c r="M7" s="34">
        <f>'Water Heater Stock'!L7/Lifetime</f>
        <v>63.884978660928901</v>
      </c>
      <c r="N7" s="34">
        <f>'Water Heater Stock'!M7/Lifetime</f>
        <v>94.419926408266846</v>
      </c>
      <c r="O7" s="34">
        <f>'Water Heater Stock'!N7/Lifetime</f>
        <v>135.74139069577453</v>
      </c>
      <c r="P7" s="34">
        <f>'Water Heater Stock'!O7/Lifetime</f>
        <v>190.12158591750054</v>
      </c>
      <c r="Q7" s="34">
        <f>'Water Heater Stock'!P7/Lifetime</f>
        <v>259.80687385565437</v>
      </c>
      <c r="R7" s="34">
        <f>'Water Heater Stock'!Q7/Lifetime</f>
        <v>346.86664788692684</v>
      </c>
      <c r="S7" s="34">
        <f>'Water Heater Stock'!R7/Lifetime</f>
        <v>453.04076324768783</v>
      </c>
      <c r="T7" s="34">
        <f>'Water Heater Stock'!S7/Lifetime</f>
        <v>579.60518708333427</v>
      </c>
      <c r="U7" s="34">
        <f>'Water Heater Stock'!T7/Lifetime</f>
        <v>727.27351012373879</v>
      </c>
      <c r="V7" s="34">
        <f>'Water Heater Stock'!U7/Lifetime</f>
        <v>896.14613656915515</v>
      </c>
      <c r="W7" s="34">
        <f>'Water Heater Stock'!V7/Lifetime</f>
        <v>1085.7109072137589</v>
      </c>
    </row>
    <row r="8" spans="1:23">
      <c r="A8" s="9" t="str">
        <f>+'Water Heater Stock'!A8</f>
        <v>Gas Tank</v>
      </c>
      <c r="B8" s="34">
        <v>0</v>
      </c>
      <c r="C8" s="34">
        <f>'Water Heater Stock'!B8/Lifetime</f>
        <v>0</v>
      </c>
      <c r="D8" s="34">
        <f>'Water Heater Stock'!C8/Lifetime</f>
        <v>370.34605636932332</v>
      </c>
      <c r="E8" s="34">
        <f>'Water Heater Stock'!D8/Lifetime</f>
        <v>714.25857483513209</v>
      </c>
      <c r="F8" s="34">
        <f>'Water Heater Stock'!E8/Lifetime</f>
        <v>1033.5420815210841</v>
      </c>
      <c r="G8" s="34">
        <f>'Water Heater Stock'!F8/Lifetime</f>
        <v>1329.8302418126407</v>
      </c>
      <c r="H8" s="34">
        <f>'Water Heater Stock'!G8/Lifetime</f>
        <v>1604.5806164447006</v>
      </c>
      <c r="I8" s="34">
        <f>'Water Heater Stock'!H8/Lifetime</f>
        <v>1859.0668411464828</v>
      </c>
      <c r="J8" s="34">
        <f>'Water Heater Stock'!I8/Lifetime</f>
        <v>2094.3698412600716</v>
      </c>
      <c r="K8" s="34">
        <f>'Water Heater Stock'!J8/Lifetime</f>
        <v>2311.3704718888453</v>
      </c>
      <c r="L8" s="34">
        <f>'Water Heater Stock'!K8/Lifetime</f>
        <v>2510.7466317499125</v>
      </c>
      <c r="M8" s="34">
        <f>'Water Heater Stock'!L8/Lifetime</f>
        <v>2692.9782279110536</v>
      </c>
      <c r="N8" s="34">
        <f>'Water Heater Stock'!M8/Lifetime</f>
        <v>2858.3631387232776</v>
      </c>
      <c r="O8" s="34">
        <f>'Water Heater Stock'!N8/Lifetime</f>
        <v>3007.0463438738848</v>
      </c>
      <c r="P8" s="34">
        <f>'Water Heater Stock'!O8/Lifetime</f>
        <v>3139.0626123436091</v>
      </c>
      <c r="Q8" s="34">
        <f>'Water Heater Stock'!P8/Lifetime</f>
        <v>3254.3907487273796</v>
      </c>
      <c r="R8" s="34">
        <f>'Water Heater Stock'!Q8/Lifetime</f>
        <v>3353.0148639523227</v>
      </c>
      <c r="S8" s="34">
        <f>'Water Heater Stock'!R8/Lifetime</f>
        <v>3434.9861265453596</v>
      </c>
      <c r="T8" s="34">
        <f>'Water Heater Stock'!S8/Lifetime</f>
        <v>3500.4776200415326</v>
      </c>
      <c r="U8" s="34">
        <f>'Water Heater Stock'!T8/Lifetime</f>
        <v>3549.8256482557017</v>
      </c>
      <c r="V8" s="34">
        <f>'Water Heater Stock'!U8/Lifetime</f>
        <v>3583.5529821889663</v>
      </c>
      <c r="W8" s="34">
        <f>'Water Heater Stock'!V8/Lifetime</f>
        <v>3602.3725543129804</v>
      </c>
    </row>
    <row r="9" spans="1:23">
      <c r="A9" s="9" t="str">
        <f>+'Water Heater Stock'!A9</f>
        <v>Instant Gas</v>
      </c>
      <c r="B9" s="34">
        <v>0</v>
      </c>
      <c r="C9" s="34">
        <f>'Water Heater Stock'!B9/Lifetime</f>
        <v>0</v>
      </c>
      <c r="D9" s="34">
        <f>'Water Heater Stock'!C9/Lifetime</f>
        <v>5.2178054312344568E-2</v>
      </c>
      <c r="E9" s="34">
        <f>'Water Heater Stock'!D9/Lifetime</f>
        <v>0.1532720268357986</v>
      </c>
      <c r="F9" s="34">
        <f>'Water Heater Stock'!E9/Lifetime</f>
        <v>0.34252342311093198</v>
      </c>
      <c r="G9" s="34">
        <f>'Water Heater Stock'!F9/Lifetime</f>
        <v>0.68288879594060981</v>
      </c>
      <c r="H9" s="34">
        <f>'Water Heater Stock'!G9/Lifetime</f>
        <v>1.2705509624482063</v>
      </c>
      <c r="I9" s="34">
        <f>'Water Heater Stock'!H9/Lifetime</f>
        <v>2.2457681105931537</v>
      </c>
      <c r="J9" s="34">
        <f>'Water Heater Stock'!I9/Lifetime</f>
        <v>3.8041092159356547</v>
      </c>
      <c r="K9" s="34">
        <f>'Water Heater Stock'!J9/Lifetime</f>
        <v>6.2066122564807289</v>
      </c>
      <c r="L9" s="34">
        <f>'Water Heater Stock'!K9/Lifetime</f>
        <v>9.7869532147796416</v>
      </c>
      <c r="M9" s="34">
        <f>'Water Heater Stock'!L9/Lifetime</f>
        <v>14.953461137808473</v>
      </c>
      <c r="N9" s="34">
        <f>'Water Heater Stock'!M9/Lifetime</f>
        <v>22.183908913183945</v>
      </c>
      <c r="O9" s="34">
        <f>'Water Heater Stock'!N9/Lifetime</f>
        <v>32.011581435830344</v>
      </c>
      <c r="P9" s="34">
        <f>'Water Heater Stock'!O9/Lifetime</f>
        <v>45.002219177725401</v>
      </c>
      <c r="Q9" s="34">
        <f>'Water Heater Stock'!P9/Lifetime</f>
        <v>61.722951501857274</v>
      </c>
      <c r="R9" s="34">
        <f>'Water Heater Stock'!Q9/Lifetime</f>
        <v>82.705982796069549</v>
      </c>
      <c r="S9" s="34">
        <f>'Water Heater Stock'!R9/Lifetime</f>
        <v>108.41114956472995</v>
      </c>
      <c r="T9" s="34">
        <f>'Water Heater Stock'!S9/Lifetime</f>
        <v>139.19209678239645</v>
      </c>
      <c r="U9" s="34">
        <f>'Water Heater Stock'!T9/Lifetime</f>
        <v>175.2704676431882</v>
      </c>
      <c r="V9" s="34">
        <f>'Water Heater Stock'!U9/Lifetime</f>
        <v>216.72120487222347</v>
      </c>
      <c r="W9" s="34">
        <f>'Water Heater Stock'!V9/Lifetime</f>
        <v>263.47017115133684</v>
      </c>
    </row>
    <row r="10" spans="1:23">
      <c r="A10" s="9" t="str">
        <f>+'Water Heater Stock'!A10</f>
        <v>Condensing Gas</v>
      </c>
      <c r="B10" s="34">
        <v>0</v>
      </c>
      <c r="C10" s="34">
        <f>'Water Heater Stock'!B10/Lifetime</f>
        <v>0</v>
      </c>
      <c r="D10" s="34">
        <f>'Water Heater Stock'!C10/Lifetime</f>
        <v>0.20108988593721486</v>
      </c>
      <c r="E10" s="34">
        <f>'Water Heater Stock'!D10/Lifetime</f>
        <v>0.58976764159431982</v>
      </c>
      <c r="F10" s="34">
        <f>'Water Heater Stock'!E10/Lifetime</f>
        <v>1.3156342360511126</v>
      </c>
      <c r="G10" s="34">
        <f>'Water Heater Stock'!F10/Lifetime</f>
        <v>2.6179440276394641</v>
      </c>
      <c r="H10" s="34">
        <f>'Water Heater Stock'!G10/Lifetime</f>
        <v>4.8610259910062563</v>
      </c>
      <c r="I10" s="34">
        <f>'Water Heater Stock'!H10/Lifetime</f>
        <v>8.5743474751472721</v>
      </c>
      <c r="J10" s="34">
        <f>'Water Heater Stock'!I10/Lifetime</f>
        <v>14.493522190832806</v>
      </c>
      <c r="K10" s="34">
        <f>'Water Heater Stock'!J10/Lifetime</f>
        <v>23.596683206963977</v>
      </c>
      <c r="L10" s="34">
        <f>'Water Heater Stock'!K10/Lifetime</f>
        <v>37.129039676654209</v>
      </c>
      <c r="M10" s="34">
        <f>'Water Heater Stock'!L10/Lifetime</f>
        <v>56.60760761238577</v>
      </c>
      <c r="N10" s="34">
        <f>'Water Heater Stock'!M10/Lifetime</f>
        <v>83.798604163928104</v>
      </c>
      <c r="O10" s="34">
        <f>'Water Heater Stock'!N10/Lifetime</f>
        <v>120.66228291974609</v>
      </c>
      <c r="P10" s="34">
        <f>'Water Heater Stock'!O10/Lifetime</f>
        <v>169.26419948744589</v>
      </c>
      <c r="Q10" s="34">
        <f>'Water Heater Stock'!P10/Lifetime</f>
        <v>231.65759735665276</v>
      </c>
      <c r="R10" s="34">
        <f>'Water Heater Stock'!Q10/Lifetime</f>
        <v>309.74768510094185</v>
      </c>
      <c r="S10" s="34">
        <f>'Water Heater Stock'!R10/Lifetime</f>
        <v>405.15344001699697</v>
      </c>
      <c r="T10" s="34">
        <f>'Water Heater Stock'!S10/Lifetime</f>
        <v>519.08464372031847</v>
      </c>
      <c r="U10" s="34">
        <f>'Water Heater Stock'!T10/Lifetime</f>
        <v>652.25023189011597</v>
      </c>
      <c r="V10" s="34">
        <f>'Water Heater Stock'!U10/Lifetime</f>
        <v>804.80896300683833</v>
      </c>
      <c r="W10" s="34">
        <f>'Water Heater Stock'!V10/Lifetime</f>
        <v>976.36623791522084</v>
      </c>
    </row>
    <row r="12" spans="1:23">
      <c r="A12" s="12" t="s">
        <v>110</v>
      </c>
      <c r="D12" s="12"/>
    </row>
    <row r="13" spans="1:23">
      <c r="A13" s="39" t="str">
        <f>'Device Energy Use'!A4</f>
        <v>Water Heat Ending</v>
      </c>
      <c r="B13" s="40">
        <f>+'Water Heater Stock'!B13</f>
        <v>2014</v>
      </c>
      <c r="C13" s="40">
        <f>+'Water Heater Stock'!C13</f>
        <v>2015</v>
      </c>
      <c r="D13" s="40">
        <f>+'Water Heater Stock'!D13</f>
        <v>2016</v>
      </c>
      <c r="E13" s="40">
        <f>+'Water Heater Stock'!E13</f>
        <v>2017</v>
      </c>
      <c r="F13" s="40">
        <f>+'Water Heater Stock'!F13</f>
        <v>2018</v>
      </c>
      <c r="G13" s="40">
        <f>+'Water Heater Stock'!G13</f>
        <v>2019</v>
      </c>
      <c r="H13" s="40">
        <f>+'Water Heater Stock'!H13</f>
        <v>2020</v>
      </c>
      <c r="I13" s="40">
        <f>+'Water Heater Stock'!I13</f>
        <v>2021</v>
      </c>
      <c r="J13" s="40">
        <f>+'Water Heater Stock'!J13</f>
        <v>2022</v>
      </c>
      <c r="K13" s="40">
        <f>+'Water Heater Stock'!K13</f>
        <v>2023</v>
      </c>
      <c r="L13" s="40">
        <f>+'Water Heater Stock'!L13</f>
        <v>2024</v>
      </c>
      <c r="M13" s="40">
        <f>+'Water Heater Stock'!M13</f>
        <v>2025</v>
      </c>
      <c r="N13" s="40">
        <f>+'Water Heater Stock'!N13</f>
        <v>2026</v>
      </c>
      <c r="O13" s="40">
        <f>+'Water Heater Stock'!O13</f>
        <v>2027</v>
      </c>
      <c r="P13" s="40">
        <f>+'Water Heater Stock'!P13</f>
        <v>2028</v>
      </c>
      <c r="Q13" s="40">
        <f>+'Water Heater Stock'!Q13</f>
        <v>2029</v>
      </c>
      <c r="R13" s="40">
        <f>+'Water Heater Stock'!R13</f>
        <v>2030</v>
      </c>
      <c r="S13" s="40">
        <f>+'Water Heater Stock'!S13</f>
        <v>2031</v>
      </c>
      <c r="T13" s="40">
        <f>+'Water Heater Stock'!T13</f>
        <v>2032</v>
      </c>
      <c r="U13" s="40">
        <f>+'Water Heater Stock'!U13</f>
        <v>2033</v>
      </c>
      <c r="V13" s="40">
        <f>+'Water Heater Stock'!V13</f>
        <v>2034</v>
      </c>
      <c r="W13" s="40">
        <f>+'Water Heater Stock'!W13</f>
        <v>2035</v>
      </c>
    </row>
    <row r="14" spans="1:23" ht="16.5" thickBot="1">
      <c r="A14" s="49" t="s">
        <v>48</v>
      </c>
      <c r="B14" s="50">
        <f t="shared" ref="B14:W14" si="1">SUM(B15:B19)</f>
        <v>0</v>
      </c>
      <c r="C14" s="50">
        <f t="shared" si="1"/>
        <v>29672.289071428542</v>
      </c>
      <c r="D14" s="50">
        <f t="shared" si="1"/>
        <v>29672.289071428542</v>
      </c>
      <c r="E14" s="50">
        <f t="shared" si="1"/>
        <v>29672.289071428546</v>
      </c>
      <c r="F14" s="50">
        <f t="shared" si="1"/>
        <v>29672.289071428546</v>
      </c>
      <c r="G14" s="50">
        <f t="shared" si="1"/>
        <v>29672.289071428546</v>
      </c>
      <c r="H14" s="50">
        <f t="shared" si="1"/>
        <v>29672.289071428546</v>
      </c>
      <c r="I14" s="50">
        <f t="shared" si="1"/>
        <v>29672.289071428546</v>
      </c>
      <c r="J14" s="50">
        <f t="shared" si="1"/>
        <v>29672.289071428546</v>
      </c>
      <c r="K14" s="50">
        <f t="shared" si="1"/>
        <v>29672.28907142855</v>
      </c>
      <c r="L14" s="50">
        <f t="shared" si="1"/>
        <v>29672.289071428546</v>
      </c>
      <c r="M14" s="50">
        <f t="shared" si="1"/>
        <v>29672.289071428546</v>
      </c>
      <c r="N14" s="50">
        <f t="shared" si="1"/>
        <v>29672.28907142855</v>
      </c>
      <c r="O14" s="50">
        <f t="shared" si="1"/>
        <v>29672.289071428546</v>
      </c>
      <c r="P14" s="50">
        <f t="shared" si="1"/>
        <v>29672.289071428546</v>
      </c>
      <c r="Q14" s="50">
        <f t="shared" si="1"/>
        <v>29672.289071428546</v>
      </c>
      <c r="R14" s="50">
        <f t="shared" si="1"/>
        <v>29672.289071428546</v>
      </c>
      <c r="S14" s="50">
        <f t="shared" si="1"/>
        <v>29672.289071428546</v>
      </c>
      <c r="T14" s="50">
        <f t="shared" si="1"/>
        <v>29672.289071428546</v>
      </c>
      <c r="U14" s="50">
        <f t="shared" si="1"/>
        <v>29672.289071428546</v>
      </c>
      <c r="V14" s="50">
        <f t="shared" si="1"/>
        <v>29672.289071428546</v>
      </c>
      <c r="W14" s="50">
        <f t="shared" si="1"/>
        <v>29672.289071428546</v>
      </c>
    </row>
    <row r="15" spans="1:23" ht="16.5" thickTop="1">
      <c r="A15" s="9" t="str">
        <f>+'Water Heater Stock'!A15</f>
        <v>Electric Resistance</v>
      </c>
      <c r="B15" s="34">
        <v>0</v>
      </c>
      <c r="C15" s="34">
        <f>'Water Heater Stock'!B15/Lifetime</f>
        <v>29672.289071428542</v>
      </c>
      <c r="D15" s="34">
        <f>'Water Heater Stock'!C15/Lifetime</f>
        <v>27552.83985204079</v>
      </c>
      <c r="E15" s="34">
        <f>'Water Heater Stock'!D15/Lifetime</f>
        <v>25584.779862609306</v>
      </c>
      <c r="F15" s="34">
        <f>'Water Heater Stock'!E15/Lifetime</f>
        <v>23757.295586708642</v>
      </c>
      <c r="G15" s="34">
        <f>'Water Heater Stock'!F15/Lifetime</f>
        <v>22060.34590194374</v>
      </c>
      <c r="H15" s="34">
        <f>'Water Heater Stock'!G15/Lifetime</f>
        <v>20484.606908947757</v>
      </c>
      <c r="I15" s="34">
        <f>'Water Heater Stock'!H15/Lifetime</f>
        <v>19021.420701165775</v>
      </c>
      <c r="J15" s="34">
        <f>'Water Heater Stock'!I15/Lifetime</f>
        <v>17662.747793939649</v>
      </c>
      <c r="K15" s="34">
        <f>'Water Heater Stock'!J15/Lifetime</f>
        <v>16401.12295151539</v>
      </c>
      <c r="L15" s="34">
        <f>'Water Heater Stock'!K15/Lifetime</f>
        <v>15229.614169264289</v>
      </c>
      <c r="M15" s="34">
        <f>'Water Heater Stock'!L15/Lifetime</f>
        <v>14141.78458574541</v>
      </c>
      <c r="N15" s="34">
        <f>'Water Heater Stock'!M15/Lifetime</f>
        <v>13131.657115335023</v>
      </c>
      <c r="O15" s="34">
        <f>'Water Heater Stock'!N15/Lifetime</f>
        <v>12193.681607096807</v>
      </c>
      <c r="P15" s="34">
        <f>'Water Heater Stock'!O15/Lifetime</f>
        <v>11322.704349447036</v>
      </c>
      <c r="Q15" s="34">
        <f>'Water Heater Stock'!P15/Lifetime</f>
        <v>10513.939753057961</v>
      </c>
      <c r="R15" s="34">
        <f>'Water Heater Stock'!Q15/Lifetime</f>
        <v>9762.9440564109645</v>
      </c>
      <c r="S15" s="34">
        <f>'Water Heater Stock'!R15/Lifetime</f>
        <v>9065.590909524466</v>
      </c>
      <c r="T15" s="34">
        <f>'Water Heater Stock'!S15/Lifetime</f>
        <v>8418.0487017012892</v>
      </c>
      <c r="U15" s="34">
        <f>'Water Heater Stock'!T15/Lifetime</f>
        <v>7816.7595087226264</v>
      </c>
      <c r="V15" s="34">
        <f>'Water Heater Stock'!U15/Lifetime</f>
        <v>7258.4195438138677</v>
      </c>
      <c r="W15" s="34">
        <f>'Water Heater Stock'!V15/Lifetime</f>
        <v>6739.9610049700195</v>
      </c>
    </row>
    <row r="16" spans="1:23">
      <c r="A16" s="9" t="str">
        <f>+'Water Heater Stock'!A16</f>
        <v>HPWH</v>
      </c>
      <c r="B16" s="34">
        <v>0</v>
      </c>
      <c r="C16" s="34">
        <f>'Water Heater Stock'!B16/Lifetime</f>
        <v>0</v>
      </c>
      <c r="D16" s="34">
        <f>'Water Heater Stock'!C16/Lifetime</f>
        <v>0</v>
      </c>
      <c r="E16" s="34">
        <f>'Water Heater Stock'!D16/Lifetime</f>
        <v>0</v>
      </c>
      <c r="F16" s="34">
        <f>'Water Heater Stock'!E16/Lifetime</f>
        <v>0</v>
      </c>
      <c r="G16" s="34">
        <f>'Water Heater Stock'!F16/Lifetime</f>
        <v>0</v>
      </c>
      <c r="H16" s="34">
        <f>'Water Heater Stock'!G16/Lifetime</f>
        <v>0</v>
      </c>
      <c r="I16" s="34">
        <f>'Water Heater Stock'!H16/Lifetime</f>
        <v>0</v>
      </c>
      <c r="J16" s="34">
        <f>'Water Heater Stock'!I16/Lifetime</f>
        <v>0</v>
      </c>
      <c r="K16" s="34">
        <f>'Water Heater Stock'!J16/Lifetime</f>
        <v>0</v>
      </c>
      <c r="L16" s="34">
        <f>'Water Heater Stock'!K16/Lifetime</f>
        <v>0</v>
      </c>
      <c r="M16" s="34">
        <f>'Water Heater Stock'!L16/Lifetime</f>
        <v>0</v>
      </c>
      <c r="N16" s="34">
        <f>'Water Heater Stock'!M16/Lifetime</f>
        <v>0</v>
      </c>
      <c r="O16" s="34">
        <f>'Water Heater Stock'!N16/Lifetime</f>
        <v>0</v>
      </c>
      <c r="P16" s="34">
        <f>'Water Heater Stock'!O16/Lifetime</f>
        <v>2119.4492193877531</v>
      </c>
      <c r="Q16" s="34">
        <f>'Water Heater Stock'!P16/Lifetime</f>
        <v>4087.5092088192387</v>
      </c>
      <c r="R16" s="34">
        <f>'Water Heater Stock'!Q16/Lifetime</f>
        <v>5914.9934847199038</v>
      </c>
      <c r="S16" s="34">
        <f>'Water Heater Stock'!R16/Lifetime</f>
        <v>7611.9431694848072</v>
      </c>
      <c r="T16" s="34">
        <f>'Water Heater Stock'!S16/Lifetime</f>
        <v>9187.682162480789</v>
      </c>
      <c r="U16" s="34">
        <f>'Water Heater Stock'!T16/Lifetime</f>
        <v>10650.868370262771</v>
      </c>
      <c r="V16" s="34">
        <f>'Water Heater Stock'!U16/Lifetime</f>
        <v>12009.541277488897</v>
      </c>
      <c r="W16" s="34">
        <f>'Water Heater Stock'!V16/Lifetime</f>
        <v>13271.166119913159</v>
      </c>
    </row>
    <row r="17" spans="1:23">
      <c r="A17" s="9" t="str">
        <f>+'Water Heater Stock'!A17</f>
        <v>Gas Tank</v>
      </c>
      <c r="B17" s="34">
        <v>0</v>
      </c>
      <c r="C17" s="34">
        <f>'Water Heater Stock'!B17/Lifetime</f>
        <v>0</v>
      </c>
      <c r="D17" s="34">
        <f>'Water Heater Stock'!C17/Lifetime</f>
        <v>2119.4492193877531</v>
      </c>
      <c r="E17" s="34">
        <f>'Water Heater Stock'!D17/Lifetime</f>
        <v>4087.5092088192382</v>
      </c>
      <c r="F17" s="34">
        <f>'Water Heater Stock'!E17/Lifetime</f>
        <v>5914.9934847199029</v>
      </c>
      <c r="G17" s="34">
        <f>'Water Heater Stock'!F17/Lifetime</f>
        <v>7611.9431694848054</v>
      </c>
      <c r="H17" s="34">
        <f>'Water Heater Stock'!G17/Lifetime</f>
        <v>9187.6821624807872</v>
      </c>
      <c r="I17" s="34">
        <f>'Water Heater Stock'!H17/Lifetime</f>
        <v>10650.86837026277</v>
      </c>
      <c r="J17" s="34">
        <f>'Water Heater Stock'!I17/Lifetime</f>
        <v>12009.541277488897</v>
      </c>
      <c r="K17" s="34">
        <f>'Water Heater Stock'!J17/Lifetime</f>
        <v>13271.166119913159</v>
      </c>
      <c r="L17" s="34">
        <f>'Water Heater Stock'!K17/Lifetime</f>
        <v>14442.674902164259</v>
      </c>
      <c r="M17" s="34">
        <f>'Water Heater Stock'!L17/Lifetime</f>
        <v>15530.504485683137</v>
      </c>
      <c r="N17" s="34">
        <f>'Water Heater Stock'!M17/Lifetime</f>
        <v>16540.631956093526</v>
      </c>
      <c r="O17" s="34">
        <f>'Water Heater Stock'!N17/Lifetime</f>
        <v>17478.607464331741</v>
      </c>
      <c r="P17" s="34">
        <f>'Water Heater Stock'!O17/Lifetime</f>
        <v>16230.135502593757</v>
      </c>
      <c r="Q17" s="34">
        <f>'Water Heater Stock'!P17/Lifetime</f>
        <v>15070.840109551345</v>
      </c>
      <c r="R17" s="34">
        <f>'Water Heater Stock'!Q17/Lifetime</f>
        <v>13994.351530297678</v>
      </c>
      <c r="S17" s="34">
        <f>'Water Heater Stock'!R17/Lifetime</f>
        <v>12994.754992419272</v>
      </c>
      <c r="T17" s="34">
        <f>'Water Heater Stock'!S17/Lifetime</f>
        <v>12066.558207246466</v>
      </c>
      <c r="U17" s="34">
        <f>'Water Heater Stock'!T17/Lifetime</f>
        <v>11204.661192443147</v>
      </c>
      <c r="V17" s="34">
        <f>'Water Heater Stock'!U17/Lifetime</f>
        <v>10404.32825012578</v>
      </c>
      <c r="W17" s="34">
        <f>'Water Heater Stock'!V17/Lifetime</f>
        <v>9661.1619465453678</v>
      </c>
    </row>
    <row r="18" spans="1:23">
      <c r="A18" s="9" t="str">
        <f>+'Water Heater Stock'!A18</f>
        <v>Instant Gas</v>
      </c>
      <c r="B18" s="34">
        <v>0</v>
      </c>
      <c r="C18" s="34">
        <f>'Water Heater Stock'!B18/Lifetime</f>
        <v>0</v>
      </c>
      <c r="D18" s="34">
        <f>'Water Heater Stock'!C18/Lifetime</f>
        <v>0</v>
      </c>
      <c r="E18" s="34">
        <f>'Water Heater Stock'!D18/Lifetime</f>
        <v>0</v>
      </c>
      <c r="F18" s="34">
        <f>'Water Heater Stock'!E18/Lifetime</f>
        <v>0</v>
      </c>
      <c r="G18" s="34">
        <f>'Water Heater Stock'!F18/Lifetime</f>
        <v>0</v>
      </c>
      <c r="H18" s="34">
        <f>'Water Heater Stock'!G18/Lifetime</f>
        <v>0</v>
      </c>
      <c r="I18" s="34">
        <f>'Water Heater Stock'!H18/Lifetime</f>
        <v>0</v>
      </c>
      <c r="J18" s="34">
        <f>'Water Heater Stock'!I18/Lifetime</f>
        <v>0</v>
      </c>
      <c r="K18" s="34">
        <f>'Water Heater Stock'!J18/Lifetime</f>
        <v>0</v>
      </c>
      <c r="L18" s="34">
        <f>'Water Heater Stock'!K18/Lifetime</f>
        <v>0</v>
      </c>
      <c r="M18" s="34">
        <f>'Water Heater Stock'!L18/Lifetime</f>
        <v>0</v>
      </c>
      <c r="N18" s="34">
        <f>'Water Heater Stock'!M18/Lifetime</f>
        <v>0</v>
      </c>
      <c r="O18" s="34">
        <f>'Water Heater Stock'!N18/Lifetime</f>
        <v>0</v>
      </c>
      <c r="P18" s="34">
        <f>'Water Heater Stock'!O18/Lifetime</f>
        <v>0</v>
      </c>
      <c r="Q18" s="34">
        <f>'Water Heater Stock'!P18/Lifetime</f>
        <v>0</v>
      </c>
      <c r="R18" s="34">
        <f>'Water Heater Stock'!Q18/Lifetime</f>
        <v>0</v>
      </c>
      <c r="S18" s="34">
        <f>'Water Heater Stock'!R18/Lifetime</f>
        <v>0</v>
      </c>
      <c r="T18" s="34">
        <f>'Water Heater Stock'!S18/Lifetime</f>
        <v>0</v>
      </c>
      <c r="U18" s="34">
        <f>'Water Heater Stock'!T18/Lifetime</f>
        <v>0</v>
      </c>
      <c r="V18" s="34">
        <f>'Water Heater Stock'!U18/Lifetime</f>
        <v>0</v>
      </c>
      <c r="W18" s="34">
        <f>'Water Heater Stock'!V18/Lifetime</f>
        <v>0</v>
      </c>
    </row>
    <row r="19" spans="1:23">
      <c r="A19" s="9" t="str">
        <f>+'Water Heater Stock'!A19</f>
        <v>Condensing Gas</v>
      </c>
      <c r="B19" s="34">
        <v>0</v>
      </c>
      <c r="C19" s="34">
        <f>'Water Heater Stock'!B19/Lifetime</f>
        <v>0</v>
      </c>
      <c r="D19" s="34">
        <f>'Water Heater Stock'!C19/Lifetime</f>
        <v>0</v>
      </c>
      <c r="E19" s="34">
        <f>'Water Heater Stock'!D19/Lifetime</f>
        <v>0</v>
      </c>
      <c r="F19" s="34">
        <f>'Water Heater Stock'!E19/Lifetime</f>
        <v>0</v>
      </c>
      <c r="G19" s="34">
        <f>'Water Heater Stock'!F19/Lifetime</f>
        <v>0</v>
      </c>
      <c r="H19" s="34">
        <f>'Water Heater Stock'!G19/Lifetime</f>
        <v>0</v>
      </c>
      <c r="I19" s="34">
        <f>'Water Heater Stock'!H19/Lifetime</f>
        <v>0</v>
      </c>
      <c r="J19" s="34">
        <f>'Water Heater Stock'!I19/Lifetime</f>
        <v>0</v>
      </c>
      <c r="K19" s="34">
        <f>'Water Heater Stock'!J19/Lifetime</f>
        <v>0</v>
      </c>
      <c r="L19" s="34">
        <f>'Water Heater Stock'!K19/Lifetime</f>
        <v>0</v>
      </c>
      <c r="M19" s="34">
        <f>'Water Heater Stock'!L19/Lifetime</f>
        <v>0</v>
      </c>
      <c r="N19" s="34">
        <f>'Water Heater Stock'!M19/Lifetime</f>
        <v>0</v>
      </c>
      <c r="O19" s="34">
        <f>'Water Heater Stock'!N19/Lifetime</f>
        <v>0</v>
      </c>
      <c r="P19" s="34">
        <f>'Water Heater Stock'!O19/Lifetime</f>
        <v>0</v>
      </c>
      <c r="Q19" s="34">
        <f>'Water Heater Stock'!P19/Lifetime</f>
        <v>0</v>
      </c>
      <c r="R19" s="34">
        <f>'Water Heater Stock'!Q19/Lifetime</f>
        <v>0</v>
      </c>
      <c r="S19" s="34">
        <f>'Water Heater Stock'!R19/Lifetime</f>
        <v>0</v>
      </c>
      <c r="T19" s="34">
        <f>'Water Heater Stock'!S19/Lifetime</f>
        <v>0</v>
      </c>
      <c r="U19" s="34">
        <f>'Water Heater Stock'!T19/Lifetime</f>
        <v>0</v>
      </c>
      <c r="V19" s="34">
        <f>'Water Heater Stock'!U19/Lifetime</f>
        <v>0</v>
      </c>
      <c r="W19" s="34">
        <f>'Water Heater Stock'!V19/Lifetime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W19"/>
  <sheetViews>
    <sheetView workbookViewId="0"/>
  </sheetViews>
  <sheetFormatPr defaultColWidth="9.140625" defaultRowHeight="15.75"/>
  <cols>
    <col min="1" max="1" width="20.7109375" style="9" customWidth="1"/>
    <col min="2" max="13" width="9.7109375" style="9" customWidth="1"/>
    <col min="14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>
      <c r="A3" s="12" t="s">
        <v>107</v>
      </c>
    </row>
    <row r="4" spans="1:23">
      <c r="A4" s="39" t="str">
        <f>'Device Energy Use'!A4</f>
        <v>Water Heat Ending</v>
      </c>
      <c r="B4" s="40">
        <f>+'Water Heater Stock'!B4</f>
        <v>2014</v>
      </c>
      <c r="C4" s="40">
        <f>+'Water Heater Stock'!C4</f>
        <v>2015</v>
      </c>
      <c r="D4" s="40">
        <f>+'Water Heater Stock'!D4</f>
        <v>2016</v>
      </c>
      <c r="E4" s="40">
        <f>+'Water Heater Stock'!E4</f>
        <v>2017</v>
      </c>
      <c r="F4" s="40">
        <f>+'Water Heater Stock'!F4</f>
        <v>2018</v>
      </c>
      <c r="G4" s="40">
        <f>+'Water Heater Stock'!G4</f>
        <v>2019</v>
      </c>
      <c r="H4" s="40">
        <f>+'Water Heater Stock'!H4</f>
        <v>2020</v>
      </c>
      <c r="I4" s="40">
        <f>+'Water Heater Stock'!I4</f>
        <v>2021</v>
      </c>
      <c r="J4" s="40">
        <f>+'Water Heater Stock'!J4</f>
        <v>2022</v>
      </c>
      <c r="K4" s="40">
        <f>+'Water Heater Stock'!K4</f>
        <v>2023</v>
      </c>
      <c r="L4" s="40">
        <f>+'Water Heater Stock'!L4</f>
        <v>2024</v>
      </c>
      <c r="M4" s="40">
        <f>+'Water Heater Stock'!M4</f>
        <v>2025</v>
      </c>
      <c r="N4" s="40">
        <f>+'Water Heater Stock'!N4</f>
        <v>2026</v>
      </c>
      <c r="O4" s="40">
        <f>+'Water Heater Stock'!O4</f>
        <v>2027</v>
      </c>
      <c r="P4" s="40">
        <f>+'Water Heater Stock'!P4</f>
        <v>2028</v>
      </c>
      <c r="Q4" s="40">
        <f>+'Water Heater Stock'!Q4</f>
        <v>2029</v>
      </c>
      <c r="R4" s="40">
        <f>+'Water Heater Stock'!R4</f>
        <v>2030</v>
      </c>
      <c r="S4" s="40">
        <f>+'Water Heater Stock'!S4</f>
        <v>2031</v>
      </c>
      <c r="T4" s="40">
        <f>+'Water Heater Stock'!T4</f>
        <v>2032</v>
      </c>
      <c r="U4" s="40">
        <f>+'Water Heater Stock'!U4</f>
        <v>2033</v>
      </c>
      <c r="V4" s="40">
        <f>+'Water Heater Stock'!V4</f>
        <v>2034</v>
      </c>
      <c r="W4" s="40">
        <f>+'Water Heater Stock'!W4</f>
        <v>2035</v>
      </c>
    </row>
    <row r="5" spans="1:23" s="29" customFormat="1" ht="16.5" thickBot="1">
      <c r="A5" s="49" t="s">
        <v>48</v>
      </c>
      <c r="B5" s="50">
        <f t="shared" ref="B5:W5" si="0">SUM(B6:B10)</f>
        <v>0</v>
      </c>
      <c r="C5" s="50">
        <f t="shared" ref="C5" si="1">SUM(C6:C10)</f>
        <v>29672.289071428535</v>
      </c>
      <c r="D5" s="50">
        <f t="shared" si="0"/>
        <v>29672.289071428546</v>
      </c>
      <c r="E5" s="50">
        <f t="shared" si="0"/>
        <v>29672.289071428546</v>
      </c>
      <c r="F5" s="50">
        <f t="shared" si="0"/>
        <v>29672.289071428557</v>
      </c>
      <c r="G5" s="50">
        <f t="shared" si="0"/>
        <v>29672.289071428546</v>
      </c>
      <c r="H5" s="50">
        <f t="shared" si="0"/>
        <v>29672.289071428542</v>
      </c>
      <c r="I5" s="50">
        <f t="shared" si="0"/>
        <v>29672.289071428539</v>
      </c>
      <c r="J5" s="50">
        <f t="shared" si="0"/>
        <v>29672.289071428557</v>
      </c>
      <c r="K5" s="50">
        <f t="shared" si="0"/>
        <v>29672.289071428553</v>
      </c>
      <c r="L5" s="50">
        <f t="shared" si="0"/>
        <v>29672.289071428542</v>
      </c>
      <c r="M5" s="50">
        <f t="shared" si="0"/>
        <v>29672.28907142855</v>
      </c>
      <c r="N5" s="50">
        <f t="shared" si="0"/>
        <v>29672.28907142855</v>
      </c>
      <c r="O5" s="50">
        <f t="shared" si="0"/>
        <v>29672.289071428553</v>
      </c>
      <c r="P5" s="50">
        <f t="shared" si="0"/>
        <v>29672.289071428546</v>
      </c>
      <c r="Q5" s="50">
        <f t="shared" si="0"/>
        <v>29672.289071428553</v>
      </c>
      <c r="R5" s="50">
        <f t="shared" si="0"/>
        <v>29672.289071428546</v>
      </c>
      <c r="S5" s="50">
        <f t="shared" si="0"/>
        <v>29672.28907142855</v>
      </c>
      <c r="T5" s="50">
        <f t="shared" si="0"/>
        <v>29672.289071428542</v>
      </c>
      <c r="U5" s="50">
        <f t="shared" si="0"/>
        <v>29672.289071428539</v>
      </c>
      <c r="V5" s="50">
        <f t="shared" si="0"/>
        <v>29672.289071428542</v>
      </c>
      <c r="W5" s="50">
        <f t="shared" si="0"/>
        <v>29672.289071428539</v>
      </c>
    </row>
    <row r="6" spans="1:23" ht="16.5" thickTop="1">
      <c r="A6" s="9" t="str">
        <f>+'Water Heater Stock'!A6</f>
        <v>Electric Resistance</v>
      </c>
      <c r="B6" s="34">
        <v>0</v>
      </c>
      <c r="C6" s="34">
        <f>SUM('Water Heaters Retired'!C$6:C$10)*'Marginal Market Share'!C5</f>
        <v>24480.675510153847</v>
      </c>
      <c r="D6" s="34">
        <f>SUM('Water Heaters Retired'!D$6:D$10)*'Marginal Market Share'!D5</f>
        <v>24473.610428599284</v>
      </c>
      <c r="E6" s="34">
        <f>SUM('Water Heaters Retired'!E$6:E$10)*'Marginal Market Share'!E5</f>
        <v>24462.245230569293</v>
      </c>
      <c r="F6" s="34">
        <f>SUM('Water Heaters Retired'!F$6:F$10)*'Marginal Market Share'!F5</f>
        <v>24443.807239424194</v>
      </c>
      <c r="G6" s="34">
        <f>SUM('Water Heaters Retired'!G$6:G$10)*'Marginal Market Share'!G5</f>
        <v>24414.372156024769</v>
      </c>
      <c r="H6" s="34">
        <f>SUM('Water Heaters Retired'!H$6:H$10)*'Marginal Market Share'!H5</f>
        <v>24368.668701146631</v>
      </c>
      <c r="I6" s="34">
        <f>SUM('Water Heaters Retired'!I$6:I$10)*'Marginal Market Share'!I5</f>
        <v>24299.97676117111</v>
      </c>
      <c r="J6" s="34">
        <f>SUM('Water Heaters Retired'!J$6:J$10)*'Marginal Market Share'!J5</f>
        <v>24200.177846636743</v>
      </c>
      <c r="K6" s="34">
        <f>SUM('Water Heaters Retired'!K$6:K$10)*'Marginal Market Share'!K5</f>
        <v>24060.012457220306</v>
      </c>
      <c r="L6" s="34">
        <f>SUM('Water Heaters Retired'!L$6:L$10)*'Marginal Market Share'!L5</f>
        <v>23869.580585707452</v>
      </c>
      <c r="M6" s="34">
        <f>SUM('Water Heaters Retired'!M$6:M$10)*'Marginal Market Share'!M5</f>
        <v>23619.086555695652</v>
      </c>
      <c r="N6" s="34">
        <f>SUM('Water Heaters Retired'!N$6:N$10)*'Marginal Market Share'!N5</f>
        <v>23299.77920318778</v>
      </c>
      <c r="O6" s="34">
        <f>SUM('Water Heaters Retired'!O$6:O$10)*'Marginal Market Share'!O5</f>
        <v>22904.981220488684</v>
      </c>
      <c r="P6" s="34">
        <f>SUM('Water Heaters Retired'!P$6:P$10)*'Marginal Market Share'!P5</f>
        <v>22431.052691288583</v>
      </c>
      <c r="Q6" s="34">
        <f>SUM('Water Heaters Retired'!Q$6:Q$10)*'Marginal Market Share'!Q5</f>
        <v>21878.112783860968</v>
      </c>
      <c r="R6" s="34">
        <f>SUM('Water Heaters Retired'!R$6:R$10)*'Marginal Market Share'!R5</f>
        <v>21250.365696753091</v>
      </c>
      <c r="S6" s="34">
        <f>SUM('Water Heaters Retired'!S$6:S$10)*'Marginal Market Share'!S5</f>
        <v>20555.944636514472</v>
      </c>
      <c r="T6" s="34">
        <f>SUM('Water Heaters Retired'!T$6:T$10)*'Marginal Market Share'!T5</f>
        <v>19806.285179808678</v>
      </c>
      <c r="U6" s="34">
        <f>SUM('Water Heaters Retired'!U$6:U$10)*'Marginal Market Share'!U5</f>
        <v>19015.137211373654</v>
      </c>
      <c r="V6" s="34">
        <f>SUM('Water Heaters Retired'!V$6:V$10)*'Marginal Market Share'!V5</f>
        <v>18197.391609405768</v>
      </c>
      <c r="W6" s="34">
        <f>SUM('Water Heaters Retired'!W$6:W$10)*'Marginal Market Share'!W5</f>
        <v>17367.915329110801</v>
      </c>
    </row>
    <row r="7" spans="1:23">
      <c r="A7" s="9" t="str">
        <f>+'Water Heater Stock'!A7</f>
        <v>HPWH</v>
      </c>
      <c r="B7" s="34">
        <v>0</v>
      </c>
      <c r="C7" s="34">
        <f>SUM('Water Heaters Retired'!C$6:C$10)*'Marginal Market Share'!C6</f>
        <v>3.2230209406703318</v>
      </c>
      <c r="D7" s="34">
        <f>SUM('Water Heaters Retired'!D$6:D$10)*'Marginal Market Share'!D6</f>
        <v>6.447255803841057</v>
      </c>
      <c r="E7" s="34">
        <f>SUM('Water Heaters Retired'!E$6:E$10)*'Marginal Market Share'!E6</f>
        <v>12.261480882112979</v>
      </c>
      <c r="F7" s="34">
        <f>SUM('Water Heaters Retired'!F$6:F$10)*'Marginal Market Share'!F6</f>
        <v>22.249896440474867</v>
      </c>
      <c r="G7" s="34">
        <f>SUM('Water Heaters Retired'!G$6:G$10)*'Marginal Market Share'!G6</f>
        <v>38.650178100474292</v>
      </c>
      <c r="H7" s="34">
        <f>SUM('Water Heaters Retired'!H$6:H$10)*'Marginal Market Share'!H6</f>
        <v>64.461490206803987</v>
      </c>
      <c r="I7" s="34">
        <f>SUM('Water Heaters Retired'!I$6:I$10)*'Marginal Market Share'!I6</f>
        <v>103.49813044057053</v>
      </c>
      <c r="J7" s="34">
        <f>SUM('Water Heaters Retired'!J$6:J$10)*'Marginal Market Share'!J6</f>
        <v>160.35562652867452</v>
      </c>
      <c r="K7" s="34">
        <f>SUM('Water Heaters Retired'!K$6:K$10)*'Marginal Market Share'!K6</f>
        <v>240.25884480916639</v>
      </c>
      <c r="L7" s="34">
        <f>SUM('Water Heaters Retired'!L$6:L$10)*'Marginal Market Share'!L6</f>
        <v>348.7724528011251</v>
      </c>
      <c r="M7" s="34">
        <f>SUM('Water Heaters Retired'!M$6:M$10)*'Marginal Market Share'!M6</f>
        <v>491.37424712366015</v>
      </c>
      <c r="N7" s="34">
        <f>SUM('Water Heaters Retired'!N$6:N$10)*'Marginal Market Share'!N6</f>
        <v>672.92042643337447</v>
      </c>
      <c r="O7" s="34">
        <f>SUM('Water Heaters Retired'!O$6:O$10)*'Marginal Market Share'!O6</f>
        <v>897.06412379993844</v>
      </c>
      <c r="P7" s="34">
        <f>SUM('Water Heaters Retired'!P$6:P$10)*'Marginal Market Share'!P6</f>
        <v>1165.7156170516544</v>
      </c>
      <c r="Q7" s="34">
        <f>SUM('Water Heaters Retired'!Q$6:Q$10)*'Marginal Market Share'!Q6</f>
        <v>1478.6437102934692</v>
      </c>
      <c r="R7" s="34">
        <f>SUM('Water Heaters Retired'!R$6:R$10)*'Marginal Market Share'!R6</f>
        <v>1833.3042629375809</v>
      </c>
      <c r="S7" s="34">
        <f>SUM('Water Heaters Retired'!S$6:S$10)*'Marginal Market Share'!S6</f>
        <v>2224.9426969467377</v>
      </c>
      <c r="T7" s="34">
        <f>SUM('Water Heaters Retired'!T$6:T$10)*'Marginal Market Share'!T6</f>
        <v>2646.9617096489983</v>
      </c>
      <c r="U7" s="34">
        <f>SUM('Water Heaters Retired'!U$6:U$10)*'Marginal Market Share'!U6</f>
        <v>3091.4902803595692</v>
      </c>
      <c r="V7" s="34">
        <f>SUM('Water Heaters Retired'!V$6:V$10)*'Marginal Market Share'!V6</f>
        <v>3550.0529255936071</v>
      </c>
      <c r="W7" s="34">
        <f>SUM('Water Heaters Retired'!W$6:W$10)*'Marginal Market Share'!W6</f>
        <v>4014.2293059262406</v>
      </c>
    </row>
    <row r="8" spans="1:23">
      <c r="A8" s="9" t="str">
        <f>+'Water Heater Stock'!A8</f>
        <v>Gas Tank</v>
      </c>
      <c r="B8" s="34">
        <v>0</v>
      </c>
      <c r="C8" s="34">
        <f>SUM('Water Heaters Retired'!C$6:C$10)*'Marginal Market Share'!C7</f>
        <v>5184.8447891705264</v>
      </c>
      <c r="D8" s="34">
        <f>SUM('Water Heaters Retired'!D$6:D$10)*'Marginal Market Share'!D7</f>
        <v>5185.1213148906463</v>
      </c>
      <c r="E8" s="34">
        <f>SUM('Water Heaters Retired'!E$6:E$10)*'Marginal Market Share'!E7</f>
        <v>5184.2276684384624</v>
      </c>
      <c r="F8" s="34">
        <f>SUM('Water Heaters Retired'!F$6:F$10)*'Marginal Market Share'!F7</f>
        <v>5181.5763256028758</v>
      </c>
      <c r="G8" s="34">
        <f>SUM('Water Heaters Retired'!G$6:G$10)*'Marginal Market Share'!G7</f>
        <v>5176.33548666148</v>
      </c>
      <c r="H8" s="34">
        <f>SUM('Water Heaters Retired'!H$6:H$10)*'Marginal Market Share'!H7</f>
        <v>5167.3877622696518</v>
      </c>
      <c r="I8" s="34">
        <f>SUM('Water Heaters Retired'!I$6:I$10)*'Marginal Market Share'!I7</f>
        <v>5153.3088427367275</v>
      </c>
      <c r="J8" s="34">
        <f>SUM('Water Heaters Retired'!J$6:J$10)*'Marginal Market Share'!J7</f>
        <v>5132.3786700629016</v>
      </c>
      <c r="K8" s="34">
        <f>SUM('Water Heaters Retired'!K$6:K$10)*'Marginal Market Share'!K7</f>
        <v>5102.6367099437839</v>
      </c>
      <c r="L8" s="34">
        <f>SUM('Water Heaters Retired'!L$6:L$10)*'Marginal Market Share'!L7</f>
        <v>5061.9889780058875</v>
      </c>
      <c r="M8" s="34">
        <f>SUM('Water Heaters Retired'!M$6:M$10)*'Marginal Market Share'!M7</f>
        <v>5008.3669792821893</v>
      </c>
      <c r="N8" s="34">
        <f>SUM('Water Heaters Retired'!N$6:N$10)*'Marginal Market Share'!N7</f>
        <v>4939.928010831778</v>
      </c>
      <c r="O8" s="34">
        <f>SUM('Water Heaters Retired'!O$6:O$10)*'Marginal Market Share'!O7</f>
        <v>4855.2741024500292</v>
      </c>
      <c r="P8" s="34">
        <f>SUM('Water Heaters Retired'!P$6:P$10)*'Marginal Market Share'!P7</f>
        <v>4753.6565217163952</v>
      </c>
      <c r="Q8" s="34">
        <f>SUM('Water Heaters Retired'!Q$6:Q$10)*'Marginal Market Share'!Q7</f>
        <v>4635.1283618765865</v>
      </c>
      <c r="R8" s="34">
        <f>SUM('Water Heaters Retired'!R$6:R$10)*'Marginal Market Share'!R7</f>
        <v>4500.6125402548423</v>
      </c>
      <c r="S8" s="34">
        <f>SUM('Water Heaters Retired'!S$6:S$10)*'Marginal Market Share'!S7</f>
        <v>4351.8670354917776</v>
      </c>
      <c r="T8" s="34">
        <f>SUM('Water Heaters Retired'!T$6:T$10)*'Marginal Market Share'!T7</f>
        <v>4191.3500150399004</v>
      </c>
      <c r="U8" s="34">
        <f>SUM('Water Heaters Retired'!U$6:U$10)*'Marginal Market Share'!U7</f>
        <v>4022.0083233214082</v>
      </c>
      <c r="V8" s="34">
        <f>SUM('Water Heaters Retired'!V$6:V$10)*'Marginal Market Share'!V7</f>
        <v>3847.0269919251609</v>
      </c>
      <c r="W8" s="34">
        <f>SUM('Water Heaters Retired'!W$6:W$10)*'Marginal Market Share'!W7</f>
        <v>3669.581052088563</v>
      </c>
    </row>
    <row r="9" spans="1:23">
      <c r="A9" s="9" t="str">
        <f>+'Water Heater Stock'!A9</f>
        <v>Instant Gas</v>
      </c>
      <c r="B9" s="34">
        <v>0</v>
      </c>
      <c r="C9" s="34">
        <f>SUM('Water Heaters Retired'!C$6:C$10)*'Marginal Market Share'!C8</f>
        <v>0.73049276037282396</v>
      </c>
      <c r="D9" s="34">
        <f>SUM('Water Heaters Retired'!D$6:D$10)*'Marginal Market Share'!D8</f>
        <v>1.467493669640701</v>
      </c>
      <c r="E9" s="34">
        <f>SUM('Water Heaters Retired'!E$6:E$10)*'Marginal Market Share'!E8</f>
        <v>2.8027915746876655</v>
      </c>
      <c r="F9" s="34">
        <f>SUM('Water Heaters Retired'!F$6:F$10)*'Marginal Market Share'!F8</f>
        <v>5.107638642726422</v>
      </c>
      <c r="G9" s="34">
        <f>SUM('Water Heaters Retired'!G$6:G$10)*'Marginal Market Share'!G8</f>
        <v>8.9101591270469598</v>
      </c>
      <c r="H9" s="34">
        <f>SUM('Water Heaters Retired'!H$6:H$10)*'Marginal Market Share'!H8</f>
        <v>14.923591036477466</v>
      </c>
      <c r="I9" s="34">
        <f>SUM('Water Heaters Retired'!I$6:I$10)*'Marginal Market Share'!I8</f>
        <v>24.062543585388166</v>
      </c>
      <c r="J9" s="34">
        <f>SUM('Water Heaters Retired'!J$6:J$10)*'Marginal Market Share'!J8</f>
        <v>37.439151783566693</v>
      </c>
      <c r="K9" s="34">
        <f>SUM('Water Heaters Retired'!K$6:K$10)*'Marginal Market Share'!K8</f>
        <v>56.331385672665512</v>
      </c>
      <c r="L9" s="34">
        <f>SUM('Water Heaters Retired'!L$6:L$10)*'Marginal Market Share'!L8</f>
        <v>82.118064137183282</v>
      </c>
      <c r="M9" s="34">
        <f>SUM('Water Heaters Retired'!M$6:M$10)*'Marginal Market Share'!M8</f>
        <v>116.17972999306507</v>
      </c>
      <c r="N9" s="34">
        <f>SUM('Water Heaters Retired'!N$6:N$10)*'Marginal Market Share'!N8</f>
        <v>159.77132423023355</v>
      </c>
      <c r="O9" s="34">
        <f>SUM('Water Heaters Retired'!O$6:O$10)*'Marginal Market Share'!O8</f>
        <v>213.88050982236109</v>
      </c>
      <c r="P9" s="34">
        <f>SUM('Water Heaters Retired'!P$6:P$10)*'Marginal Market Share'!P8</f>
        <v>279.09247171557155</v>
      </c>
      <c r="Q9" s="34">
        <f>SUM('Water Heaters Retired'!Q$6:Q$10)*'Marginal Market Share'!Q8</f>
        <v>355.48538962082927</v>
      </c>
      <c r="R9" s="34">
        <f>SUM('Water Heaters Retired'!R$6:R$10)*'Marginal Market Share'!R8</f>
        <v>442.57831755731507</v>
      </c>
      <c r="S9" s="34">
        <f>SUM('Water Heaters Retired'!S$6:S$10)*'Marginal Market Share'!S8</f>
        <v>539.34441061206098</v>
      </c>
      <c r="T9" s="34">
        <f>SUM('Water Heaters Retired'!T$6:T$10)*'Marginal Market Share'!T8</f>
        <v>644.28928883348112</v>
      </c>
      <c r="U9" s="34">
        <f>SUM('Water Heaters Retired'!U$6:U$10)*'Marginal Market Share'!U8</f>
        <v>755.58078884968143</v>
      </c>
      <c r="V9" s="34">
        <f>SUM('Water Heaters Retired'!V$6:V$10)*'Marginal Market Share'!V8</f>
        <v>871.20673277981155</v>
      </c>
      <c r="W9" s="34">
        <f>SUM('Water Heaters Retired'!W$6:W$10)*'Marginal Market Share'!W8</f>
        <v>989.13435275139432</v>
      </c>
    </row>
    <row r="10" spans="1:23">
      <c r="A10" s="9" t="str">
        <f>+'Water Heater Stock'!A10</f>
        <v>Condensing Gas</v>
      </c>
      <c r="B10" s="34">
        <v>0</v>
      </c>
      <c r="C10" s="34">
        <f>SUM('Water Heaters Retired'!C$6:C$10)*'Marginal Market Share'!C9</f>
        <v>2.8152584031210082</v>
      </c>
      <c r="D10" s="34">
        <f>SUM('Water Heaters Retired'!D$6:D$10)*'Marginal Market Share'!D9</f>
        <v>5.6425784651366842</v>
      </c>
      <c r="E10" s="34">
        <f>SUM('Water Heaters Retired'!E$6:E$10)*'Marginal Market Share'!E9</f>
        <v>10.751899963989421</v>
      </c>
      <c r="F10" s="34">
        <f>SUM('Water Heaters Retired'!F$6:F$10)*'Marginal Market Share'!F9</f>
        <v>19.547971318288031</v>
      </c>
      <c r="G10" s="34">
        <f>SUM('Water Heaters Retired'!G$6:G$10)*'Marginal Market Share'!G9</f>
        <v>34.021091514774547</v>
      </c>
      <c r="H10" s="34">
        <f>SUM('Water Heaters Retired'!H$6:H$10)*'Marginal Market Share'!H9</f>
        <v>56.847526768980465</v>
      </c>
      <c r="I10" s="34">
        <f>SUM('Water Heaters Retired'!I$6:I$10)*'Marginal Market Share'!I9</f>
        <v>91.442793494744748</v>
      </c>
      <c r="J10" s="34">
        <f>SUM('Water Heaters Retired'!J$6:J$10)*'Marginal Market Share'!J9</f>
        <v>141.93777641666921</v>
      </c>
      <c r="K10" s="34">
        <f>SUM('Water Heaters Retired'!K$6:K$10)*'Marginal Market Share'!K9</f>
        <v>213.0496737826272</v>
      </c>
      <c r="L10" s="34">
        <f>SUM('Water Heaters Retired'!L$6:L$10)*'Marginal Market Share'!L9</f>
        <v>309.82899077689603</v>
      </c>
      <c r="M10" s="34">
        <f>SUM('Water Heaters Retired'!M$6:M$10)*'Marginal Market Share'!M9</f>
        <v>437.28155933397852</v>
      </c>
      <c r="N10" s="34">
        <f>SUM('Water Heaters Retired'!N$6:N$10)*'Marginal Market Share'!N9</f>
        <v>599.89010674537985</v>
      </c>
      <c r="O10" s="34">
        <f>SUM('Water Heaters Retired'!O$6:O$10)*'Marginal Market Share'!O9</f>
        <v>801.089114867543</v>
      </c>
      <c r="P10" s="34">
        <f>SUM('Water Heaters Retired'!P$6:P$10)*'Marginal Market Share'!P9</f>
        <v>1042.7717696563418</v>
      </c>
      <c r="Q10" s="34">
        <f>SUM('Water Heaters Retired'!Q$6:Q$10)*'Marginal Market Share'!Q9</f>
        <v>1324.9188257767</v>
      </c>
      <c r="R10" s="34">
        <f>SUM('Water Heaters Retired'!R$6:R$10)*'Marginal Market Share'!R9</f>
        <v>1645.4282539257129</v>
      </c>
      <c r="S10" s="34">
        <f>SUM('Water Heaters Retired'!S$6:S$10)*'Marginal Market Share'!S9</f>
        <v>2000.1902918634976</v>
      </c>
      <c r="T10" s="34">
        <f>SUM('Water Heaters Retired'!T$6:T$10)*'Marginal Market Share'!T9</f>
        <v>2383.4028780974836</v>
      </c>
      <c r="U10" s="34">
        <f>SUM('Water Heaters Retired'!U$6:U$10)*'Marginal Market Share'!U9</f>
        <v>2788.0724675242291</v>
      </c>
      <c r="V10" s="34">
        <f>SUM('Water Heaters Retired'!V$6:V$10)*'Marginal Market Share'!V9</f>
        <v>3206.6108117241938</v>
      </c>
      <c r="W10" s="34">
        <f>SUM('Water Heaters Retired'!W$6:W$10)*'Marginal Market Share'!W9</f>
        <v>3631.4290315515391</v>
      </c>
    </row>
    <row r="11" spans="1:23">
      <c r="D11" s="12"/>
    </row>
    <row r="12" spans="1:23">
      <c r="A12" s="12" t="s">
        <v>108</v>
      </c>
    </row>
    <row r="13" spans="1:23">
      <c r="A13" s="39" t="str">
        <f>'Device Energy Use'!A4</f>
        <v>Water Heat Ending</v>
      </c>
      <c r="B13" s="40">
        <f>+'Water Heater Stock'!B13</f>
        <v>2014</v>
      </c>
      <c r="C13" s="40">
        <f>+'Water Heater Stock'!C13</f>
        <v>2015</v>
      </c>
      <c r="D13" s="40">
        <f>+'Water Heater Stock'!D13</f>
        <v>2016</v>
      </c>
      <c r="E13" s="40">
        <f>+'Water Heater Stock'!E13</f>
        <v>2017</v>
      </c>
      <c r="F13" s="40">
        <f>+'Water Heater Stock'!F13</f>
        <v>2018</v>
      </c>
      <c r="G13" s="40">
        <f>+'Water Heater Stock'!G13</f>
        <v>2019</v>
      </c>
      <c r="H13" s="40">
        <f>+'Water Heater Stock'!H13</f>
        <v>2020</v>
      </c>
      <c r="I13" s="40">
        <f>+'Water Heater Stock'!I13</f>
        <v>2021</v>
      </c>
      <c r="J13" s="40">
        <f>+'Water Heater Stock'!J13</f>
        <v>2022</v>
      </c>
      <c r="K13" s="40">
        <f>+'Water Heater Stock'!K13</f>
        <v>2023</v>
      </c>
      <c r="L13" s="40">
        <f>+'Water Heater Stock'!L13</f>
        <v>2024</v>
      </c>
      <c r="M13" s="40">
        <f>+'Water Heater Stock'!M13</f>
        <v>2025</v>
      </c>
      <c r="N13" s="40">
        <f>+'Water Heater Stock'!N13</f>
        <v>2026</v>
      </c>
      <c r="O13" s="40">
        <f>+'Water Heater Stock'!O13</f>
        <v>2027</v>
      </c>
      <c r="P13" s="40">
        <f>+'Water Heater Stock'!P13</f>
        <v>2028</v>
      </c>
      <c r="Q13" s="40">
        <f>+'Water Heater Stock'!Q13</f>
        <v>2029</v>
      </c>
      <c r="R13" s="40">
        <f>+'Water Heater Stock'!R13</f>
        <v>2030</v>
      </c>
      <c r="S13" s="40">
        <f>+'Water Heater Stock'!S13</f>
        <v>2031</v>
      </c>
      <c r="T13" s="40">
        <f>+'Water Heater Stock'!T13</f>
        <v>2032</v>
      </c>
      <c r="U13" s="40">
        <f>+'Water Heater Stock'!U13</f>
        <v>2033</v>
      </c>
      <c r="V13" s="40">
        <f>+'Water Heater Stock'!V13</f>
        <v>2034</v>
      </c>
      <c r="W13" s="40">
        <f>+'Water Heater Stock'!W13</f>
        <v>2035</v>
      </c>
    </row>
    <row r="14" spans="1:23" ht="16.5" thickBot="1">
      <c r="A14" s="49" t="s">
        <v>48</v>
      </c>
      <c r="B14" s="50">
        <f t="shared" ref="B14:W14" si="2">SUM(B15:B19)</f>
        <v>0</v>
      </c>
      <c r="C14" s="50">
        <f t="shared" ref="C14" si="3">SUM(C15:C19)</f>
        <v>29672.289071428542</v>
      </c>
      <c r="D14" s="50">
        <f t="shared" si="2"/>
        <v>29672.289071428542</v>
      </c>
      <c r="E14" s="50">
        <f t="shared" si="2"/>
        <v>29672.289071428546</v>
      </c>
      <c r="F14" s="50">
        <f t="shared" si="2"/>
        <v>29672.289071428546</v>
      </c>
      <c r="G14" s="50">
        <f t="shared" si="2"/>
        <v>29672.289071428546</v>
      </c>
      <c r="H14" s="50">
        <f t="shared" si="2"/>
        <v>29672.289071428546</v>
      </c>
      <c r="I14" s="50">
        <f t="shared" si="2"/>
        <v>29672.289071428546</v>
      </c>
      <c r="J14" s="50">
        <f t="shared" si="2"/>
        <v>29672.289071428546</v>
      </c>
      <c r="K14" s="50">
        <f t="shared" si="2"/>
        <v>29672.28907142855</v>
      </c>
      <c r="L14" s="50">
        <f t="shared" si="2"/>
        <v>29672.289071428546</v>
      </c>
      <c r="M14" s="50">
        <f t="shared" si="2"/>
        <v>29672.289071428546</v>
      </c>
      <c r="N14" s="50">
        <f t="shared" si="2"/>
        <v>29672.28907142855</v>
      </c>
      <c r="O14" s="50">
        <f t="shared" si="2"/>
        <v>29672.289071428546</v>
      </c>
      <c r="P14" s="50">
        <f t="shared" si="2"/>
        <v>29672.289071428546</v>
      </c>
      <c r="Q14" s="50">
        <f t="shared" si="2"/>
        <v>29672.289071428546</v>
      </c>
      <c r="R14" s="50">
        <f t="shared" si="2"/>
        <v>29672.289071428546</v>
      </c>
      <c r="S14" s="50">
        <f t="shared" si="2"/>
        <v>29672.289071428546</v>
      </c>
      <c r="T14" s="50">
        <f t="shared" si="2"/>
        <v>29672.289071428546</v>
      </c>
      <c r="U14" s="50">
        <f t="shared" si="2"/>
        <v>29672.289071428546</v>
      </c>
      <c r="V14" s="50">
        <f t="shared" si="2"/>
        <v>29672.289071428546</v>
      </c>
      <c r="W14" s="50">
        <f t="shared" si="2"/>
        <v>29672.289071428546</v>
      </c>
    </row>
    <row r="15" spans="1:23" ht="16.5" thickTop="1">
      <c r="A15" s="9" t="str">
        <f>+'Water Heater Stock'!A15</f>
        <v>Electric Resistance</v>
      </c>
      <c r="B15" s="34">
        <v>0</v>
      </c>
      <c r="C15" s="34">
        <f>SUM('Water Heaters Retired'!C$15:C$19)*'Marginal Market Share'!C13</f>
        <v>0</v>
      </c>
      <c r="D15" s="34">
        <f>SUM('Water Heaters Retired'!D$15:D$19)*'Marginal Market Share'!D13</f>
        <v>0</v>
      </c>
      <c r="E15" s="34">
        <f>SUM('Water Heaters Retired'!E$15:E$19)*'Marginal Market Share'!E13</f>
        <v>0</v>
      </c>
      <c r="F15" s="34">
        <f>SUM('Water Heaters Retired'!F$15:F$19)*'Marginal Market Share'!F13</f>
        <v>0</v>
      </c>
      <c r="G15" s="34">
        <f>SUM('Water Heaters Retired'!G$15:G$19)*'Marginal Market Share'!G13</f>
        <v>0</v>
      </c>
      <c r="H15" s="34">
        <f>SUM('Water Heaters Retired'!H$15:H$19)*'Marginal Market Share'!H13</f>
        <v>0</v>
      </c>
      <c r="I15" s="34">
        <f>SUM('Water Heaters Retired'!I$15:I$19)*'Marginal Market Share'!I13</f>
        <v>0</v>
      </c>
      <c r="J15" s="34">
        <f>SUM('Water Heaters Retired'!J$15:J$19)*'Marginal Market Share'!J13</f>
        <v>0</v>
      </c>
      <c r="K15" s="34">
        <f>SUM('Water Heaters Retired'!K$15:K$19)*'Marginal Market Share'!K13</f>
        <v>0</v>
      </c>
      <c r="L15" s="34">
        <f>SUM('Water Heaters Retired'!L$15:L$19)*'Marginal Market Share'!L13</f>
        <v>0</v>
      </c>
      <c r="M15" s="34">
        <f>SUM('Water Heaters Retired'!M$15:M$19)*'Marginal Market Share'!M13</f>
        <v>0</v>
      </c>
      <c r="N15" s="34">
        <f>SUM('Water Heaters Retired'!N$15:N$19)*'Marginal Market Share'!N13</f>
        <v>0</v>
      </c>
      <c r="O15" s="34">
        <f>SUM('Water Heaters Retired'!O$15:O$19)*'Marginal Market Share'!O13</f>
        <v>0</v>
      </c>
      <c r="P15" s="34">
        <f>SUM('Water Heaters Retired'!P$15:P$19)*'Marginal Market Share'!P13</f>
        <v>0</v>
      </c>
      <c r="Q15" s="34">
        <f>SUM('Water Heaters Retired'!Q$15:Q$19)*'Marginal Market Share'!Q13</f>
        <v>0</v>
      </c>
      <c r="R15" s="34">
        <f>SUM('Water Heaters Retired'!R$15:R$19)*'Marginal Market Share'!R13</f>
        <v>0</v>
      </c>
      <c r="S15" s="34">
        <f>SUM('Water Heaters Retired'!S$15:S$19)*'Marginal Market Share'!S13</f>
        <v>0</v>
      </c>
      <c r="T15" s="34">
        <f>SUM('Water Heaters Retired'!T$15:T$19)*'Marginal Market Share'!T13</f>
        <v>0</v>
      </c>
      <c r="U15" s="34">
        <f>SUM('Water Heaters Retired'!U$15:U$19)*'Marginal Market Share'!U13</f>
        <v>0</v>
      </c>
      <c r="V15" s="34">
        <f>SUM('Water Heaters Retired'!V$15:V$19)*'Marginal Market Share'!V13</f>
        <v>0</v>
      </c>
      <c r="W15" s="34">
        <f>SUM('Water Heaters Retired'!W$15:W$19)*'Marginal Market Share'!W13</f>
        <v>0</v>
      </c>
    </row>
    <row r="16" spans="1:23">
      <c r="A16" s="9" t="str">
        <f>+'Water Heater Stock'!A16</f>
        <v>HPWH</v>
      </c>
      <c r="B16" s="34">
        <v>0</v>
      </c>
      <c r="C16" s="34">
        <f>SUM('Water Heaters Retired'!C$15:C$19)*'Marginal Market Share'!C14</f>
        <v>0</v>
      </c>
      <c r="D16" s="34">
        <f>SUM('Water Heaters Retired'!D$15:D$19)*'Marginal Market Share'!D14</f>
        <v>0</v>
      </c>
      <c r="E16" s="34">
        <f>SUM('Water Heaters Retired'!E$15:E$19)*'Marginal Market Share'!E14</f>
        <v>0</v>
      </c>
      <c r="F16" s="34">
        <f>SUM('Water Heaters Retired'!F$15:F$19)*'Marginal Market Share'!F14</f>
        <v>0</v>
      </c>
      <c r="G16" s="34">
        <f>SUM('Water Heaters Retired'!G$15:G$19)*'Marginal Market Share'!G14</f>
        <v>0</v>
      </c>
      <c r="H16" s="34">
        <f>SUM('Water Heaters Retired'!H$15:H$19)*'Marginal Market Share'!H14</f>
        <v>0</v>
      </c>
      <c r="I16" s="34">
        <f>SUM('Water Heaters Retired'!I$15:I$19)*'Marginal Market Share'!I14</f>
        <v>0</v>
      </c>
      <c r="J16" s="34">
        <f>SUM('Water Heaters Retired'!J$15:J$19)*'Marginal Market Share'!J14</f>
        <v>0</v>
      </c>
      <c r="K16" s="34">
        <f>SUM('Water Heaters Retired'!K$15:K$19)*'Marginal Market Share'!K14</f>
        <v>0</v>
      </c>
      <c r="L16" s="34">
        <f>SUM('Water Heaters Retired'!L$15:L$19)*'Marginal Market Share'!L14</f>
        <v>0</v>
      </c>
      <c r="M16" s="34">
        <f>SUM('Water Heaters Retired'!M$15:M$19)*'Marginal Market Share'!M14</f>
        <v>0</v>
      </c>
      <c r="N16" s="34">
        <f>SUM('Water Heaters Retired'!N$15:N$19)*'Marginal Market Share'!N14</f>
        <v>0</v>
      </c>
      <c r="O16" s="34">
        <f>SUM('Water Heaters Retired'!O$15:O$19)*'Marginal Market Share'!O14</f>
        <v>29672.289071428546</v>
      </c>
      <c r="P16" s="34">
        <f>SUM('Water Heaters Retired'!P$15:P$19)*'Marginal Market Share'!P14</f>
        <v>29672.289071428546</v>
      </c>
      <c r="Q16" s="34">
        <f>SUM('Water Heaters Retired'!Q$15:Q$19)*'Marginal Market Share'!Q14</f>
        <v>29672.289071428546</v>
      </c>
      <c r="R16" s="34">
        <f>SUM('Water Heaters Retired'!R$15:R$19)*'Marginal Market Share'!R14</f>
        <v>29672.289071428546</v>
      </c>
      <c r="S16" s="34">
        <f>SUM('Water Heaters Retired'!S$15:S$19)*'Marginal Market Share'!S14</f>
        <v>29672.289071428546</v>
      </c>
      <c r="T16" s="34">
        <f>SUM('Water Heaters Retired'!T$15:T$19)*'Marginal Market Share'!T14</f>
        <v>29672.289071428546</v>
      </c>
      <c r="U16" s="34">
        <f>SUM('Water Heaters Retired'!U$15:U$19)*'Marginal Market Share'!U14</f>
        <v>29672.289071428546</v>
      </c>
      <c r="V16" s="34">
        <f>SUM('Water Heaters Retired'!V$15:V$19)*'Marginal Market Share'!V14</f>
        <v>29672.289071428546</v>
      </c>
      <c r="W16" s="34">
        <f>SUM('Water Heaters Retired'!W$15:W$19)*'Marginal Market Share'!W14</f>
        <v>29672.289071428546</v>
      </c>
    </row>
    <row r="17" spans="1:23">
      <c r="A17" s="9" t="str">
        <f>+'Water Heater Stock'!A17</f>
        <v>Gas Tank</v>
      </c>
      <c r="B17" s="34">
        <v>0</v>
      </c>
      <c r="C17" s="34">
        <f>SUM('Water Heaters Retired'!C$15:C$19)*'Marginal Market Share'!C15</f>
        <v>29672.289071428542</v>
      </c>
      <c r="D17" s="34">
        <f>SUM('Water Heaters Retired'!D$15:D$19)*'Marginal Market Share'!D15</f>
        <v>29672.289071428542</v>
      </c>
      <c r="E17" s="34">
        <f>SUM('Water Heaters Retired'!E$15:E$19)*'Marginal Market Share'!E15</f>
        <v>29672.289071428546</v>
      </c>
      <c r="F17" s="34">
        <f>SUM('Water Heaters Retired'!F$15:F$19)*'Marginal Market Share'!F15</f>
        <v>29672.289071428546</v>
      </c>
      <c r="G17" s="34">
        <f>SUM('Water Heaters Retired'!G$15:G$19)*'Marginal Market Share'!G15</f>
        <v>29672.289071428546</v>
      </c>
      <c r="H17" s="34">
        <f>SUM('Water Heaters Retired'!H$15:H$19)*'Marginal Market Share'!H15</f>
        <v>29672.289071428546</v>
      </c>
      <c r="I17" s="34">
        <f>SUM('Water Heaters Retired'!I$15:I$19)*'Marginal Market Share'!I15</f>
        <v>29672.289071428546</v>
      </c>
      <c r="J17" s="34">
        <f>SUM('Water Heaters Retired'!J$15:J$19)*'Marginal Market Share'!J15</f>
        <v>29672.289071428546</v>
      </c>
      <c r="K17" s="34">
        <f>SUM('Water Heaters Retired'!K$15:K$19)*'Marginal Market Share'!K15</f>
        <v>29672.28907142855</v>
      </c>
      <c r="L17" s="34">
        <f>SUM('Water Heaters Retired'!L$15:L$19)*'Marginal Market Share'!L15</f>
        <v>29672.289071428546</v>
      </c>
      <c r="M17" s="34">
        <f>SUM('Water Heaters Retired'!M$15:M$19)*'Marginal Market Share'!M15</f>
        <v>29672.289071428546</v>
      </c>
      <c r="N17" s="34">
        <f>SUM('Water Heaters Retired'!N$15:N$19)*'Marginal Market Share'!N15</f>
        <v>29672.28907142855</v>
      </c>
      <c r="O17" s="34">
        <f>SUM('Water Heaters Retired'!O$15:O$19)*'Marginal Market Share'!O15</f>
        <v>0</v>
      </c>
      <c r="P17" s="34">
        <f>SUM('Water Heaters Retired'!P$15:P$19)*'Marginal Market Share'!P15</f>
        <v>0</v>
      </c>
      <c r="Q17" s="34">
        <f>SUM('Water Heaters Retired'!Q$15:Q$19)*'Marginal Market Share'!Q15</f>
        <v>0</v>
      </c>
      <c r="R17" s="34">
        <f>SUM('Water Heaters Retired'!R$15:R$19)*'Marginal Market Share'!R15</f>
        <v>0</v>
      </c>
      <c r="S17" s="34">
        <f>SUM('Water Heaters Retired'!S$15:S$19)*'Marginal Market Share'!S15</f>
        <v>0</v>
      </c>
      <c r="T17" s="34">
        <f>SUM('Water Heaters Retired'!T$15:T$19)*'Marginal Market Share'!T15</f>
        <v>0</v>
      </c>
      <c r="U17" s="34">
        <f>SUM('Water Heaters Retired'!U$15:U$19)*'Marginal Market Share'!U15</f>
        <v>0</v>
      </c>
      <c r="V17" s="34">
        <f>SUM('Water Heaters Retired'!V$15:V$19)*'Marginal Market Share'!V15</f>
        <v>0</v>
      </c>
      <c r="W17" s="34">
        <f>SUM('Water Heaters Retired'!W$15:W$19)*'Marginal Market Share'!W15</f>
        <v>0</v>
      </c>
    </row>
    <row r="18" spans="1:23">
      <c r="A18" s="9" t="str">
        <f>+'Water Heater Stock'!A18</f>
        <v>Instant Gas</v>
      </c>
      <c r="B18" s="34">
        <v>0</v>
      </c>
      <c r="C18" s="34">
        <f>SUM('Water Heaters Retired'!C$15:C$19)*'Marginal Market Share'!C16</f>
        <v>0</v>
      </c>
      <c r="D18" s="34">
        <f>SUM('Water Heaters Retired'!D$15:D$19)*'Marginal Market Share'!D16</f>
        <v>0</v>
      </c>
      <c r="E18" s="34">
        <f>SUM('Water Heaters Retired'!E$15:E$19)*'Marginal Market Share'!E16</f>
        <v>0</v>
      </c>
      <c r="F18" s="34">
        <f>SUM('Water Heaters Retired'!F$15:F$19)*'Marginal Market Share'!F16</f>
        <v>0</v>
      </c>
      <c r="G18" s="34">
        <f>SUM('Water Heaters Retired'!G$15:G$19)*'Marginal Market Share'!G16</f>
        <v>0</v>
      </c>
      <c r="H18" s="34">
        <f>SUM('Water Heaters Retired'!H$15:H$19)*'Marginal Market Share'!H16</f>
        <v>0</v>
      </c>
      <c r="I18" s="34">
        <f>SUM('Water Heaters Retired'!I$15:I$19)*'Marginal Market Share'!I16</f>
        <v>0</v>
      </c>
      <c r="J18" s="34">
        <f>SUM('Water Heaters Retired'!J$15:J$19)*'Marginal Market Share'!J16</f>
        <v>0</v>
      </c>
      <c r="K18" s="34">
        <f>SUM('Water Heaters Retired'!K$15:K$19)*'Marginal Market Share'!K16</f>
        <v>0</v>
      </c>
      <c r="L18" s="34">
        <f>SUM('Water Heaters Retired'!L$15:L$19)*'Marginal Market Share'!L16</f>
        <v>0</v>
      </c>
      <c r="M18" s="34">
        <f>SUM('Water Heaters Retired'!M$15:M$19)*'Marginal Market Share'!M16</f>
        <v>0</v>
      </c>
      <c r="N18" s="34">
        <f>SUM('Water Heaters Retired'!N$15:N$19)*'Marginal Market Share'!N16</f>
        <v>0</v>
      </c>
      <c r="O18" s="34">
        <f>SUM('Water Heaters Retired'!O$15:O$19)*'Marginal Market Share'!O16</f>
        <v>0</v>
      </c>
      <c r="P18" s="34">
        <f>SUM('Water Heaters Retired'!P$15:P$19)*'Marginal Market Share'!P16</f>
        <v>0</v>
      </c>
      <c r="Q18" s="34">
        <f>SUM('Water Heaters Retired'!Q$15:Q$19)*'Marginal Market Share'!Q16</f>
        <v>0</v>
      </c>
      <c r="R18" s="34">
        <f>SUM('Water Heaters Retired'!R$15:R$19)*'Marginal Market Share'!R16</f>
        <v>0</v>
      </c>
      <c r="S18" s="34">
        <f>SUM('Water Heaters Retired'!S$15:S$19)*'Marginal Market Share'!S16</f>
        <v>0</v>
      </c>
      <c r="T18" s="34">
        <f>SUM('Water Heaters Retired'!T$15:T$19)*'Marginal Market Share'!T16</f>
        <v>0</v>
      </c>
      <c r="U18" s="34">
        <f>SUM('Water Heaters Retired'!U$15:U$19)*'Marginal Market Share'!U16</f>
        <v>0</v>
      </c>
      <c r="V18" s="34">
        <f>SUM('Water Heaters Retired'!V$15:V$19)*'Marginal Market Share'!V16</f>
        <v>0</v>
      </c>
      <c r="W18" s="34">
        <f>SUM('Water Heaters Retired'!W$15:W$19)*'Marginal Market Share'!W16</f>
        <v>0</v>
      </c>
    </row>
    <row r="19" spans="1:23">
      <c r="A19" s="9" t="str">
        <f>+'Water Heater Stock'!A19</f>
        <v>Condensing Gas</v>
      </c>
      <c r="B19" s="34">
        <v>0</v>
      </c>
      <c r="C19" s="34">
        <f>SUM('Water Heaters Retired'!C$15:C$19)*'Marginal Market Share'!C17</f>
        <v>0</v>
      </c>
      <c r="D19" s="34">
        <f>SUM('Water Heaters Retired'!D$15:D$19)*'Marginal Market Share'!D17</f>
        <v>0</v>
      </c>
      <c r="E19" s="34">
        <f>SUM('Water Heaters Retired'!E$15:E$19)*'Marginal Market Share'!E17</f>
        <v>0</v>
      </c>
      <c r="F19" s="34">
        <f>SUM('Water Heaters Retired'!F$15:F$19)*'Marginal Market Share'!F17</f>
        <v>0</v>
      </c>
      <c r="G19" s="34">
        <f>SUM('Water Heaters Retired'!G$15:G$19)*'Marginal Market Share'!G17</f>
        <v>0</v>
      </c>
      <c r="H19" s="34">
        <f>SUM('Water Heaters Retired'!H$15:H$19)*'Marginal Market Share'!H17</f>
        <v>0</v>
      </c>
      <c r="I19" s="34">
        <f>SUM('Water Heaters Retired'!I$15:I$19)*'Marginal Market Share'!I17</f>
        <v>0</v>
      </c>
      <c r="J19" s="34">
        <f>SUM('Water Heaters Retired'!J$15:J$19)*'Marginal Market Share'!J17</f>
        <v>0</v>
      </c>
      <c r="K19" s="34">
        <f>SUM('Water Heaters Retired'!K$15:K$19)*'Marginal Market Share'!K17</f>
        <v>0</v>
      </c>
      <c r="L19" s="34">
        <f>SUM('Water Heaters Retired'!L$15:L$19)*'Marginal Market Share'!L17</f>
        <v>0</v>
      </c>
      <c r="M19" s="34">
        <f>SUM('Water Heaters Retired'!M$15:M$19)*'Marginal Market Share'!M17</f>
        <v>0</v>
      </c>
      <c r="N19" s="34">
        <f>SUM('Water Heaters Retired'!N$15:N$19)*'Marginal Market Share'!N17</f>
        <v>0</v>
      </c>
      <c r="O19" s="34">
        <f>SUM('Water Heaters Retired'!O$15:O$19)*'Marginal Market Share'!O17</f>
        <v>0</v>
      </c>
      <c r="P19" s="34">
        <f>SUM('Water Heaters Retired'!P$15:P$19)*'Marginal Market Share'!P17</f>
        <v>0</v>
      </c>
      <c r="Q19" s="34">
        <f>SUM('Water Heaters Retired'!Q$15:Q$19)*'Marginal Market Share'!Q17</f>
        <v>0</v>
      </c>
      <c r="R19" s="34">
        <f>SUM('Water Heaters Retired'!R$15:R$19)*'Marginal Market Share'!R17</f>
        <v>0</v>
      </c>
      <c r="S19" s="34">
        <f>SUM('Water Heaters Retired'!S$15:S$19)*'Marginal Market Share'!S17</f>
        <v>0</v>
      </c>
      <c r="T19" s="34">
        <f>SUM('Water Heaters Retired'!T$15:T$19)*'Marginal Market Share'!T17</f>
        <v>0</v>
      </c>
      <c r="U19" s="34">
        <f>SUM('Water Heaters Retired'!U$15:U$19)*'Marginal Market Share'!U17</f>
        <v>0</v>
      </c>
      <c r="V19" s="34">
        <f>SUM('Water Heaters Retired'!V$15:V$19)*'Marginal Market Share'!V17</f>
        <v>0</v>
      </c>
      <c r="W19" s="34">
        <f>SUM('Water Heaters Retired'!W$15:W$19)*'Marginal Market Share'!W17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W17"/>
  <sheetViews>
    <sheetView workbookViewId="0"/>
  </sheetViews>
  <sheetFormatPr defaultColWidth="9.140625" defaultRowHeight="15.75"/>
  <cols>
    <col min="1" max="1" width="20.7109375" style="9" customWidth="1"/>
    <col min="2" max="9" width="9.7109375" style="9" customWidth="1"/>
    <col min="10" max="29" width="8.42578125" style="9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 ht="18" customHeight="1">
      <c r="A3" s="43" t="s">
        <v>113</v>
      </c>
    </row>
    <row r="4" spans="1:23" s="23" customFormat="1">
      <c r="A4" s="41" t="str">
        <f>+'Device Energy Use'!A4</f>
        <v>Water Heat Ending</v>
      </c>
      <c r="B4" s="40">
        <f>'Marginal Allocation Weight'!B4</f>
        <v>2014</v>
      </c>
      <c r="C4" s="40">
        <f>'Marginal Allocation Weight'!C4</f>
        <v>2015</v>
      </c>
      <c r="D4" s="40">
        <f>'Marginal Allocation Weight'!D4</f>
        <v>2016</v>
      </c>
      <c r="E4" s="40">
        <f>'Marginal Allocation Weight'!E4</f>
        <v>2017</v>
      </c>
      <c r="F4" s="40">
        <f>'Marginal Allocation Weight'!F4</f>
        <v>2018</v>
      </c>
      <c r="G4" s="40">
        <f>'Marginal Allocation Weight'!G4</f>
        <v>2019</v>
      </c>
      <c r="H4" s="40">
        <f>'Marginal Allocation Weight'!H4</f>
        <v>2020</v>
      </c>
      <c r="I4" s="40">
        <f>'Marginal Allocation Weight'!I4</f>
        <v>2021</v>
      </c>
      <c r="J4" s="40">
        <f>'Marginal Allocation Weight'!J4</f>
        <v>2022</v>
      </c>
      <c r="K4" s="40">
        <f>'Marginal Allocation Weight'!K4</f>
        <v>2023</v>
      </c>
      <c r="L4" s="40">
        <f>'Marginal Allocation Weight'!L4</f>
        <v>2024</v>
      </c>
      <c r="M4" s="40">
        <f>'Marginal Allocation Weight'!M4</f>
        <v>2025</v>
      </c>
      <c r="N4" s="40">
        <f>'Marginal Allocation Weight'!N4</f>
        <v>2026</v>
      </c>
      <c r="O4" s="40">
        <f>'Marginal Allocation Weight'!O4</f>
        <v>2027</v>
      </c>
      <c r="P4" s="40">
        <f>'Marginal Allocation Weight'!P4</f>
        <v>2028</v>
      </c>
      <c r="Q4" s="40">
        <f>'Marginal Allocation Weight'!Q4</f>
        <v>2029</v>
      </c>
      <c r="R4" s="40">
        <f>'Marginal Allocation Weight'!R4</f>
        <v>2030</v>
      </c>
      <c r="S4" s="40">
        <f>'Marginal Allocation Weight'!S4</f>
        <v>2031</v>
      </c>
      <c r="T4" s="40">
        <f>'Marginal Allocation Weight'!T4</f>
        <v>2032</v>
      </c>
      <c r="U4" s="40">
        <f>'Marginal Allocation Weight'!U4</f>
        <v>2033</v>
      </c>
      <c r="V4" s="40">
        <f>'Marginal Allocation Weight'!V4</f>
        <v>2034</v>
      </c>
      <c r="W4" s="40">
        <f>'Marginal Allocation Weight'!W4</f>
        <v>2035</v>
      </c>
    </row>
    <row r="5" spans="1:23">
      <c r="A5" s="9" t="str">
        <f>+'Device Energy Use'!A5</f>
        <v>Electric Resistance</v>
      </c>
      <c r="B5" s="33">
        <f>'Water Heater Stock'!B6/'Water Heater Stock'!B$5</f>
        <v>1</v>
      </c>
      <c r="C5" s="33">
        <f>'Water Heater Stock'!C6/'Water Heater Stock'!C$5</f>
        <v>0.98750249637975784</v>
      </c>
      <c r="D5" s="33">
        <f>'Water Heater Stock'!D6/'Water Heater Stock'!D$5</f>
        <v>0.975880664183018</v>
      </c>
      <c r="E5" s="33">
        <f>'Water Heater Stock'!E6/'Water Heater Stock'!E$5</f>
        <v>0.96506160400230323</v>
      </c>
      <c r="F5" s="33">
        <f>'Water Heater Stock'!F6/'Water Heater Stock'!F$5</f>
        <v>0.9549709490091689</v>
      </c>
      <c r="G5" s="33">
        <f>'Water Heater Stock'!G6/'Water Heater Stock'!G$5</f>
        <v>0.94553019752852707</v>
      </c>
      <c r="H5" s="33">
        <f>'Water Heater Stock'!H6/'Water Heater Stock'!H$5</f>
        <v>0.93665376586913229</v>
      </c>
      <c r="I5" s="33">
        <f>'Water Heater Stock'!I6/'Water Heater Stock'!I$5</f>
        <v>0.92824600647755184</v>
      </c>
      <c r="J5" s="33">
        <f>'Water Heater Stock'!J6/'Water Heater Stock'!J$5</f>
        <v>0.92019856054740456</v>
      </c>
      <c r="K5" s="33">
        <f>'Water Heater Stock'!K6/'Water Heater Stock'!K$5</f>
        <v>0.91238851926938935</v>
      </c>
      <c r="L5" s="33">
        <f>'Water Heater Stock'!L6/'Water Heater Stock'!L$5</f>
        <v>0.9046779212579974</v>
      </c>
      <c r="M5" s="33">
        <f>'Water Heater Stock'!M6/'Water Heater Stock'!M$5</f>
        <v>0.89691507888570876</v>
      </c>
      <c r="N5" s="33">
        <f>'Water Heater Stock'!N6/'Water Heater Stock'!N$5</f>
        <v>0.88893807312970563</v>
      </c>
      <c r="O5" s="33">
        <f>'Water Heater Stock'!O6/'Water Heater Stock'!O$5</f>
        <v>0.88058047667315742</v>
      </c>
      <c r="P5" s="33">
        <f>'Water Heater Stock'!P6/'Water Heater Stock'!P$5</f>
        <v>0.87167898768188179</v>
      </c>
      <c r="Q5" s="33">
        <f>'Water Heater Stock'!Q6/'Water Heater Stock'!Q$5</f>
        <v>0.86208225560606411</v>
      </c>
      <c r="R5" s="33">
        <f>'Water Heater Stock'!R6/'Water Heater Stock'!R$5</f>
        <v>0.85165986119982007</v>
      </c>
      <c r="S5" s="33">
        <f>'Water Heater Stock'!S6/'Water Heater Stock'!S$5</f>
        <v>0.84031027952642368</v>
      </c>
      <c r="T5" s="33">
        <f>'Water Heater Stock'!T6/'Water Heater Stock'!T$5</f>
        <v>0.82796676570436945</v>
      </c>
      <c r="U5" s="33">
        <f>'Water Heater Stock'!U6/'Water Heater Stock'!U$5</f>
        <v>0.81460044173220469</v>
      </c>
      <c r="V5" s="33">
        <f>'Water Heater Stock'!V6/'Water Heater Stock'!V$5</f>
        <v>0.80022033836609885</v>
      </c>
      <c r="W5" s="33">
        <f>'Water Heater Stock'!W6/'Water Heater Stock'!W$5</f>
        <v>0.78487062976286126</v>
      </c>
    </row>
    <row r="6" spans="1:23">
      <c r="A6" s="9" t="str">
        <f>+'Device Energy Use'!A6</f>
        <v>HPWH</v>
      </c>
      <c r="B6" s="33">
        <f>'Water Heater Stock'!B7/'Water Heater Stock'!B$5</f>
        <v>0</v>
      </c>
      <c r="C6" s="33">
        <f>'Water Heater Stock'!C7/'Water Heater Stock'!C$5</f>
        <v>7.7586121152387631E-6</v>
      </c>
      <c r="D6" s="33">
        <f>'Water Heater Stock'!D7/'Water Heater Stock'!D$5</f>
        <v>2.2724571979095599E-5</v>
      </c>
      <c r="E6" s="33">
        <f>'Water Heater Stock'!E7/'Water Heater Stock'!E$5</f>
        <v>5.0617818929935177E-5</v>
      </c>
      <c r="F6" s="33">
        <f>'Water Heater Stock'!F7/'Water Heater Stock'!F$5</f>
        <v>1.005632888190658E-4</v>
      </c>
      <c r="G6" s="33">
        <f>'Water Heater Stock'!G7/'Water Heater Stock'!G$5</f>
        <v>1.8642077750345498E-4</v>
      </c>
      <c r="H6" s="33">
        <f>'Water Heater Stock'!H7/'Water Heater Stock'!H$5</f>
        <v>3.2827982909663386E-4</v>
      </c>
      <c r="I6" s="33">
        <f>'Water Heater Stock'!I7/'Water Heater Stock'!I$5</f>
        <v>5.5397698239872896E-4</v>
      </c>
      <c r="J6" s="33">
        <f>'Water Heater Stock'!J7/'Water Heater Stock'!J$5</f>
        <v>9.004230289382071E-4</v>
      </c>
      <c r="K6" s="33">
        <f>'Water Heater Stock'!K7/'Water Heater Stock'!K$5</f>
        <v>1.4144698264494519E-3</v>
      </c>
      <c r="L6" s="33">
        <f>'Water Heater Stock'!L7/'Water Heater Stock'!L$5</f>
        <v>2.1530182085764244E-3</v>
      </c>
      <c r="M6" s="33">
        <f>'Water Heater Stock'!M7/'Water Heater Stock'!M$5</f>
        <v>3.1820910810411254E-3</v>
      </c>
      <c r="N6" s="33">
        <f>'Water Heater Stock'!N7/'Water Heater Stock'!N$5</f>
        <v>4.5746855043441847E-3</v>
      </c>
      <c r="O6" s="33">
        <f>'Water Heater Stock'!O7/'Water Heater Stock'!O$5</f>
        <v>6.4073784621008099E-3</v>
      </c>
      <c r="P6" s="33">
        <f>'Water Heater Stock'!P7/'Water Heater Stock'!P$5</f>
        <v>8.7558756666947686E-3</v>
      </c>
      <c r="Q6" s="33">
        <f>'Water Heater Stock'!Q7/'Water Heater Stock'!Q$5</f>
        <v>1.1689918733668743E-2</v>
      </c>
      <c r="R6" s="33">
        <f>'Water Heater Stock'!R7/'Water Heater Stock'!R$5</f>
        <v>1.5268143356149793E-2</v>
      </c>
      <c r="S6" s="33">
        <f>'Water Heater Stock'!S7/'Water Heater Stock'!S$5</f>
        <v>1.953355151293118E-2</v>
      </c>
      <c r="T6" s="33">
        <f>'Water Heater Stock'!T7/'Water Heater Stock'!T$5</f>
        <v>2.4510192266360423E-2</v>
      </c>
      <c r="U6" s="33">
        <f>'Water Heater Stock'!U7/'Water Heater Stock'!U$5</f>
        <v>3.0201449386392461E-2</v>
      </c>
      <c r="V6" s="33">
        <f>'Water Heater Stock'!V7/'Water Heater Stock'!V$5</f>
        <v>3.6590062350773951E-2</v>
      </c>
      <c r="W6" s="33">
        <f>'Water Heater Stock'!W7/'Water Heater Stock'!W$5</f>
        <v>4.3639733682795973E-2</v>
      </c>
    </row>
    <row r="7" spans="1:23">
      <c r="A7" s="9" t="str">
        <f>+'Device Energy Use'!A7</f>
        <v>Gas Tank</v>
      </c>
      <c r="B7" s="33">
        <f>'Water Heater Stock'!B8/'Water Heater Stock'!B$5</f>
        <v>0</v>
      </c>
      <c r="C7" s="33">
        <f>'Water Heater Stock'!C8/'Water Heater Stock'!C$5</f>
        <v>1.2481209504187851E-2</v>
      </c>
      <c r="D7" s="33">
        <f>'Water Heater Stock'!D8/'Water Heater Stock'!D$5</f>
        <v>2.4071569709897839E-2</v>
      </c>
      <c r="E7" s="33">
        <f>'Water Heater Stock'!E8/'Water Heater Stock'!E$5</f>
        <v>3.4831895814747979E-2</v>
      </c>
      <c r="F7" s="33">
        <f>'Water Heater Stock'!F8/'Water Heater Stock'!F$5</f>
        <v>4.4817244756931621E-2</v>
      </c>
      <c r="G7" s="33">
        <f>'Water Heater Stock'!G8/'Water Heater Stock'!G$5</f>
        <v>5.4076738487619805E-2</v>
      </c>
      <c r="H7" s="33">
        <f>'Water Heater Stock'!H8/'Water Heater Stock'!H$5</f>
        <v>6.2653300413434504E-2</v>
      </c>
      <c r="I7" s="33">
        <f>'Water Heater Stock'!I8/'Water Heater Stock'!I$5</f>
        <v>7.058335931610818E-2</v>
      </c>
      <c r="J7" s="33">
        <f>'Water Heater Stock'!J8/'Water Heater Stock'!J$5</f>
        <v>7.7896601314607183E-2</v>
      </c>
      <c r="K7" s="33">
        <f>'Water Heater Stock'!K8/'Water Heater Stock'!K$5</f>
        <v>8.4615872597692862E-2</v>
      </c>
      <c r="L7" s="33">
        <f>'Water Heater Stock'!L8/'Water Heater Stock'!L$5</f>
        <v>9.0757346742894957E-2</v>
      </c>
      <c r="M7" s="33">
        <f>'Water Heater Stock'!M8/'Water Heater Stock'!M$5</f>
        <v>9.6331062690933264E-2</v>
      </c>
      <c r="N7" s="33">
        <f>'Water Heater Stock'!N8/'Water Heater Stock'!N$5</f>
        <v>0.10134190647156274</v>
      </c>
      <c r="O7" s="33">
        <f>'Water Heater Stock'!O8/'Water Heater Stock'!O$5</f>
        <v>0.10579104985082573</v>
      </c>
      <c r="P7" s="33">
        <f>'Water Heater Stock'!P8/'Water Heater Stock'!P$5</f>
        <v>0.10967777851224268</v>
      </c>
      <c r="Q7" s="33">
        <f>'Water Heater Stock'!Q8/'Water Heater Stock'!Q$5</f>
        <v>0.11300155697057232</v>
      </c>
      <c r="R7" s="33">
        <f>'Water Heater Stock'!R8/'Water Heater Stock'!R$5</f>
        <v>0.11576410968080346</v>
      </c>
      <c r="S7" s="33">
        <f>'Water Heater Stock'!S8/'Water Heater Stock'!S$5</f>
        <v>0.11797126981390001</v>
      </c>
      <c r="T7" s="33">
        <f>'Water Heater Stock'!T8/'Water Heater Stock'!T$5</f>
        <v>0.11963437130550976</v>
      </c>
      <c r="U7" s="33">
        <f>'Water Heater Stock'!U8/'Water Heater Stock'!U$5</f>
        <v>0.12077103231107206</v>
      </c>
      <c r="V7" s="33">
        <f>'Water Heater Stock'!V8/'Water Heater Stock'!V$5</f>
        <v>0.12140527970865943</v>
      </c>
      <c r="W7" s="33">
        <f>'Water Heater Stock'!W8/'Water Heater Stock'!W$5</f>
        <v>0.12156706725974503</v>
      </c>
    </row>
    <row r="8" spans="1:23">
      <c r="A8" s="9" t="str">
        <f>+'Device Energy Use'!A8</f>
        <v>Instant Gas</v>
      </c>
      <c r="B8" s="33">
        <f>'Water Heater Stock'!B9/'Water Heater Stock'!B$5</f>
        <v>0</v>
      </c>
      <c r="C8" s="33">
        <f>'Water Heater Stock'!C9/'Water Heater Stock'!C$5</f>
        <v>1.758477554149566E-6</v>
      </c>
      <c r="D8" s="33">
        <f>'Water Heater Stock'!D9/'Water Heater Stock'!D$5</f>
        <v>5.1654938541086225E-6</v>
      </c>
      <c r="E8" s="33">
        <f>'Water Heater Stock'!E9/'Water Heater Stock'!E$5</f>
        <v>1.1543545639043663E-5</v>
      </c>
      <c r="F8" s="33">
        <f>'Water Heater Stock'!F9/'Water Heater Stock'!F$5</f>
        <v>2.3014361793818039E-5</v>
      </c>
      <c r="G8" s="33">
        <f>'Water Heater Stock'!G9/'Water Heater Stock'!G$5</f>
        <v>4.2819445422281894E-5</v>
      </c>
      <c r="H8" s="33">
        <f>'Water Heater Stock'!H9/'Water Heater Stock'!H$5</f>
        <v>7.5685704772794355E-5</v>
      </c>
      <c r="I8" s="33">
        <f>'Water Heater Stock'!I9/'Water Heater Stock'!I$5</f>
        <v>1.2820410339014362E-4</v>
      </c>
      <c r="J8" s="33">
        <f>'Water Heater Stock'!J9/'Water Heater Stock'!J$5</f>
        <v>2.0917200697053996E-4</v>
      </c>
      <c r="K8" s="33">
        <f>'Water Heater Stock'!K9/'Water Heater Stock'!K$5</f>
        <v>3.2983478932885899E-4</v>
      </c>
      <c r="L8" s="33">
        <f>'Water Heater Stock'!L9/'Water Heater Stock'!L$5</f>
        <v>5.0395374289498827E-4</v>
      </c>
      <c r="M8" s="33">
        <f>'Water Heater Stock'!M9/'Water Heater Stock'!M$5</f>
        <v>7.4763052017260215E-4</v>
      </c>
      <c r="N8" s="33">
        <f>'Water Heater Stock'!N9/'Water Heater Stock'!N$5</f>
        <v>1.0788376103633441E-3</v>
      </c>
      <c r="O8" s="33">
        <f>'Water Heater Stock'!O9/'Water Heater Stock'!O$5</f>
        <v>1.5166413035877992E-3</v>
      </c>
      <c r="P8" s="33">
        <f>'Water Heater Stock'!P9/'Water Heater Stock'!P$5</f>
        <v>2.080154697646509E-3</v>
      </c>
      <c r="Q8" s="33">
        <f>'Water Heater Stock'!Q9/'Water Heater Stock'!Q$5</f>
        <v>2.7873138670554127E-3</v>
      </c>
      <c r="R8" s="33">
        <f>'Water Heater Stock'!R9/'Water Heater Stock'!R$5</f>
        <v>3.6536159816911154E-3</v>
      </c>
      <c r="S8" s="33">
        <f>'Water Heater Stock'!S9/'Water Heater Stock'!S$5</f>
        <v>4.6909793999150738E-3</v>
      </c>
      <c r="T8" s="33">
        <f>'Water Heater Stock'!T9/'Water Heater Stock'!T$5</f>
        <v>5.9068738249775342E-3</v>
      </c>
      <c r="U8" s="33">
        <f>'Water Heater Stock'!U9/'Water Heater Stock'!U$5</f>
        <v>7.3038249374870242E-3</v>
      </c>
      <c r="V8" s="33">
        <f>'Water Heater Stock'!V9/'Water Heater Stock'!V$5</f>
        <v>8.8793342002397926E-3</v>
      </c>
      <c r="W8" s="33">
        <f>'Water Heater Stock'!W9/'Water Heater Stock'!W$5</f>
        <v>1.0626188165695586E-2</v>
      </c>
    </row>
    <row r="9" spans="1:23">
      <c r="A9" s="9" t="str">
        <f>+'Device Energy Use'!A9</f>
        <v>Condensing Gas</v>
      </c>
      <c r="B9" s="33">
        <f>'Water Heater Stock'!B10/'Water Heater Stock'!B$5</f>
        <v>0</v>
      </c>
      <c r="C9" s="33">
        <f>'Water Heater Stock'!C10/'Water Heater Stock'!C$5</f>
        <v>6.7770263848920355E-6</v>
      </c>
      <c r="D9" s="33">
        <f>'Water Heater Stock'!D10/'Water Heater Stock'!D$5</f>
        <v>1.9876041250966619E-5</v>
      </c>
      <c r="E9" s="33">
        <f>'Water Heater Stock'!E10/'Water Heater Stock'!E$5</f>
        <v>4.4338818379803975E-5</v>
      </c>
      <c r="F9" s="33">
        <f>'Water Heater Stock'!F10/'Water Heater Stock'!F$5</f>
        <v>8.8228583286494147E-5</v>
      </c>
      <c r="G9" s="33">
        <f>'Water Heater Stock'!G10/'Water Heater Stock'!G$5</f>
        <v>1.6382376092739467E-4</v>
      </c>
      <c r="H9" s="33">
        <f>'Water Heater Stock'!H10/'Water Heater Stock'!H$5</f>
        <v>2.8896818356368434E-4</v>
      </c>
      <c r="I9" s="33">
        <f>'Water Heater Stock'!I10/'Water Heater Stock'!I$5</f>
        <v>4.8845312055107403E-4</v>
      </c>
      <c r="J9" s="33">
        <f>'Water Heater Stock'!J10/'Water Heater Stock'!J$5</f>
        <v>7.9524310207955027E-4</v>
      </c>
      <c r="K9" s="33">
        <f>'Water Heater Stock'!K10/'Water Heater Stock'!K$5</f>
        <v>1.2513035171393555E-3</v>
      </c>
      <c r="L9" s="33">
        <f>'Water Heater Stock'!L10/'Water Heater Stock'!L$5</f>
        <v>1.9077600476362724E-3</v>
      </c>
      <c r="M9" s="33">
        <f>'Water Heater Stock'!M10/'Water Heater Stock'!M$5</f>
        <v>2.8241368221441935E-3</v>
      </c>
      <c r="N9" s="33">
        <f>'Water Heater Stock'!N10/'Water Heater Stock'!N$5</f>
        <v>4.0664972840242326E-3</v>
      </c>
      <c r="O9" s="33">
        <f>'Water Heater Stock'!O10/'Water Heater Stock'!O$5</f>
        <v>5.7044537103283482E-3</v>
      </c>
      <c r="P9" s="33">
        <f>'Water Heater Stock'!P10/'Water Heater Stock'!P$5</f>
        <v>7.8072034415341369E-3</v>
      </c>
      <c r="Q9" s="33">
        <f>'Water Heater Stock'!Q10/'Water Heater Stock'!Q$5</f>
        <v>1.0438954822639483E-2</v>
      </c>
      <c r="R9" s="33">
        <f>'Water Heater Stock'!R10/'Water Heater Stock'!R$5</f>
        <v>1.3654269781535638E-2</v>
      </c>
      <c r="S9" s="33">
        <f>'Water Heater Stock'!S10/'Water Heater Stock'!S$5</f>
        <v>1.7493919746830226E-2</v>
      </c>
      <c r="T9" s="33">
        <f>'Water Heater Stock'!T10/'Water Heater Stock'!T$5</f>
        <v>2.1981796898782841E-2</v>
      </c>
      <c r="U9" s="33">
        <f>'Water Heater Stock'!U10/'Water Heater Stock'!U$5</f>
        <v>2.7123251632843834E-2</v>
      </c>
      <c r="V9" s="33">
        <f>'Water Heater Stock'!V10/'Water Heater Stock'!V$5</f>
        <v>3.290498537422798E-2</v>
      </c>
      <c r="W9" s="33">
        <f>'Water Heater Stock'!W10/'Water Heater Stock'!W$5</f>
        <v>3.9296381128902186E-2</v>
      </c>
    </row>
    <row r="11" spans="1:23">
      <c r="A11" s="43" t="s">
        <v>114</v>
      </c>
    </row>
    <row r="12" spans="1:23" s="23" customFormat="1">
      <c r="A12" s="41" t="str">
        <f>+'Device Energy Use'!A4</f>
        <v>Water Heat Ending</v>
      </c>
      <c r="B12" s="40">
        <f>'Levelized Costs'!B4</f>
        <v>2014</v>
      </c>
      <c r="C12" s="40">
        <f>'Levelized Costs'!C4</f>
        <v>2015</v>
      </c>
      <c r="D12" s="40">
        <f>'Levelized Costs'!D4</f>
        <v>2016</v>
      </c>
      <c r="E12" s="40">
        <f>'Levelized Costs'!E4</f>
        <v>2017</v>
      </c>
      <c r="F12" s="40">
        <f>'Levelized Costs'!F4</f>
        <v>2018</v>
      </c>
      <c r="G12" s="40">
        <f>'Levelized Costs'!G4</f>
        <v>2019</v>
      </c>
      <c r="H12" s="40">
        <f>'Levelized Costs'!H4</f>
        <v>2020</v>
      </c>
      <c r="I12" s="40">
        <f>'Levelized Costs'!I4</f>
        <v>2021</v>
      </c>
      <c r="J12" s="40">
        <f>'Levelized Costs'!J4</f>
        <v>2022</v>
      </c>
      <c r="K12" s="40">
        <f>'Levelized Costs'!K4</f>
        <v>2023</v>
      </c>
      <c r="L12" s="40">
        <f>'Levelized Costs'!L4</f>
        <v>2024</v>
      </c>
      <c r="M12" s="40">
        <f>'Levelized Costs'!M4</f>
        <v>2025</v>
      </c>
      <c r="N12" s="40">
        <f>'Levelized Costs'!N4</f>
        <v>2026</v>
      </c>
      <c r="O12" s="40">
        <f>'Levelized Costs'!O4</f>
        <v>2027</v>
      </c>
      <c r="P12" s="40">
        <f>'Levelized Costs'!P4</f>
        <v>2028</v>
      </c>
      <c r="Q12" s="40">
        <f>'Levelized Costs'!Q4</f>
        <v>2029</v>
      </c>
      <c r="R12" s="40">
        <f>'Levelized Costs'!R4</f>
        <v>2030</v>
      </c>
      <c r="S12" s="40">
        <f>'Levelized Costs'!S4</f>
        <v>2031</v>
      </c>
      <c r="T12" s="40">
        <f>'Levelized Costs'!T4</f>
        <v>2032</v>
      </c>
      <c r="U12" s="40">
        <f>'Levelized Costs'!U4</f>
        <v>2033</v>
      </c>
      <c r="V12" s="40">
        <f>'Levelized Costs'!V4</f>
        <v>2034</v>
      </c>
      <c r="W12" s="40">
        <f>'Levelized Costs'!W4</f>
        <v>2035</v>
      </c>
    </row>
    <row r="13" spans="1:23">
      <c r="A13" s="9" t="str">
        <f>+'Device Energy Use'!A5</f>
        <v>Electric Resistance</v>
      </c>
      <c r="B13" s="33">
        <f>'Water Heater Stock'!B15/'Water Heater Stock'!B$14</f>
        <v>1</v>
      </c>
      <c r="C13" s="33">
        <f>'Water Heater Stock'!C15/'Water Heater Stock'!C$14</f>
        <v>0.9285714285714286</v>
      </c>
      <c r="D13" s="33">
        <f>'Water Heater Stock'!D15/'Water Heater Stock'!D$14</f>
        <v>0.86224489795918369</v>
      </c>
      <c r="E13" s="33">
        <f>'Water Heater Stock'!E15/'Water Heater Stock'!E$14</f>
        <v>0.80065597667638488</v>
      </c>
      <c r="F13" s="33">
        <f>'Water Heater Stock'!F15/'Water Heater Stock'!F$14</f>
        <v>0.74346626405664307</v>
      </c>
      <c r="G13" s="33">
        <f>'Water Heater Stock'!G15/'Water Heater Stock'!G$14</f>
        <v>0.69036153090974006</v>
      </c>
      <c r="H13" s="33">
        <f>'Water Heater Stock'!H15/'Water Heater Stock'!H$14</f>
        <v>0.64104999298761578</v>
      </c>
      <c r="I13" s="33">
        <f>'Water Heater Stock'!I15/'Water Heater Stock'!I$14</f>
        <v>0.59526070777421458</v>
      </c>
      <c r="J13" s="33">
        <f>'Water Heater Stock'!J15/'Water Heater Stock'!J$14</f>
        <v>0.55274208579034212</v>
      </c>
      <c r="K13" s="33">
        <f>'Water Heater Stock'!K15/'Water Heater Stock'!K$14</f>
        <v>0.51326050823388913</v>
      </c>
      <c r="L13" s="33">
        <f>'Water Heater Stock'!L15/'Water Heater Stock'!L$14</f>
        <v>0.47659904336003983</v>
      </c>
      <c r="M13" s="33">
        <f>'Water Heater Stock'!M15/'Water Heater Stock'!M$14</f>
        <v>0.44255625454860836</v>
      </c>
      <c r="N13" s="33">
        <f>'Water Heater Stock'!N15/'Water Heater Stock'!N$14</f>
        <v>0.4109450935094221</v>
      </c>
      <c r="O13" s="33">
        <f>'Water Heater Stock'!O15/'Water Heater Stock'!O$14</f>
        <v>0.38159187254446336</v>
      </c>
      <c r="P13" s="33">
        <f>'Water Heater Stock'!P15/'Water Heater Stock'!P$14</f>
        <v>0.35433531021985881</v>
      </c>
      <c r="Q13" s="33">
        <f>'Water Heater Stock'!Q15/'Water Heater Stock'!Q$14</f>
        <v>0.32902564520415462</v>
      </c>
      <c r="R13" s="33">
        <f>'Water Heater Stock'!R15/'Water Heater Stock'!R$14</f>
        <v>0.30552381340385787</v>
      </c>
      <c r="S13" s="33">
        <f>'Water Heater Stock'!S15/'Water Heater Stock'!S$14</f>
        <v>0.28370068387501091</v>
      </c>
      <c r="T13" s="33">
        <f>'Water Heater Stock'!T15/'Water Heater Stock'!T$14</f>
        <v>0.26343634931251009</v>
      </c>
      <c r="U13" s="33">
        <f>'Water Heater Stock'!U15/'Water Heater Stock'!U$14</f>
        <v>0.24461946721875935</v>
      </c>
      <c r="V13" s="33">
        <f>'Water Heater Stock'!V15/'Water Heater Stock'!V$14</f>
        <v>0.22714664813170515</v>
      </c>
      <c r="W13" s="33">
        <f>'Water Heater Stock'!W15/'Water Heater Stock'!W$14</f>
        <v>0.21092188755086907</v>
      </c>
    </row>
    <row r="14" spans="1:23">
      <c r="A14" s="9" t="str">
        <f>+'Device Energy Use'!A6</f>
        <v>HPWH</v>
      </c>
      <c r="B14" s="33">
        <f>'Water Heater Stock'!B16/'Water Heater Stock'!B$14</f>
        <v>0</v>
      </c>
      <c r="C14" s="33">
        <f>'Water Heater Stock'!C16/'Water Heater Stock'!C$14</f>
        <v>0</v>
      </c>
      <c r="D14" s="33">
        <f>'Water Heater Stock'!D16/'Water Heater Stock'!D$14</f>
        <v>0</v>
      </c>
      <c r="E14" s="33">
        <f>'Water Heater Stock'!E16/'Water Heater Stock'!E$14</f>
        <v>0</v>
      </c>
      <c r="F14" s="33">
        <f>'Water Heater Stock'!F16/'Water Heater Stock'!F$14</f>
        <v>0</v>
      </c>
      <c r="G14" s="33">
        <f>'Water Heater Stock'!G16/'Water Heater Stock'!G$14</f>
        <v>0</v>
      </c>
      <c r="H14" s="33">
        <f>'Water Heater Stock'!H16/'Water Heater Stock'!H$14</f>
        <v>0</v>
      </c>
      <c r="I14" s="33">
        <f>'Water Heater Stock'!I16/'Water Heater Stock'!I$14</f>
        <v>0</v>
      </c>
      <c r="J14" s="33">
        <f>'Water Heater Stock'!J16/'Water Heater Stock'!J$14</f>
        <v>0</v>
      </c>
      <c r="K14" s="33">
        <f>'Water Heater Stock'!K16/'Water Heater Stock'!K$14</f>
        <v>0</v>
      </c>
      <c r="L14" s="33">
        <f>'Water Heater Stock'!L16/'Water Heater Stock'!L$14</f>
        <v>0</v>
      </c>
      <c r="M14" s="33">
        <f>'Water Heater Stock'!M16/'Water Heater Stock'!M$14</f>
        <v>0</v>
      </c>
      <c r="N14" s="33">
        <f>'Water Heater Stock'!N16/'Water Heater Stock'!N$14</f>
        <v>0</v>
      </c>
      <c r="O14" s="33">
        <f>'Water Heater Stock'!O16/'Water Heater Stock'!O$14</f>
        <v>7.1428571428571425E-2</v>
      </c>
      <c r="P14" s="33">
        <f>'Water Heater Stock'!P16/'Water Heater Stock'!P$14</f>
        <v>0.13775510204081631</v>
      </c>
      <c r="Q14" s="33">
        <f>'Water Heater Stock'!Q16/'Water Heater Stock'!Q$14</f>
        <v>0.19934402332361517</v>
      </c>
      <c r="R14" s="33">
        <f>'Water Heater Stock'!R16/'Water Heater Stock'!R$14</f>
        <v>0.25653373594335699</v>
      </c>
      <c r="S14" s="33">
        <f>'Water Heater Stock'!S16/'Water Heater Stock'!S$14</f>
        <v>0.30963846909026005</v>
      </c>
      <c r="T14" s="33">
        <f>'Water Heater Stock'!T16/'Water Heater Stock'!T$14</f>
        <v>0.35895000701238433</v>
      </c>
      <c r="U14" s="33">
        <f>'Water Heater Stock'!U16/'Water Heater Stock'!U$14</f>
        <v>0.40473929222578542</v>
      </c>
      <c r="V14" s="33">
        <f>'Water Heater Stock'!V16/'Water Heater Stock'!V$14</f>
        <v>0.44725791420965794</v>
      </c>
      <c r="W14" s="33">
        <f>'Water Heater Stock'!W16/'Water Heater Stock'!W$14</f>
        <v>0.48673949176611092</v>
      </c>
    </row>
    <row r="15" spans="1:23">
      <c r="A15" s="9" t="str">
        <f>+'Device Energy Use'!A7</f>
        <v>Gas Tank</v>
      </c>
      <c r="B15" s="33">
        <f>'Water Heater Stock'!B17/'Water Heater Stock'!B$14</f>
        <v>0</v>
      </c>
      <c r="C15" s="33">
        <f>'Water Heater Stock'!C17/'Water Heater Stock'!C$14</f>
        <v>7.1428571428571425E-2</v>
      </c>
      <c r="D15" s="33">
        <f>'Water Heater Stock'!D17/'Water Heater Stock'!D$14</f>
        <v>0.13775510204081631</v>
      </c>
      <c r="E15" s="33">
        <f>'Water Heater Stock'!E17/'Water Heater Stock'!E$14</f>
        <v>0.19934402332361514</v>
      </c>
      <c r="F15" s="33">
        <f>'Water Heater Stock'!F17/'Water Heater Stock'!F$14</f>
        <v>0.25653373594335693</v>
      </c>
      <c r="G15" s="33">
        <f>'Water Heater Stock'!G17/'Water Heater Stock'!G$14</f>
        <v>0.30963846909026005</v>
      </c>
      <c r="H15" s="33">
        <f>'Water Heater Stock'!H17/'Water Heater Stock'!H$14</f>
        <v>0.35895000701238428</v>
      </c>
      <c r="I15" s="33">
        <f>'Water Heater Stock'!I17/'Water Heater Stock'!I$14</f>
        <v>0.40473929222578542</v>
      </c>
      <c r="J15" s="33">
        <f>'Water Heater Stock'!J17/'Water Heater Stock'!J$14</f>
        <v>0.44725791420965788</v>
      </c>
      <c r="K15" s="33">
        <f>'Water Heater Stock'!K17/'Water Heater Stock'!K$14</f>
        <v>0.48673949176611092</v>
      </c>
      <c r="L15" s="33">
        <f>'Water Heater Stock'!L17/'Water Heater Stock'!L$14</f>
        <v>0.52340095663996011</v>
      </c>
      <c r="M15" s="33">
        <f>'Water Heater Stock'!M17/'Water Heater Stock'!M$14</f>
        <v>0.55744374545139164</v>
      </c>
      <c r="N15" s="33">
        <f>'Water Heater Stock'!N17/'Water Heater Stock'!N$14</f>
        <v>0.5890549064905779</v>
      </c>
      <c r="O15" s="33">
        <f>'Water Heater Stock'!O17/'Water Heater Stock'!O$14</f>
        <v>0.54697955602696513</v>
      </c>
      <c r="P15" s="33">
        <f>'Water Heater Stock'!P17/'Water Heater Stock'!P$14</f>
        <v>0.50790958773932482</v>
      </c>
      <c r="Q15" s="33">
        <f>'Water Heater Stock'!Q17/'Water Heater Stock'!Q$14</f>
        <v>0.47163033147223016</v>
      </c>
      <c r="R15" s="33">
        <f>'Water Heater Stock'!R17/'Water Heater Stock'!R$14</f>
        <v>0.43794245065278514</v>
      </c>
      <c r="S15" s="33">
        <f>'Water Heater Stock'!S17/'Water Heater Stock'!S$14</f>
        <v>0.4066608470347291</v>
      </c>
      <c r="T15" s="33">
        <f>'Water Heater Stock'!T17/'Water Heater Stock'!T$14</f>
        <v>0.37761364367510558</v>
      </c>
      <c r="U15" s="33">
        <f>'Water Heater Stock'!U17/'Water Heater Stock'!U$14</f>
        <v>0.35064124055545515</v>
      </c>
      <c r="V15" s="33">
        <f>'Water Heater Stock'!V17/'Water Heater Stock'!V$14</f>
        <v>0.32559543765863697</v>
      </c>
      <c r="W15" s="33">
        <f>'Water Heater Stock'!W17/'Water Heater Stock'!W$14</f>
        <v>0.30233862068302003</v>
      </c>
    </row>
    <row r="16" spans="1:23">
      <c r="A16" s="9" t="str">
        <f>+'Device Energy Use'!A8</f>
        <v>Instant Gas</v>
      </c>
      <c r="B16" s="33">
        <f>'Water Heater Stock'!B18/'Water Heater Stock'!B$14</f>
        <v>0</v>
      </c>
      <c r="C16" s="33">
        <f>'Water Heater Stock'!C18/'Water Heater Stock'!C$14</f>
        <v>0</v>
      </c>
      <c r="D16" s="33">
        <f>'Water Heater Stock'!D18/'Water Heater Stock'!D$14</f>
        <v>0</v>
      </c>
      <c r="E16" s="33">
        <f>'Water Heater Stock'!E18/'Water Heater Stock'!E$14</f>
        <v>0</v>
      </c>
      <c r="F16" s="33">
        <f>'Water Heater Stock'!F18/'Water Heater Stock'!F$14</f>
        <v>0</v>
      </c>
      <c r="G16" s="33">
        <f>'Water Heater Stock'!G18/'Water Heater Stock'!G$14</f>
        <v>0</v>
      </c>
      <c r="H16" s="33">
        <f>'Water Heater Stock'!H18/'Water Heater Stock'!H$14</f>
        <v>0</v>
      </c>
      <c r="I16" s="33">
        <f>'Water Heater Stock'!I18/'Water Heater Stock'!I$14</f>
        <v>0</v>
      </c>
      <c r="J16" s="33">
        <f>'Water Heater Stock'!J18/'Water Heater Stock'!J$14</f>
        <v>0</v>
      </c>
      <c r="K16" s="33">
        <f>'Water Heater Stock'!K18/'Water Heater Stock'!K$14</f>
        <v>0</v>
      </c>
      <c r="L16" s="33">
        <f>'Water Heater Stock'!L18/'Water Heater Stock'!L$14</f>
        <v>0</v>
      </c>
      <c r="M16" s="33">
        <f>'Water Heater Stock'!M18/'Water Heater Stock'!M$14</f>
        <v>0</v>
      </c>
      <c r="N16" s="33">
        <f>'Water Heater Stock'!N18/'Water Heater Stock'!N$14</f>
        <v>0</v>
      </c>
      <c r="O16" s="33">
        <f>'Water Heater Stock'!O18/'Water Heater Stock'!O$14</f>
        <v>0</v>
      </c>
      <c r="P16" s="33">
        <f>'Water Heater Stock'!P18/'Water Heater Stock'!P$14</f>
        <v>0</v>
      </c>
      <c r="Q16" s="33">
        <f>'Water Heater Stock'!Q18/'Water Heater Stock'!Q$14</f>
        <v>0</v>
      </c>
      <c r="R16" s="33">
        <f>'Water Heater Stock'!R18/'Water Heater Stock'!R$14</f>
        <v>0</v>
      </c>
      <c r="S16" s="33">
        <f>'Water Heater Stock'!S18/'Water Heater Stock'!S$14</f>
        <v>0</v>
      </c>
      <c r="T16" s="33">
        <f>'Water Heater Stock'!T18/'Water Heater Stock'!T$14</f>
        <v>0</v>
      </c>
      <c r="U16" s="33">
        <f>'Water Heater Stock'!U18/'Water Heater Stock'!U$14</f>
        <v>0</v>
      </c>
      <c r="V16" s="33">
        <f>'Water Heater Stock'!V18/'Water Heater Stock'!V$14</f>
        <v>0</v>
      </c>
      <c r="W16" s="33">
        <f>'Water Heater Stock'!W18/'Water Heater Stock'!W$14</f>
        <v>0</v>
      </c>
    </row>
    <row r="17" spans="1:23">
      <c r="A17" s="9" t="str">
        <f>+'Device Energy Use'!A9</f>
        <v>Condensing Gas</v>
      </c>
      <c r="B17" s="33">
        <f>'Water Heater Stock'!B19/'Water Heater Stock'!B$14</f>
        <v>0</v>
      </c>
      <c r="C17" s="33">
        <f>'Water Heater Stock'!C19/'Water Heater Stock'!C$14</f>
        <v>0</v>
      </c>
      <c r="D17" s="33">
        <f>'Water Heater Stock'!D19/'Water Heater Stock'!D$14</f>
        <v>0</v>
      </c>
      <c r="E17" s="33">
        <f>'Water Heater Stock'!E19/'Water Heater Stock'!E$14</f>
        <v>0</v>
      </c>
      <c r="F17" s="33">
        <f>'Water Heater Stock'!F19/'Water Heater Stock'!F$14</f>
        <v>0</v>
      </c>
      <c r="G17" s="33">
        <f>'Water Heater Stock'!G19/'Water Heater Stock'!G$14</f>
        <v>0</v>
      </c>
      <c r="H17" s="33">
        <f>'Water Heater Stock'!H19/'Water Heater Stock'!H$14</f>
        <v>0</v>
      </c>
      <c r="I17" s="33">
        <f>'Water Heater Stock'!I19/'Water Heater Stock'!I$14</f>
        <v>0</v>
      </c>
      <c r="J17" s="33">
        <f>'Water Heater Stock'!J19/'Water Heater Stock'!J$14</f>
        <v>0</v>
      </c>
      <c r="K17" s="33">
        <f>'Water Heater Stock'!K19/'Water Heater Stock'!K$14</f>
        <v>0</v>
      </c>
      <c r="L17" s="33">
        <f>'Water Heater Stock'!L19/'Water Heater Stock'!L$14</f>
        <v>0</v>
      </c>
      <c r="M17" s="33">
        <f>'Water Heater Stock'!M19/'Water Heater Stock'!M$14</f>
        <v>0</v>
      </c>
      <c r="N17" s="33">
        <f>'Water Heater Stock'!N19/'Water Heater Stock'!N$14</f>
        <v>0</v>
      </c>
      <c r="O17" s="33">
        <f>'Water Heater Stock'!O19/'Water Heater Stock'!O$14</f>
        <v>0</v>
      </c>
      <c r="P17" s="33">
        <f>'Water Heater Stock'!P19/'Water Heater Stock'!P$14</f>
        <v>0</v>
      </c>
      <c r="Q17" s="33">
        <f>'Water Heater Stock'!Q19/'Water Heater Stock'!Q$14</f>
        <v>0</v>
      </c>
      <c r="R17" s="33">
        <f>'Water Heater Stock'!R19/'Water Heater Stock'!R$14</f>
        <v>0</v>
      </c>
      <c r="S17" s="33">
        <f>'Water Heater Stock'!S19/'Water Heater Stock'!S$14</f>
        <v>0</v>
      </c>
      <c r="T17" s="33">
        <f>'Water Heater Stock'!T19/'Water Heater Stock'!T$14</f>
        <v>0</v>
      </c>
      <c r="U17" s="33">
        <f>'Water Heater Stock'!U19/'Water Heater Stock'!U$14</f>
        <v>0</v>
      </c>
      <c r="V17" s="33">
        <f>'Water Heater Stock'!V19/'Water Heater Stock'!V$14</f>
        <v>0</v>
      </c>
      <c r="W17" s="33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W17"/>
  <sheetViews>
    <sheetView workbookViewId="0">
      <selection activeCell="A4" sqref="A4"/>
    </sheetView>
  </sheetViews>
  <sheetFormatPr defaultColWidth="9.140625" defaultRowHeight="15.75"/>
  <cols>
    <col min="1" max="1" width="20.7109375" style="9" customWidth="1"/>
    <col min="2" max="7" width="9.7109375" style="9" customWidth="1"/>
    <col min="8" max="29" width="8.42578125" style="9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 ht="18" customHeight="1">
      <c r="A3" s="43" t="s">
        <v>94</v>
      </c>
    </row>
    <row r="4" spans="1:23" s="23" customFormat="1">
      <c r="A4" s="41" t="str">
        <f>+'Device Energy Use'!A4</f>
        <v>Water Heat Ending</v>
      </c>
      <c r="B4" s="40">
        <f>'Marginal Allocation Weight'!B4</f>
        <v>2014</v>
      </c>
      <c r="C4" s="40">
        <f>'Marginal Allocation Weight'!C4</f>
        <v>2015</v>
      </c>
      <c r="D4" s="40">
        <f>'Marginal Allocation Weight'!D4</f>
        <v>2016</v>
      </c>
      <c r="E4" s="40">
        <f>'Marginal Allocation Weight'!E4</f>
        <v>2017</v>
      </c>
      <c r="F4" s="40">
        <f>'Marginal Allocation Weight'!F4</f>
        <v>2018</v>
      </c>
      <c r="G4" s="40">
        <f>'Marginal Allocation Weight'!G4</f>
        <v>2019</v>
      </c>
      <c r="H4" s="40">
        <f>'Marginal Allocation Weight'!H4</f>
        <v>2020</v>
      </c>
      <c r="I4" s="40">
        <f>'Marginal Allocation Weight'!I4</f>
        <v>2021</v>
      </c>
      <c r="J4" s="40">
        <f>'Marginal Allocation Weight'!J4</f>
        <v>2022</v>
      </c>
      <c r="K4" s="40">
        <f>'Marginal Allocation Weight'!K4</f>
        <v>2023</v>
      </c>
      <c r="L4" s="40">
        <f>'Marginal Allocation Weight'!L4</f>
        <v>2024</v>
      </c>
      <c r="M4" s="40">
        <f>'Marginal Allocation Weight'!M4</f>
        <v>2025</v>
      </c>
      <c r="N4" s="40">
        <f>'Marginal Allocation Weight'!N4</f>
        <v>2026</v>
      </c>
      <c r="O4" s="40">
        <f>'Marginal Allocation Weight'!O4</f>
        <v>2027</v>
      </c>
      <c r="P4" s="40">
        <f>'Marginal Allocation Weight'!P4</f>
        <v>2028</v>
      </c>
      <c r="Q4" s="40">
        <f>'Marginal Allocation Weight'!Q4</f>
        <v>2029</v>
      </c>
      <c r="R4" s="40">
        <f>'Marginal Allocation Weight'!R4</f>
        <v>2030</v>
      </c>
      <c r="S4" s="40">
        <f>'Marginal Allocation Weight'!S4</f>
        <v>2031</v>
      </c>
      <c r="T4" s="40">
        <f>'Marginal Allocation Weight'!T4</f>
        <v>2032</v>
      </c>
      <c r="U4" s="40">
        <f>'Marginal Allocation Weight'!U4</f>
        <v>2033</v>
      </c>
      <c r="V4" s="40">
        <f>'Marginal Allocation Weight'!V4</f>
        <v>2034</v>
      </c>
      <c r="W4" s="40">
        <f>'Marginal Allocation Weight'!W4</f>
        <v>2035</v>
      </c>
    </row>
    <row r="5" spans="1:23">
      <c r="A5" s="9" t="str">
        <f>+'Device Energy Use'!A5</f>
        <v>Electric Resistance</v>
      </c>
      <c r="B5" s="33">
        <f>'Marginal Allocation Weight'!B5/'Total Allocation Weight'!B5</f>
        <v>0.99999038252267147</v>
      </c>
      <c r="C5" s="33">
        <f>'Marginal Allocation Weight'!C5/'Total Allocation Weight'!C5</f>
        <v>0.82503494931661003</v>
      </c>
      <c r="D5" s="33">
        <f>'Marginal Allocation Weight'!D5/'Total Allocation Weight'!D5</f>
        <v>0.82479684562539968</v>
      </c>
      <c r="E5" s="33">
        <f>'Marginal Allocation Weight'!E5/'Total Allocation Weight'!E5</f>
        <v>0.82441382165301136</v>
      </c>
      <c r="F5" s="33">
        <f>'Marginal Allocation Weight'!F5/'Total Allocation Weight'!F5</f>
        <v>0.82379243409842406</v>
      </c>
      <c r="G5" s="33">
        <f>'Marginal Allocation Weight'!G5/'Total Allocation Weight'!G5</f>
        <v>0.82280042828018185</v>
      </c>
      <c r="H5" s="33">
        <f>'Marginal Allocation Weight'!H5/'Total Allocation Weight'!H5</f>
        <v>0.82126015429700128</v>
      </c>
      <c r="I5" s="33">
        <f>'Marginal Allocation Weight'!I5/'Total Allocation Weight'!I5</f>
        <v>0.818945134387005</v>
      </c>
      <c r="J5" s="33">
        <f>'Marginal Allocation Weight'!J5/'Total Allocation Weight'!J5</f>
        <v>0.81558176345548927</v>
      </c>
      <c r="K5" s="33">
        <f>'Marginal Allocation Weight'!K5/'Total Allocation Weight'!K5</f>
        <v>0.81085798265519382</v>
      </c>
      <c r="L5" s="33">
        <f>'Marginal Allocation Weight'!L5/'Total Allocation Weight'!L5</f>
        <v>0.80444014710989986</v>
      </c>
      <c r="M5" s="33">
        <f>'Marginal Allocation Weight'!M5/'Total Allocation Weight'!M5</f>
        <v>0.79599812804595771</v>
      </c>
      <c r="N5" s="33">
        <f>'Marginal Allocation Weight'!N5/'Total Allocation Weight'!N5</f>
        <v>0.7852369983016626</v>
      </c>
      <c r="O5" s="33">
        <f>'Marginal Allocation Weight'!O5/'Total Allocation Weight'!O5</f>
        <v>0.77193172273803079</v>
      </c>
      <c r="P5" s="33">
        <f>'Marginal Allocation Weight'!P5/'Total Allocation Weight'!P5</f>
        <v>0.75595963079530148</v>
      </c>
      <c r="Q5" s="33">
        <f>'Marginal Allocation Weight'!Q5/'Total Allocation Weight'!Q5</f>
        <v>0.73732473862043235</v>
      </c>
      <c r="R5" s="33">
        <f>'Marginal Allocation Weight'!R5/'Total Allocation Weight'!R5</f>
        <v>0.71616873391864722</v>
      </c>
      <c r="S5" s="33">
        <f>'Marginal Allocation Weight'!S5/'Total Allocation Weight'!S5</f>
        <v>0.69276571777226981</v>
      </c>
      <c r="T5" s="33">
        <f>'Marginal Allocation Weight'!T5/'Total Allocation Weight'!T5</f>
        <v>0.66750108601766611</v>
      </c>
      <c r="U5" s="33">
        <f>'Marginal Allocation Weight'!U5/'Total Allocation Weight'!U5</f>
        <v>0.64083823009406227</v>
      </c>
      <c r="V5" s="33">
        <f>'Marginal Allocation Weight'!V5/'Total Allocation Weight'!V5</f>
        <v>0.61327899460672364</v>
      </c>
      <c r="W5" s="33">
        <f>'Marginal Allocation Weight'!W5/'Total Allocation Weight'!W5</f>
        <v>0.58532441792077228</v>
      </c>
    </row>
    <row r="6" spans="1:23">
      <c r="A6" s="9" t="str">
        <f>+'Device Energy Use'!A6</f>
        <v>HPWH</v>
      </c>
      <c r="B6" s="33">
        <f>'Marginal Allocation Weight'!B6/'Total Allocation Weight'!B6</f>
        <v>2.8290976413265933E-9</v>
      </c>
      <c r="C6" s="33">
        <f>'Marginal Allocation Weight'!C6/'Total Allocation Weight'!C6</f>
        <v>1.086205696133427E-4</v>
      </c>
      <c r="D6" s="33">
        <f>'Marginal Allocation Weight'!D6/'Total Allocation Weight'!D6</f>
        <v>2.1728205020923449E-4</v>
      </c>
      <c r="E6" s="33">
        <f>'Marginal Allocation Weight'!E6/'Total Allocation Weight'!E6</f>
        <v>4.1323002929084969E-4</v>
      </c>
      <c r="F6" s="33">
        <f>'Marginal Allocation Weight'!F6/'Total Allocation Weight'!F6</f>
        <v>7.4985439737776393E-4</v>
      </c>
      <c r="G6" s="33">
        <f>'Marginal Allocation Weight'!G6/'Total Allocation Weight'!G6</f>
        <v>1.302568130400514E-3</v>
      </c>
      <c r="H6" s="33">
        <f>'Marginal Allocation Weight'!H6/'Total Allocation Weight'!H6</f>
        <v>2.1724474998079594E-3</v>
      </c>
      <c r="I6" s="33">
        <f>'Marginal Allocation Weight'!I6/'Total Allocation Weight'!I6</f>
        <v>3.4880399753259655E-3</v>
      </c>
      <c r="J6" s="33">
        <f>'Marginal Allocation Weight'!J6/'Total Allocation Weight'!J6</f>
        <v>5.4042216339514216E-3</v>
      </c>
      <c r="K6" s="33">
        <f>'Marginal Allocation Weight'!K6/'Total Allocation Weight'!K6</f>
        <v>8.0970781940956377E-3</v>
      </c>
      <c r="L6" s="33">
        <f>'Marginal Allocation Weight'!L6/'Total Allocation Weight'!L6</f>
        <v>1.1754147176227067E-2</v>
      </c>
      <c r="M6" s="33">
        <f>'Marginal Allocation Weight'!M6/'Total Allocation Weight'!M6</f>
        <v>1.6560038423082245E-2</v>
      </c>
      <c r="N6" s="33">
        <f>'Marginal Allocation Weight'!N6/'Total Allocation Weight'!N6</f>
        <v>2.2678413007283949E-2</v>
      </c>
      <c r="O6" s="33">
        <f>'Marginal Allocation Weight'!O6/'Total Allocation Weight'!O6</f>
        <v>3.0232386912936945E-2</v>
      </c>
      <c r="P6" s="33">
        <f>'Marginal Allocation Weight'!P6/'Total Allocation Weight'!P6</f>
        <v>3.9286339326416252E-2</v>
      </c>
      <c r="Q6" s="33">
        <f>'Marginal Allocation Weight'!Q6/'Total Allocation Weight'!Q6</f>
        <v>4.9832478604330377E-2</v>
      </c>
      <c r="R6" s="33">
        <f>'Marginal Allocation Weight'!R6/'Total Allocation Weight'!R6</f>
        <v>6.1785063448403454E-2</v>
      </c>
      <c r="S6" s="33">
        <f>'Marginal Allocation Weight'!S6/'Total Allocation Weight'!S6</f>
        <v>7.4983857551089161E-2</v>
      </c>
      <c r="T6" s="33">
        <f>'Marginal Allocation Weight'!T6/'Total Allocation Weight'!T6</f>
        <v>8.9206522060940652E-2</v>
      </c>
      <c r="U6" s="33">
        <f>'Marginal Allocation Weight'!U6/'Total Allocation Weight'!U6</f>
        <v>0.10418779194680892</v>
      </c>
      <c r="V6" s="33">
        <f>'Marginal Allocation Weight'!V6/'Total Allocation Weight'!V6</f>
        <v>0.11964203088773338</v>
      </c>
      <c r="W6" s="33">
        <f>'Marginal Allocation Weight'!W6/'Total Allocation Weight'!W6</f>
        <v>0.13528546099908229</v>
      </c>
    </row>
    <row r="7" spans="1:23">
      <c r="A7" s="9" t="str">
        <f>+'Device Energy Use'!A7</f>
        <v>Gas Tank</v>
      </c>
      <c r="B7" s="33">
        <f>'Marginal Allocation Weight'!B7/'Total Allocation Weight'!B7</f>
        <v>9.6115434359986208E-6</v>
      </c>
      <c r="C7" s="33">
        <f>'Marginal Allocation Weight'!C7/'Total Allocation Weight'!C7</f>
        <v>0.17473693305862995</v>
      </c>
      <c r="D7" s="33">
        <f>'Marginal Allocation Weight'!D7/'Total Allocation Weight'!D7</f>
        <v>0.17474625238412769</v>
      </c>
      <c r="E7" s="33">
        <f>'Marginal Allocation Weight'!E7/'Total Allocation Weight'!E7</f>
        <v>0.1747161351777998</v>
      </c>
      <c r="F7" s="33">
        <f>'Marginal Allocation Weight'!F7/'Total Allocation Weight'!F7</f>
        <v>0.17462678100531909</v>
      </c>
      <c r="G7" s="33">
        <f>'Marginal Allocation Weight'!G7/'Total Allocation Weight'!G7</f>
        <v>0.1744501569865661</v>
      </c>
      <c r="H7" s="33">
        <f>'Marginal Allocation Weight'!H7/'Total Allocation Weight'!H7</f>
        <v>0.17414860544902586</v>
      </c>
      <c r="I7" s="33">
        <f>'Marginal Allocation Weight'!I7/'Total Allocation Weight'!I7</f>
        <v>0.17367412505086605</v>
      </c>
      <c r="J7" s="33">
        <f>'Marginal Allocation Weight'!J7/'Total Allocation Weight'!J7</f>
        <v>0.1729687472950939</v>
      </c>
      <c r="K7" s="33">
        <f>'Marginal Allocation Weight'!K7/'Total Allocation Weight'!K7</f>
        <v>0.17196639927780677</v>
      </c>
      <c r="L7" s="33">
        <f>'Marginal Allocation Weight'!L7/'Total Allocation Weight'!L7</f>
        <v>0.1705965106305222</v>
      </c>
      <c r="M7" s="33">
        <f>'Marginal Allocation Weight'!M7/'Total Allocation Weight'!M7</f>
        <v>0.16878937001543121</v>
      </c>
      <c r="N7" s="33">
        <f>'Marginal Allocation Weight'!N7/'Total Allocation Weight'!N7</f>
        <v>0.1664828756197457</v>
      </c>
      <c r="O7" s="33">
        <f>'Marginal Allocation Weight'!O7/'Total Allocation Weight'!O7</f>
        <v>0.16362991378124492</v>
      </c>
      <c r="P7" s="33">
        <f>'Marginal Allocation Weight'!P7/'Total Allocation Weight'!P7</f>
        <v>0.16020525111066311</v>
      </c>
      <c r="Q7" s="33">
        <f>'Marginal Allocation Weight'!Q7/'Total Allocation Weight'!Q7</f>
        <v>0.15621067692885723</v>
      </c>
      <c r="R7" s="33">
        <f>'Marginal Allocation Weight'!R7/'Total Allocation Weight'!R7</f>
        <v>0.15167729491380844</v>
      </c>
      <c r="S7" s="33">
        <f>'Marginal Allocation Weight'!S7/'Total Allocation Weight'!S7</f>
        <v>0.14666435154415475</v>
      </c>
      <c r="T7" s="33">
        <f>'Marginal Allocation Weight'!T7/'Total Allocation Weight'!T7</f>
        <v>0.14125469069643679</v>
      </c>
      <c r="U7" s="33">
        <f>'Marginal Allocation Weight'!U7/'Total Allocation Weight'!U7</f>
        <v>0.13554762538338175</v>
      </c>
      <c r="V7" s="33">
        <f>'Marginal Allocation Weight'!V7/'Total Allocation Weight'!V7</f>
        <v>0.12965049587729532</v>
      </c>
      <c r="W7" s="33">
        <f>'Marginal Allocation Weight'!W7/'Total Allocation Weight'!W7</f>
        <v>0.12367030542385773</v>
      </c>
    </row>
    <row r="8" spans="1:23">
      <c r="A8" s="9" t="str">
        <f>+'Device Energy Use'!A8</f>
        <v>Instant Gas</v>
      </c>
      <c r="B8" s="33">
        <f>'Marginal Allocation Weight'!B8/'Total Allocation Weight'!B8</f>
        <v>6.3848459648065086E-10</v>
      </c>
      <c r="C8" s="33">
        <f>'Marginal Allocation Weight'!C8/'Total Allocation Weight'!C8</f>
        <v>2.461868575809393E-5</v>
      </c>
      <c r="D8" s="33">
        <f>'Marginal Allocation Weight'!D8/'Total Allocation Weight'!D8</f>
        <v>4.9456705753576357E-5</v>
      </c>
      <c r="E8" s="33">
        <f>'Marginal Allocation Weight'!E8/'Total Allocation Weight'!E8</f>
        <v>9.4458218843199187E-5</v>
      </c>
      <c r="F8" s="33">
        <f>'Marginal Allocation Weight'!F8/'Total Allocation Weight'!F8</f>
        <v>1.7213497180588495E-4</v>
      </c>
      <c r="G8" s="33">
        <f>'Marginal Allocation Weight'!G8/'Total Allocation Weight'!G8</f>
        <v>3.0028553259231196E-4</v>
      </c>
      <c r="H8" s="33">
        <f>'Marginal Allocation Weight'!H8/'Total Allocation Weight'!H8</f>
        <v>5.0294707632945633E-4</v>
      </c>
      <c r="I8" s="33">
        <f>'Marginal Allocation Weight'!I8/'Total Allocation Weight'!I8</f>
        <v>8.109432854156842E-4</v>
      </c>
      <c r="J8" s="33">
        <f>'Marginal Allocation Weight'!J8/'Total Allocation Weight'!J8</f>
        <v>1.261754753515692E-3</v>
      </c>
      <c r="K8" s="33">
        <f>'Marginal Allocation Weight'!K8/'Total Allocation Weight'!K8</f>
        <v>1.8984509599870073E-3</v>
      </c>
      <c r="L8" s="33">
        <f>'Marginal Allocation Weight'!L8/'Total Allocation Weight'!L8</f>
        <v>2.7675001392546686E-3</v>
      </c>
      <c r="M8" s="33">
        <f>'Marginal Allocation Weight'!M8/'Total Allocation Weight'!M8</f>
        <v>3.9154286247815827E-3</v>
      </c>
      <c r="N8" s="33">
        <f>'Marginal Allocation Weight'!N8/'Total Allocation Weight'!N8</f>
        <v>5.3845297828429891E-3</v>
      </c>
      <c r="O8" s="33">
        <f>'Marginal Allocation Weight'!O8/'Total Allocation Weight'!O8</f>
        <v>7.2080893155057136E-3</v>
      </c>
      <c r="P8" s="33">
        <f>'Marginal Allocation Weight'!P8/'Total Allocation Weight'!P8</f>
        <v>9.4058288204097399E-3</v>
      </c>
      <c r="Q8" s="33">
        <f>'Marginal Allocation Weight'!Q8/'Total Allocation Weight'!Q8</f>
        <v>1.1980383069371152E-2</v>
      </c>
      <c r="R8" s="33">
        <f>'Marginal Allocation Weight'!R8/'Total Allocation Weight'!R8</f>
        <v>1.4915543471955249E-2</v>
      </c>
      <c r="S8" s="33">
        <f>'Marginal Allocation Weight'!S8/'Total Allocation Weight'!S8</f>
        <v>1.8176703836826524E-2</v>
      </c>
      <c r="T8" s="33">
        <f>'Marginal Allocation Weight'!T8/'Total Allocation Weight'!T8</f>
        <v>2.1713501350789532E-2</v>
      </c>
      <c r="U8" s="33">
        <f>'Marginal Allocation Weight'!U8/'Total Allocation Weight'!U8</f>
        <v>2.546418940011037E-2</v>
      </c>
      <c r="V8" s="33">
        <f>'Marginal Allocation Weight'!V8/'Total Allocation Weight'!V8</f>
        <v>2.9360954616025798E-2</v>
      </c>
      <c r="W8" s="33">
        <f>'Marginal Allocation Weight'!W8/'Total Allocation Weight'!W8</f>
        <v>3.3335289716620899E-2</v>
      </c>
    </row>
    <row r="9" spans="1:23">
      <c r="A9" s="9" t="str">
        <f>+'Device Energy Use'!A9</f>
        <v>Condensing Gas</v>
      </c>
      <c r="B9" s="33">
        <f>'Marginal Allocation Weight'!B9/'Total Allocation Weight'!B9</f>
        <v>2.466310261772492E-9</v>
      </c>
      <c r="C9" s="33">
        <f>'Marginal Allocation Weight'!C9/'Total Allocation Weight'!C9</f>
        <v>9.4878369388488515E-5</v>
      </c>
      <c r="D9" s="33">
        <f>'Marginal Allocation Weight'!D9/'Total Allocation Weight'!D9</f>
        <v>1.9016323450993621E-4</v>
      </c>
      <c r="E9" s="33">
        <f>'Marginal Allocation Weight'!E9/'Total Allocation Weight'!E9</f>
        <v>3.6235492105468961E-4</v>
      </c>
      <c r="F9" s="33">
        <f>'Marginal Allocation Weight'!F9/'Total Allocation Weight'!F9</f>
        <v>6.5879552707346647E-4</v>
      </c>
      <c r="G9" s="33">
        <f>'Marginal Allocation Weight'!G9/'Total Allocation Weight'!G9</f>
        <v>1.1465610702591012E-3</v>
      </c>
      <c r="H9" s="33">
        <f>'Marginal Allocation Weight'!H9/'Total Allocation Weight'!H9</f>
        <v>1.915845677835451E-3</v>
      </c>
      <c r="I9" s="33">
        <f>'Marginal Allocation Weight'!I9/'Total Allocation Weight'!I9</f>
        <v>3.0817573013871397E-3</v>
      </c>
      <c r="J9" s="33">
        <f>'Marginal Allocation Weight'!J9/'Total Allocation Weight'!J9</f>
        <v>4.7835128619497409E-3</v>
      </c>
      <c r="K9" s="33">
        <f>'Marginal Allocation Weight'!K9/'Total Allocation Weight'!K9</f>
        <v>7.1800889129168257E-3</v>
      </c>
      <c r="L9" s="33">
        <f>'Marginal Allocation Weight'!L9/'Total Allocation Weight'!L9</f>
        <v>1.0441694944096188E-2</v>
      </c>
      <c r="M9" s="33">
        <f>'Marginal Allocation Weight'!M9/'Total Allocation Weight'!M9</f>
        <v>1.4737034890747172E-2</v>
      </c>
      <c r="N9" s="33">
        <f>'Marginal Allocation Weight'!N9/'Total Allocation Weight'!N9</f>
        <v>2.0217183288464731E-2</v>
      </c>
      <c r="O9" s="33">
        <f>'Marginal Allocation Weight'!O9/'Total Allocation Weight'!O9</f>
        <v>2.6997887252281853E-2</v>
      </c>
      <c r="P9" s="33">
        <f>'Marginal Allocation Weight'!P9/'Total Allocation Weight'!P9</f>
        <v>3.5142949947209401E-2</v>
      </c>
      <c r="Q9" s="33">
        <f>'Marginal Allocation Weight'!Q9/'Total Allocation Weight'!Q9</f>
        <v>4.4651722777008955E-2</v>
      </c>
      <c r="R9" s="33">
        <f>'Marginal Allocation Weight'!R9/'Total Allocation Weight'!R9</f>
        <v>5.5453364247185645E-2</v>
      </c>
      <c r="S9" s="33">
        <f>'Marginal Allocation Weight'!S9/'Total Allocation Weight'!S9</f>
        <v>6.7409369295659813E-2</v>
      </c>
      <c r="T9" s="33">
        <f>'Marginal Allocation Weight'!T9/'Total Allocation Weight'!T9</f>
        <v>8.0324199874166877E-2</v>
      </c>
      <c r="U9" s="33">
        <f>'Marginal Allocation Weight'!U9/'Total Allocation Weight'!U9</f>
        <v>9.3962163175636659E-2</v>
      </c>
      <c r="V9" s="33">
        <f>'Marginal Allocation Weight'!V9/'Total Allocation Weight'!V9</f>
        <v>0.10806752401222193</v>
      </c>
      <c r="W9" s="33">
        <f>'Marginal Allocation Weight'!W9/'Total Allocation Weight'!W9</f>
        <v>0.12238452593966687</v>
      </c>
    </row>
    <row r="11" spans="1:23">
      <c r="A11" s="43" t="s">
        <v>142</v>
      </c>
    </row>
    <row r="12" spans="1:23" s="23" customFormat="1">
      <c r="A12" s="41" t="str">
        <f>+'Device Energy Use'!A4</f>
        <v>Water Heat Ending</v>
      </c>
      <c r="B12" s="40">
        <f>'Levelized Costs'!B4</f>
        <v>2014</v>
      </c>
      <c r="C12" s="40">
        <f>'Levelized Costs'!C4</f>
        <v>2015</v>
      </c>
      <c r="D12" s="40">
        <f>'Levelized Costs'!D4</f>
        <v>2016</v>
      </c>
      <c r="E12" s="40">
        <f>'Levelized Costs'!E4</f>
        <v>2017</v>
      </c>
      <c r="F12" s="40">
        <f>'Levelized Costs'!F4</f>
        <v>2018</v>
      </c>
      <c r="G12" s="40">
        <f>'Levelized Costs'!G4</f>
        <v>2019</v>
      </c>
      <c r="H12" s="40">
        <f>'Levelized Costs'!H4</f>
        <v>2020</v>
      </c>
      <c r="I12" s="40">
        <f>'Levelized Costs'!I4</f>
        <v>2021</v>
      </c>
      <c r="J12" s="40">
        <f>'Levelized Costs'!J4</f>
        <v>2022</v>
      </c>
      <c r="K12" s="40">
        <f>'Levelized Costs'!K4</f>
        <v>2023</v>
      </c>
      <c r="L12" s="40">
        <f>'Levelized Costs'!L4</f>
        <v>2024</v>
      </c>
      <c r="M12" s="40">
        <f>'Levelized Costs'!M4</f>
        <v>2025</v>
      </c>
      <c r="N12" s="40">
        <f>'Levelized Costs'!N4</f>
        <v>2026</v>
      </c>
      <c r="O12" s="40">
        <f>'Levelized Costs'!O4</f>
        <v>2027</v>
      </c>
      <c r="P12" s="40">
        <f>'Levelized Costs'!P4</f>
        <v>2028</v>
      </c>
      <c r="Q12" s="40">
        <f>'Levelized Costs'!Q4</f>
        <v>2029</v>
      </c>
      <c r="R12" s="40">
        <f>'Levelized Costs'!R4</f>
        <v>2030</v>
      </c>
      <c r="S12" s="40">
        <f>'Levelized Costs'!S4</f>
        <v>2031</v>
      </c>
      <c r="T12" s="40">
        <f>'Levelized Costs'!T4</f>
        <v>2032</v>
      </c>
      <c r="U12" s="40">
        <f>'Levelized Costs'!U4</f>
        <v>2033</v>
      </c>
      <c r="V12" s="40">
        <f>'Levelized Costs'!V4</f>
        <v>2034</v>
      </c>
      <c r="W12" s="40">
        <f>'Levelized Costs'!W4</f>
        <v>2035</v>
      </c>
    </row>
    <row r="13" spans="1:23">
      <c r="A13" s="9" t="str">
        <f>+'Device Energy Use'!A5</f>
        <v>Electric Resistance</v>
      </c>
      <c r="B13" s="33">
        <v>0</v>
      </c>
      <c r="C13" s="33">
        <f>IF('Levelized Costs'!C5='Levelized Costs'!C$13,1,0)</f>
        <v>0</v>
      </c>
      <c r="D13" s="33">
        <f>IF('Levelized Costs'!D5='Levelized Costs'!D$13,1,0)</f>
        <v>0</v>
      </c>
      <c r="E13" s="33">
        <f>IF('Levelized Costs'!E5='Levelized Costs'!E$13,1,0)</f>
        <v>0</v>
      </c>
      <c r="F13" s="33">
        <f>IF('Levelized Costs'!F5='Levelized Costs'!F$13,1,0)</f>
        <v>0</v>
      </c>
      <c r="G13" s="33">
        <f>IF('Levelized Costs'!G5='Levelized Costs'!G$13,1,0)</f>
        <v>0</v>
      </c>
      <c r="H13" s="33">
        <f>IF('Levelized Costs'!H5='Levelized Costs'!H$13,1,0)</f>
        <v>0</v>
      </c>
      <c r="I13" s="33">
        <f>IF('Levelized Costs'!I5='Levelized Costs'!I$13,1,0)</f>
        <v>0</v>
      </c>
      <c r="J13" s="33">
        <f>IF('Levelized Costs'!J5='Levelized Costs'!J$13,1,0)</f>
        <v>0</v>
      </c>
      <c r="K13" s="33">
        <f>IF('Levelized Costs'!K5='Levelized Costs'!K$13,1,0)</f>
        <v>0</v>
      </c>
      <c r="L13" s="33">
        <f>IF('Levelized Costs'!L5='Levelized Costs'!L$13,1,0)</f>
        <v>0</v>
      </c>
      <c r="M13" s="33">
        <f>IF('Levelized Costs'!M5='Levelized Costs'!M$13,1,0)</f>
        <v>0</v>
      </c>
      <c r="N13" s="33">
        <f>IF('Levelized Costs'!N5='Levelized Costs'!N$13,1,0)</f>
        <v>0</v>
      </c>
      <c r="O13" s="33">
        <f>IF('Levelized Costs'!O5='Levelized Costs'!O$13,1,0)</f>
        <v>0</v>
      </c>
      <c r="P13" s="33">
        <f>IF('Levelized Costs'!P5='Levelized Costs'!P$13,1,0)</f>
        <v>0</v>
      </c>
      <c r="Q13" s="33">
        <f>IF('Levelized Costs'!Q5='Levelized Costs'!Q$13,1,0)</f>
        <v>0</v>
      </c>
      <c r="R13" s="33">
        <f>IF('Levelized Costs'!R5='Levelized Costs'!R$13,1,0)</f>
        <v>0</v>
      </c>
      <c r="S13" s="33">
        <f>IF('Levelized Costs'!S5='Levelized Costs'!S$13,1,0)</f>
        <v>0</v>
      </c>
      <c r="T13" s="33">
        <f>IF('Levelized Costs'!T5='Levelized Costs'!T$13,1,0)</f>
        <v>0</v>
      </c>
      <c r="U13" s="33">
        <f>IF('Levelized Costs'!U5='Levelized Costs'!U$13,1,0)</f>
        <v>0</v>
      </c>
      <c r="V13" s="33">
        <f>IF('Levelized Costs'!V5='Levelized Costs'!V$13,1,0)</f>
        <v>0</v>
      </c>
      <c r="W13" s="33">
        <f>IF('Levelized Costs'!W5='Levelized Costs'!W$13,1,0)</f>
        <v>0</v>
      </c>
    </row>
    <row r="14" spans="1:23">
      <c r="A14" s="9" t="str">
        <f>+'Device Energy Use'!A6</f>
        <v>HPWH</v>
      </c>
      <c r="B14" s="33">
        <v>0</v>
      </c>
      <c r="C14" s="33">
        <f>IF('Levelized Costs'!C6='Levelized Costs'!C$13,1,0)</f>
        <v>0</v>
      </c>
      <c r="D14" s="33">
        <f>IF('Levelized Costs'!D6='Levelized Costs'!D$13,1,0)</f>
        <v>0</v>
      </c>
      <c r="E14" s="33">
        <f>IF('Levelized Costs'!E6='Levelized Costs'!E$13,1,0)</f>
        <v>0</v>
      </c>
      <c r="F14" s="33">
        <f>IF('Levelized Costs'!F6='Levelized Costs'!F$13,1,0)</f>
        <v>0</v>
      </c>
      <c r="G14" s="33">
        <f>IF('Levelized Costs'!G6='Levelized Costs'!G$13,1,0)</f>
        <v>0</v>
      </c>
      <c r="H14" s="33">
        <f>IF('Levelized Costs'!H6='Levelized Costs'!H$13,1,0)</f>
        <v>0</v>
      </c>
      <c r="I14" s="33">
        <f>IF('Levelized Costs'!I6='Levelized Costs'!I$13,1,0)</f>
        <v>0</v>
      </c>
      <c r="J14" s="33">
        <f>IF('Levelized Costs'!J6='Levelized Costs'!J$13,1,0)</f>
        <v>0</v>
      </c>
      <c r="K14" s="33">
        <f>IF('Levelized Costs'!K6='Levelized Costs'!K$13,1,0)</f>
        <v>0</v>
      </c>
      <c r="L14" s="33">
        <f>IF('Levelized Costs'!L6='Levelized Costs'!L$13,1,0)</f>
        <v>0</v>
      </c>
      <c r="M14" s="33">
        <f>IF('Levelized Costs'!M6='Levelized Costs'!M$13,1,0)</f>
        <v>0</v>
      </c>
      <c r="N14" s="33">
        <f>IF('Levelized Costs'!N6='Levelized Costs'!N$13,1,0)</f>
        <v>0</v>
      </c>
      <c r="O14" s="33">
        <f>IF('Levelized Costs'!O6='Levelized Costs'!O$13,1,0)</f>
        <v>1</v>
      </c>
      <c r="P14" s="33">
        <f>IF('Levelized Costs'!P6='Levelized Costs'!P$13,1,0)</f>
        <v>1</v>
      </c>
      <c r="Q14" s="33">
        <f>IF('Levelized Costs'!Q6='Levelized Costs'!Q$13,1,0)</f>
        <v>1</v>
      </c>
      <c r="R14" s="33">
        <f>IF('Levelized Costs'!R6='Levelized Costs'!R$13,1,0)</f>
        <v>1</v>
      </c>
      <c r="S14" s="33">
        <f>IF('Levelized Costs'!S6='Levelized Costs'!S$13,1,0)</f>
        <v>1</v>
      </c>
      <c r="T14" s="33">
        <f>IF('Levelized Costs'!T6='Levelized Costs'!T$13,1,0)</f>
        <v>1</v>
      </c>
      <c r="U14" s="33">
        <f>IF('Levelized Costs'!U6='Levelized Costs'!U$13,1,0)</f>
        <v>1</v>
      </c>
      <c r="V14" s="33">
        <f>IF('Levelized Costs'!V6='Levelized Costs'!V$13,1,0)</f>
        <v>1</v>
      </c>
      <c r="W14" s="33">
        <f>IF('Levelized Costs'!W6='Levelized Costs'!W$13,1,0)</f>
        <v>1</v>
      </c>
    </row>
    <row r="15" spans="1:23">
      <c r="A15" s="9" t="str">
        <f>+'Device Energy Use'!A7</f>
        <v>Gas Tank</v>
      </c>
      <c r="B15" s="33">
        <v>0</v>
      </c>
      <c r="C15" s="33">
        <f>IF('Levelized Costs'!C7='Levelized Costs'!C$13,1,0)</f>
        <v>1</v>
      </c>
      <c r="D15" s="33">
        <f>IF('Levelized Costs'!D7='Levelized Costs'!D$13,1,0)</f>
        <v>1</v>
      </c>
      <c r="E15" s="33">
        <f>IF('Levelized Costs'!E7='Levelized Costs'!E$13,1,0)</f>
        <v>1</v>
      </c>
      <c r="F15" s="33">
        <f>IF('Levelized Costs'!F7='Levelized Costs'!F$13,1,0)</f>
        <v>1</v>
      </c>
      <c r="G15" s="33">
        <f>IF('Levelized Costs'!G7='Levelized Costs'!G$13,1,0)</f>
        <v>1</v>
      </c>
      <c r="H15" s="33">
        <f>IF('Levelized Costs'!H7='Levelized Costs'!H$13,1,0)</f>
        <v>1</v>
      </c>
      <c r="I15" s="33">
        <f>IF('Levelized Costs'!I7='Levelized Costs'!I$13,1,0)</f>
        <v>1</v>
      </c>
      <c r="J15" s="33">
        <f>IF('Levelized Costs'!J7='Levelized Costs'!J$13,1,0)</f>
        <v>1</v>
      </c>
      <c r="K15" s="33">
        <f>IF('Levelized Costs'!K7='Levelized Costs'!K$13,1,0)</f>
        <v>1</v>
      </c>
      <c r="L15" s="33">
        <f>IF('Levelized Costs'!L7='Levelized Costs'!L$13,1,0)</f>
        <v>1</v>
      </c>
      <c r="M15" s="33">
        <f>IF('Levelized Costs'!M7='Levelized Costs'!M$13,1,0)</f>
        <v>1</v>
      </c>
      <c r="N15" s="33">
        <f>IF('Levelized Costs'!N7='Levelized Costs'!N$13,1,0)</f>
        <v>1</v>
      </c>
      <c r="O15" s="33">
        <f>IF('Levelized Costs'!O7='Levelized Costs'!O$13,1,0)</f>
        <v>0</v>
      </c>
      <c r="P15" s="33">
        <f>IF('Levelized Costs'!P7='Levelized Costs'!P$13,1,0)</f>
        <v>0</v>
      </c>
      <c r="Q15" s="33">
        <f>IF('Levelized Costs'!Q7='Levelized Costs'!Q$13,1,0)</f>
        <v>0</v>
      </c>
      <c r="R15" s="33">
        <f>IF('Levelized Costs'!R7='Levelized Costs'!R$13,1,0)</f>
        <v>0</v>
      </c>
      <c r="S15" s="33">
        <f>IF('Levelized Costs'!S7='Levelized Costs'!S$13,1,0)</f>
        <v>0</v>
      </c>
      <c r="T15" s="33">
        <f>IF('Levelized Costs'!T7='Levelized Costs'!T$13,1,0)</f>
        <v>0</v>
      </c>
      <c r="U15" s="33">
        <f>IF('Levelized Costs'!U7='Levelized Costs'!U$13,1,0)</f>
        <v>0</v>
      </c>
      <c r="V15" s="33">
        <f>IF('Levelized Costs'!V7='Levelized Costs'!V$13,1,0)</f>
        <v>0</v>
      </c>
      <c r="W15" s="33">
        <f>IF('Levelized Costs'!W7='Levelized Costs'!W$13,1,0)</f>
        <v>0</v>
      </c>
    </row>
    <row r="16" spans="1:23">
      <c r="A16" s="9" t="str">
        <f>+'Device Energy Use'!A8</f>
        <v>Instant Gas</v>
      </c>
      <c r="B16" s="33">
        <v>0</v>
      </c>
      <c r="C16" s="33">
        <f>IF('Levelized Costs'!C8='Levelized Costs'!C$13,1,0)</f>
        <v>0</v>
      </c>
      <c r="D16" s="33">
        <f>IF('Levelized Costs'!D8='Levelized Costs'!D$13,1,0)</f>
        <v>0</v>
      </c>
      <c r="E16" s="33">
        <f>IF('Levelized Costs'!E8='Levelized Costs'!E$13,1,0)</f>
        <v>0</v>
      </c>
      <c r="F16" s="33">
        <f>IF('Levelized Costs'!F8='Levelized Costs'!F$13,1,0)</f>
        <v>0</v>
      </c>
      <c r="G16" s="33">
        <f>IF('Levelized Costs'!G8='Levelized Costs'!G$13,1,0)</f>
        <v>0</v>
      </c>
      <c r="H16" s="33">
        <f>IF('Levelized Costs'!H8='Levelized Costs'!H$13,1,0)</f>
        <v>0</v>
      </c>
      <c r="I16" s="33">
        <f>IF('Levelized Costs'!I8='Levelized Costs'!I$13,1,0)</f>
        <v>0</v>
      </c>
      <c r="J16" s="33">
        <f>IF('Levelized Costs'!J8='Levelized Costs'!J$13,1,0)</f>
        <v>0</v>
      </c>
      <c r="K16" s="33">
        <f>IF('Levelized Costs'!K8='Levelized Costs'!K$13,1,0)</f>
        <v>0</v>
      </c>
      <c r="L16" s="33">
        <f>IF('Levelized Costs'!L8='Levelized Costs'!L$13,1,0)</f>
        <v>0</v>
      </c>
      <c r="M16" s="33">
        <f>IF('Levelized Costs'!M8='Levelized Costs'!M$13,1,0)</f>
        <v>0</v>
      </c>
      <c r="N16" s="33">
        <f>IF('Levelized Costs'!N8='Levelized Costs'!N$13,1,0)</f>
        <v>0</v>
      </c>
      <c r="O16" s="33">
        <f>IF('Levelized Costs'!O8='Levelized Costs'!O$13,1,0)</f>
        <v>0</v>
      </c>
      <c r="P16" s="33">
        <f>IF('Levelized Costs'!P8='Levelized Costs'!P$13,1,0)</f>
        <v>0</v>
      </c>
      <c r="Q16" s="33">
        <f>IF('Levelized Costs'!Q8='Levelized Costs'!Q$13,1,0)</f>
        <v>0</v>
      </c>
      <c r="R16" s="33">
        <f>IF('Levelized Costs'!R8='Levelized Costs'!R$13,1,0)</f>
        <v>0</v>
      </c>
      <c r="S16" s="33">
        <f>IF('Levelized Costs'!S8='Levelized Costs'!S$13,1,0)</f>
        <v>0</v>
      </c>
      <c r="T16" s="33">
        <f>IF('Levelized Costs'!T8='Levelized Costs'!T$13,1,0)</f>
        <v>0</v>
      </c>
      <c r="U16" s="33">
        <f>IF('Levelized Costs'!U8='Levelized Costs'!U$13,1,0)</f>
        <v>0</v>
      </c>
      <c r="V16" s="33">
        <f>IF('Levelized Costs'!V8='Levelized Costs'!V$13,1,0)</f>
        <v>0</v>
      </c>
      <c r="W16" s="33">
        <f>IF('Levelized Costs'!W8='Levelized Costs'!W$13,1,0)</f>
        <v>0</v>
      </c>
    </row>
    <row r="17" spans="1:23">
      <c r="A17" s="9" t="str">
        <f>+'Device Energy Use'!A9</f>
        <v>Condensing Gas</v>
      </c>
      <c r="B17" s="33">
        <v>0</v>
      </c>
      <c r="C17" s="33">
        <f>IF('Levelized Costs'!C9='Levelized Costs'!C$13,1,0)</f>
        <v>0</v>
      </c>
      <c r="D17" s="33">
        <f>IF('Levelized Costs'!D9='Levelized Costs'!D$13,1,0)</f>
        <v>0</v>
      </c>
      <c r="E17" s="33">
        <f>IF('Levelized Costs'!E9='Levelized Costs'!E$13,1,0)</f>
        <v>0</v>
      </c>
      <c r="F17" s="33">
        <f>IF('Levelized Costs'!F9='Levelized Costs'!F$13,1,0)</f>
        <v>0</v>
      </c>
      <c r="G17" s="33">
        <f>IF('Levelized Costs'!G9='Levelized Costs'!G$13,1,0)</f>
        <v>0</v>
      </c>
      <c r="H17" s="33">
        <f>IF('Levelized Costs'!H9='Levelized Costs'!H$13,1,0)</f>
        <v>0</v>
      </c>
      <c r="I17" s="33">
        <f>IF('Levelized Costs'!I9='Levelized Costs'!I$13,1,0)</f>
        <v>0</v>
      </c>
      <c r="J17" s="33">
        <f>IF('Levelized Costs'!J9='Levelized Costs'!J$13,1,0)</f>
        <v>0</v>
      </c>
      <c r="K17" s="33">
        <f>IF('Levelized Costs'!K9='Levelized Costs'!K$13,1,0)</f>
        <v>0</v>
      </c>
      <c r="L17" s="33">
        <f>IF('Levelized Costs'!L9='Levelized Costs'!L$13,1,0)</f>
        <v>0</v>
      </c>
      <c r="M17" s="33">
        <f>IF('Levelized Costs'!M9='Levelized Costs'!M$13,1,0)</f>
        <v>0</v>
      </c>
      <c r="N17" s="33">
        <f>IF('Levelized Costs'!N9='Levelized Costs'!N$13,1,0)</f>
        <v>0</v>
      </c>
      <c r="O17" s="33">
        <f>IF('Levelized Costs'!O9='Levelized Costs'!O$13,1,0)</f>
        <v>0</v>
      </c>
      <c r="P17" s="33">
        <f>IF('Levelized Costs'!P9='Levelized Costs'!P$13,1,0)</f>
        <v>0</v>
      </c>
      <c r="Q17" s="33">
        <f>IF('Levelized Costs'!Q9='Levelized Costs'!Q$13,1,0)</f>
        <v>0</v>
      </c>
      <c r="R17" s="33">
        <f>IF('Levelized Costs'!R9='Levelized Costs'!R$13,1,0)</f>
        <v>0</v>
      </c>
      <c r="S17" s="33">
        <f>IF('Levelized Costs'!S9='Levelized Costs'!S$13,1,0)</f>
        <v>0</v>
      </c>
      <c r="T17" s="33">
        <f>IF('Levelized Costs'!T9='Levelized Costs'!T$13,1,0)</f>
        <v>0</v>
      </c>
      <c r="U17" s="33">
        <f>IF('Levelized Costs'!U9='Levelized Costs'!U$13,1,0)</f>
        <v>0</v>
      </c>
      <c r="V17" s="33">
        <f>IF('Levelized Costs'!V9='Levelized Costs'!V$13,1,0)</f>
        <v>0</v>
      </c>
      <c r="W17" s="33">
        <f>IF('Levelized Costs'!W9='Levelized Costs'!W$13,1,0)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W10"/>
  <sheetViews>
    <sheetView workbookViewId="0"/>
  </sheetViews>
  <sheetFormatPr defaultRowHeight="15"/>
  <cols>
    <col min="1" max="1" width="20.7109375" customWidth="1"/>
    <col min="2" max="8" width="9.7109375" customWidth="1"/>
    <col min="9" max="24" width="10.28515625" customWidth="1"/>
  </cols>
  <sheetData>
    <row r="1" spans="1:23" ht="15.75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 s="9" customFormat="1" ht="15.75">
      <c r="A3" s="12" t="s">
        <v>45</v>
      </c>
    </row>
    <row r="4" spans="1:23" s="9" customFormat="1" ht="15.75">
      <c r="A4" s="41" t="str">
        <f>'Device Energy Use'!A4</f>
        <v>Water Heat Ending</v>
      </c>
      <c r="B4" s="40">
        <f>+'Marginal Market Share'!B4</f>
        <v>2014</v>
      </c>
      <c r="C4" s="40">
        <f>+'Marginal Market Share'!C4</f>
        <v>2015</v>
      </c>
      <c r="D4" s="40">
        <f>+'Marginal Market Share'!D4</f>
        <v>2016</v>
      </c>
      <c r="E4" s="40">
        <f>+'Marginal Market Share'!E4</f>
        <v>2017</v>
      </c>
      <c r="F4" s="40">
        <f>+'Marginal Market Share'!F4</f>
        <v>2018</v>
      </c>
      <c r="G4" s="40">
        <f>+'Marginal Market Share'!G4</f>
        <v>2019</v>
      </c>
      <c r="H4" s="40">
        <f>+'Marginal Market Share'!H4</f>
        <v>2020</v>
      </c>
      <c r="I4" s="40">
        <f>+'Marginal Market Share'!I4</f>
        <v>2021</v>
      </c>
      <c r="J4" s="40">
        <f>+'Marginal Market Share'!J4</f>
        <v>2022</v>
      </c>
      <c r="K4" s="40">
        <f>+'Marginal Market Share'!K4</f>
        <v>2023</v>
      </c>
      <c r="L4" s="40">
        <f>+'Marginal Market Share'!L4</f>
        <v>2024</v>
      </c>
      <c r="M4" s="40">
        <f>+'Marginal Market Share'!M4</f>
        <v>2025</v>
      </c>
      <c r="N4" s="40">
        <f>+'Marginal Market Share'!N4</f>
        <v>2026</v>
      </c>
      <c r="O4" s="40">
        <f>+'Marginal Market Share'!O4</f>
        <v>2027</v>
      </c>
      <c r="P4" s="40">
        <f>+'Marginal Market Share'!P4</f>
        <v>2028</v>
      </c>
      <c r="Q4" s="40">
        <f>+'Marginal Market Share'!Q4</f>
        <v>2029</v>
      </c>
      <c r="R4" s="40">
        <f>+'Marginal Market Share'!R4</f>
        <v>2030</v>
      </c>
      <c r="S4" s="40">
        <f>+'Marginal Market Share'!S4</f>
        <v>2031</v>
      </c>
      <c r="T4" s="40">
        <f>+'Marginal Market Share'!T4</f>
        <v>2032</v>
      </c>
      <c r="U4" s="40">
        <f>+'Marginal Market Share'!U4</f>
        <v>2033</v>
      </c>
      <c r="V4" s="40">
        <f>+'Marginal Market Share'!V4</f>
        <v>2034</v>
      </c>
      <c r="W4" s="40">
        <f>+'Marginal Market Share'!W4</f>
        <v>2035</v>
      </c>
    </row>
    <row r="5" spans="1:23" s="9" customFormat="1" ht="15.75">
      <c r="A5" s="9" t="str">
        <f>+'Marginal Market Share'!A5</f>
        <v>Electric Resistance</v>
      </c>
      <c r="B5" s="9">
        <f>SUM('Marginal Allocation Weight'!B$5:B$9)</f>
        <v>22026.677635879503</v>
      </c>
      <c r="C5" s="9">
        <f>SUM('Marginal Allocation Weight'!C$5:C$9)</f>
        <v>1.2120698654382052</v>
      </c>
      <c r="D5" s="9">
        <f>SUM('Marginal Allocation Weight'!D$5:D$9)</f>
        <v>1.2124197677329296</v>
      </c>
      <c r="E5" s="9">
        <f>SUM('Marginal Allocation Weight'!E$5:E$9)</f>
        <v>1.2129830598848104</v>
      </c>
      <c r="F5" s="9">
        <f>SUM('Marginal Allocation Weight'!F$5:F$9)</f>
        <v>1.2138980143638018</v>
      </c>
      <c r="G5" s="9">
        <f>SUM('Marginal Allocation Weight'!G$5:G$9)</f>
        <v>1.2153615453144584</v>
      </c>
      <c r="H5" s="9">
        <f>SUM('Marginal Allocation Weight'!H$5:H$9)</f>
        <v>1.2176409567270434</v>
      </c>
      <c r="I5" s="9">
        <f>SUM('Marginal Allocation Weight'!I$5:I$9)</f>
        <v>1.2210830225501221</v>
      </c>
      <c r="J5" s="9">
        <f>SUM('Marginal Allocation Weight'!J$5:J$9)</f>
        <v>1.2261186367914361</v>
      </c>
      <c r="K5" s="9">
        <f>SUM('Marginal Allocation Weight'!K$5:K$9)</f>
        <v>1.2332615838909935</v>
      </c>
      <c r="L5" s="9">
        <f>SUM('Marginal Allocation Weight'!L$5:L$9)</f>
        <v>1.2431005632832786</v>
      </c>
      <c r="M5" s="9">
        <f>SUM('Marginal Allocation Weight'!M$5:M$9)</f>
        <v>1.256284361440438</v>
      </c>
      <c r="N5" s="9">
        <f>SUM('Marginal Allocation Weight'!N$5:N$9)</f>
        <v>1.2735008693717109</v>
      </c>
      <c r="O5" s="9">
        <f>SUM('Marginal Allocation Weight'!O$5:O$9)</f>
        <v>1.2954513599376565</v>
      </c>
      <c r="P5" s="9">
        <f>SUM('Marginal Allocation Weight'!P$5:P$9)</f>
        <v>1.3228219593524562</v>
      </c>
      <c r="Q5" s="9">
        <f>SUM('Marginal Allocation Weight'!Q$5:Q$9)</f>
        <v>1.3562545071674184</v>
      </c>
      <c r="R5" s="9">
        <f>SUM('Marginal Allocation Weight'!R$5:R$9)</f>
        <v>1.3963189855110241</v>
      </c>
      <c r="S5" s="9">
        <f>SUM('Marginal Allocation Weight'!S$5:S$9)</f>
        <v>1.4434894428894447</v>
      </c>
      <c r="T5" s="9">
        <f>SUM('Marginal Allocation Weight'!T$5:T$9)</f>
        <v>1.4981249033856012</v>
      </c>
      <c r="U5" s="9">
        <f>SUM('Marginal Allocation Weight'!U$5:U$9)</f>
        <v>1.5604562166230624</v>
      </c>
      <c r="V5" s="9">
        <f>SUM('Marginal Allocation Weight'!V$5:V$9)</f>
        <v>1.6305792449996894</v>
      </c>
      <c r="W5" s="9">
        <f>SUM('Marginal Allocation Weight'!W$5:W$9)</f>
        <v>1.7084542680660162</v>
      </c>
    </row>
    <row r="6" spans="1:23" s="9" customFormat="1" ht="15.75">
      <c r="A6" s="9" t="str">
        <f>+'Marginal Market Share'!A6</f>
        <v>HPWH</v>
      </c>
      <c r="B6" s="9">
        <f>SUM('Marginal Allocation Weight'!B$5:B$9)</f>
        <v>22026.677635879503</v>
      </c>
      <c r="C6" s="9">
        <f>SUM('Marginal Allocation Weight'!C$5:C$9)</f>
        <v>1.2120698654382052</v>
      </c>
      <c r="D6" s="9">
        <f>SUM('Marginal Allocation Weight'!D$5:D$9)</f>
        <v>1.2124197677329296</v>
      </c>
      <c r="E6" s="9">
        <f>SUM('Marginal Allocation Weight'!E$5:E$9)</f>
        <v>1.2129830598848104</v>
      </c>
      <c r="F6" s="9">
        <f>SUM('Marginal Allocation Weight'!F$5:F$9)</f>
        <v>1.2138980143638018</v>
      </c>
      <c r="G6" s="9">
        <f>SUM('Marginal Allocation Weight'!G$5:G$9)</f>
        <v>1.2153615453144584</v>
      </c>
      <c r="H6" s="9">
        <f>SUM('Marginal Allocation Weight'!H$5:H$9)</f>
        <v>1.2176409567270434</v>
      </c>
      <c r="I6" s="9">
        <f>SUM('Marginal Allocation Weight'!I$5:I$9)</f>
        <v>1.2210830225501221</v>
      </c>
      <c r="J6" s="9">
        <f>SUM('Marginal Allocation Weight'!J$5:J$9)</f>
        <v>1.2261186367914361</v>
      </c>
      <c r="K6" s="9">
        <f>SUM('Marginal Allocation Weight'!K$5:K$9)</f>
        <v>1.2332615838909935</v>
      </c>
      <c r="L6" s="9">
        <f>SUM('Marginal Allocation Weight'!L$5:L$9)</f>
        <v>1.2431005632832786</v>
      </c>
      <c r="M6" s="9">
        <f>SUM('Marginal Allocation Weight'!M$5:M$9)</f>
        <v>1.256284361440438</v>
      </c>
      <c r="N6" s="9">
        <f>SUM('Marginal Allocation Weight'!N$5:N$9)</f>
        <v>1.2735008693717109</v>
      </c>
      <c r="O6" s="9">
        <f>SUM('Marginal Allocation Weight'!O$5:O$9)</f>
        <v>1.2954513599376565</v>
      </c>
      <c r="P6" s="9">
        <f>SUM('Marginal Allocation Weight'!P$5:P$9)</f>
        <v>1.3228219593524562</v>
      </c>
      <c r="Q6" s="9">
        <f>SUM('Marginal Allocation Weight'!Q$5:Q$9)</f>
        <v>1.3562545071674184</v>
      </c>
      <c r="R6" s="9">
        <f>SUM('Marginal Allocation Weight'!R$5:R$9)</f>
        <v>1.3963189855110241</v>
      </c>
      <c r="S6" s="9">
        <f>SUM('Marginal Allocation Weight'!S$5:S$9)</f>
        <v>1.4434894428894447</v>
      </c>
      <c r="T6" s="9">
        <f>SUM('Marginal Allocation Weight'!T$5:T$9)</f>
        <v>1.4981249033856012</v>
      </c>
      <c r="U6" s="9">
        <f>SUM('Marginal Allocation Weight'!U$5:U$9)</f>
        <v>1.5604562166230624</v>
      </c>
      <c r="V6" s="9">
        <f>SUM('Marginal Allocation Weight'!V$5:V$9)</f>
        <v>1.6305792449996894</v>
      </c>
      <c r="W6" s="9">
        <f>SUM('Marginal Allocation Weight'!W$5:W$9)</f>
        <v>1.7084542680660162</v>
      </c>
    </row>
    <row r="7" spans="1:23" s="9" customFormat="1" ht="15.75">
      <c r="A7" s="9" t="str">
        <f>+'Marginal Market Share'!A7</f>
        <v>Gas Tank</v>
      </c>
      <c r="B7" s="9">
        <f>SUM('Marginal Allocation Weight'!B$5:B$9)</f>
        <v>22026.677635879503</v>
      </c>
      <c r="C7" s="9">
        <f>SUM('Marginal Allocation Weight'!C$5:C$9)</f>
        <v>1.2120698654382052</v>
      </c>
      <c r="D7" s="9">
        <f>SUM('Marginal Allocation Weight'!D$5:D$9)</f>
        <v>1.2124197677329296</v>
      </c>
      <c r="E7" s="9">
        <f>SUM('Marginal Allocation Weight'!E$5:E$9)</f>
        <v>1.2129830598848104</v>
      </c>
      <c r="F7" s="9">
        <f>SUM('Marginal Allocation Weight'!F$5:F$9)</f>
        <v>1.2138980143638018</v>
      </c>
      <c r="G7" s="9">
        <f>SUM('Marginal Allocation Weight'!G$5:G$9)</f>
        <v>1.2153615453144584</v>
      </c>
      <c r="H7" s="9">
        <f>SUM('Marginal Allocation Weight'!H$5:H$9)</f>
        <v>1.2176409567270434</v>
      </c>
      <c r="I7" s="9">
        <f>SUM('Marginal Allocation Weight'!I$5:I$9)</f>
        <v>1.2210830225501221</v>
      </c>
      <c r="J7" s="9">
        <f>SUM('Marginal Allocation Weight'!J$5:J$9)</f>
        <v>1.2261186367914361</v>
      </c>
      <c r="K7" s="9">
        <f>SUM('Marginal Allocation Weight'!K$5:K$9)</f>
        <v>1.2332615838909935</v>
      </c>
      <c r="L7" s="9">
        <f>SUM('Marginal Allocation Weight'!L$5:L$9)</f>
        <v>1.2431005632832786</v>
      </c>
      <c r="M7" s="9">
        <f>SUM('Marginal Allocation Weight'!M$5:M$9)</f>
        <v>1.256284361440438</v>
      </c>
      <c r="N7" s="9">
        <f>SUM('Marginal Allocation Weight'!N$5:N$9)</f>
        <v>1.2735008693717109</v>
      </c>
      <c r="O7" s="9">
        <f>SUM('Marginal Allocation Weight'!O$5:O$9)</f>
        <v>1.2954513599376565</v>
      </c>
      <c r="P7" s="9">
        <f>SUM('Marginal Allocation Weight'!P$5:P$9)</f>
        <v>1.3228219593524562</v>
      </c>
      <c r="Q7" s="9">
        <f>SUM('Marginal Allocation Weight'!Q$5:Q$9)</f>
        <v>1.3562545071674184</v>
      </c>
      <c r="R7" s="9">
        <f>SUM('Marginal Allocation Weight'!R$5:R$9)</f>
        <v>1.3963189855110241</v>
      </c>
      <c r="S7" s="9">
        <f>SUM('Marginal Allocation Weight'!S$5:S$9)</f>
        <v>1.4434894428894447</v>
      </c>
      <c r="T7" s="9">
        <f>SUM('Marginal Allocation Weight'!T$5:T$9)</f>
        <v>1.4981249033856012</v>
      </c>
      <c r="U7" s="9">
        <f>SUM('Marginal Allocation Weight'!U$5:U$9)</f>
        <v>1.5604562166230624</v>
      </c>
      <c r="V7" s="9">
        <f>SUM('Marginal Allocation Weight'!V$5:V$9)</f>
        <v>1.6305792449996894</v>
      </c>
      <c r="W7" s="9">
        <f>SUM('Marginal Allocation Weight'!W$5:W$9)</f>
        <v>1.7084542680660162</v>
      </c>
    </row>
    <row r="8" spans="1:23" s="9" customFormat="1" ht="15.75">
      <c r="A8" s="9" t="str">
        <f>+'Marginal Market Share'!A8</f>
        <v>Instant Gas</v>
      </c>
      <c r="B8" s="9">
        <f>SUM('Marginal Allocation Weight'!B$5:B$9)</f>
        <v>22026.677635879503</v>
      </c>
      <c r="C8" s="9">
        <f>SUM('Marginal Allocation Weight'!C$5:C$9)</f>
        <v>1.2120698654382052</v>
      </c>
      <c r="D8" s="9">
        <f>SUM('Marginal Allocation Weight'!D$5:D$9)</f>
        <v>1.2124197677329296</v>
      </c>
      <c r="E8" s="9">
        <f>SUM('Marginal Allocation Weight'!E$5:E$9)</f>
        <v>1.2129830598848104</v>
      </c>
      <c r="F8" s="9">
        <f>SUM('Marginal Allocation Weight'!F$5:F$9)</f>
        <v>1.2138980143638018</v>
      </c>
      <c r="G8" s="9">
        <f>SUM('Marginal Allocation Weight'!G$5:G$9)</f>
        <v>1.2153615453144584</v>
      </c>
      <c r="H8" s="9">
        <f>SUM('Marginal Allocation Weight'!H$5:H$9)</f>
        <v>1.2176409567270434</v>
      </c>
      <c r="I8" s="9">
        <f>SUM('Marginal Allocation Weight'!I$5:I$9)</f>
        <v>1.2210830225501221</v>
      </c>
      <c r="J8" s="9">
        <f>SUM('Marginal Allocation Weight'!J$5:J$9)</f>
        <v>1.2261186367914361</v>
      </c>
      <c r="K8" s="9">
        <f>SUM('Marginal Allocation Weight'!K$5:K$9)</f>
        <v>1.2332615838909935</v>
      </c>
      <c r="L8" s="9">
        <f>SUM('Marginal Allocation Weight'!L$5:L$9)</f>
        <v>1.2431005632832786</v>
      </c>
      <c r="M8" s="9">
        <f>SUM('Marginal Allocation Weight'!M$5:M$9)</f>
        <v>1.256284361440438</v>
      </c>
      <c r="N8" s="9">
        <f>SUM('Marginal Allocation Weight'!N$5:N$9)</f>
        <v>1.2735008693717109</v>
      </c>
      <c r="O8" s="9">
        <f>SUM('Marginal Allocation Weight'!O$5:O$9)</f>
        <v>1.2954513599376565</v>
      </c>
      <c r="P8" s="9">
        <f>SUM('Marginal Allocation Weight'!P$5:P$9)</f>
        <v>1.3228219593524562</v>
      </c>
      <c r="Q8" s="9">
        <f>SUM('Marginal Allocation Weight'!Q$5:Q$9)</f>
        <v>1.3562545071674184</v>
      </c>
      <c r="R8" s="9">
        <f>SUM('Marginal Allocation Weight'!R$5:R$9)</f>
        <v>1.3963189855110241</v>
      </c>
      <c r="S8" s="9">
        <f>SUM('Marginal Allocation Weight'!S$5:S$9)</f>
        <v>1.4434894428894447</v>
      </c>
      <c r="T8" s="9">
        <f>SUM('Marginal Allocation Weight'!T$5:T$9)</f>
        <v>1.4981249033856012</v>
      </c>
      <c r="U8" s="9">
        <f>SUM('Marginal Allocation Weight'!U$5:U$9)</f>
        <v>1.5604562166230624</v>
      </c>
      <c r="V8" s="9">
        <f>SUM('Marginal Allocation Weight'!V$5:V$9)</f>
        <v>1.6305792449996894</v>
      </c>
      <c r="W8" s="9">
        <f>SUM('Marginal Allocation Weight'!W$5:W$9)</f>
        <v>1.7084542680660162</v>
      </c>
    </row>
    <row r="9" spans="1:23" s="9" customFormat="1" ht="15.75">
      <c r="A9" s="9" t="str">
        <f>+'Marginal Market Share'!A9</f>
        <v>Condensing Gas</v>
      </c>
      <c r="B9" s="9">
        <f>SUM('Marginal Allocation Weight'!B$5:B$9)</f>
        <v>22026.677635879503</v>
      </c>
      <c r="C9" s="9">
        <f>SUM('Marginal Allocation Weight'!C$5:C$9)</f>
        <v>1.2120698654382052</v>
      </c>
      <c r="D9" s="9">
        <f>SUM('Marginal Allocation Weight'!D$5:D$9)</f>
        <v>1.2124197677329296</v>
      </c>
      <c r="E9" s="9">
        <f>SUM('Marginal Allocation Weight'!E$5:E$9)</f>
        <v>1.2129830598848104</v>
      </c>
      <c r="F9" s="9">
        <f>SUM('Marginal Allocation Weight'!F$5:F$9)</f>
        <v>1.2138980143638018</v>
      </c>
      <c r="G9" s="9">
        <f>SUM('Marginal Allocation Weight'!G$5:G$9)</f>
        <v>1.2153615453144584</v>
      </c>
      <c r="H9" s="9">
        <f>SUM('Marginal Allocation Weight'!H$5:H$9)</f>
        <v>1.2176409567270434</v>
      </c>
      <c r="I9" s="9">
        <f>SUM('Marginal Allocation Weight'!I$5:I$9)</f>
        <v>1.2210830225501221</v>
      </c>
      <c r="J9" s="9">
        <f>SUM('Marginal Allocation Weight'!J$5:J$9)</f>
        <v>1.2261186367914361</v>
      </c>
      <c r="K9" s="9">
        <f>SUM('Marginal Allocation Weight'!K$5:K$9)</f>
        <v>1.2332615838909935</v>
      </c>
      <c r="L9" s="9">
        <f>SUM('Marginal Allocation Weight'!L$5:L$9)</f>
        <v>1.2431005632832786</v>
      </c>
      <c r="M9" s="9">
        <f>SUM('Marginal Allocation Weight'!M$5:M$9)</f>
        <v>1.256284361440438</v>
      </c>
      <c r="N9" s="9">
        <f>SUM('Marginal Allocation Weight'!N$5:N$9)</f>
        <v>1.2735008693717109</v>
      </c>
      <c r="O9" s="9">
        <f>SUM('Marginal Allocation Weight'!O$5:O$9)</f>
        <v>1.2954513599376565</v>
      </c>
      <c r="P9" s="9">
        <f>SUM('Marginal Allocation Weight'!P$5:P$9)</f>
        <v>1.3228219593524562</v>
      </c>
      <c r="Q9" s="9">
        <f>SUM('Marginal Allocation Weight'!Q$5:Q$9)</f>
        <v>1.3562545071674184</v>
      </c>
      <c r="R9" s="9">
        <f>SUM('Marginal Allocation Weight'!R$5:R$9)</f>
        <v>1.3963189855110241</v>
      </c>
      <c r="S9" s="9">
        <f>SUM('Marginal Allocation Weight'!S$5:S$9)</f>
        <v>1.4434894428894447</v>
      </c>
      <c r="T9" s="9">
        <f>SUM('Marginal Allocation Weight'!T$5:T$9)</f>
        <v>1.4981249033856012</v>
      </c>
      <c r="U9" s="9">
        <f>SUM('Marginal Allocation Weight'!U$5:U$9)</f>
        <v>1.5604562166230624</v>
      </c>
      <c r="V9" s="9">
        <f>SUM('Marginal Allocation Weight'!V$5:V$9)</f>
        <v>1.6305792449996894</v>
      </c>
      <c r="W9" s="9">
        <f>SUM('Marginal Allocation Weight'!W$5:W$9)</f>
        <v>1.7084542680660162</v>
      </c>
    </row>
    <row r="10" spans="1:23" s="9" customFormat="1" ht="15.75">
      <c r="A10"/>
      <c r="B10"/>
      <c r="C10"/>
      <c r="D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AC10"/>
  <sheetViews>
    <sheetView workbookViewId="0">
      <selection activeCell="K18" sqref="K18"/>
    </sheetView>
  </sheetViews>
  <sheetFormatPr defaultColWidth="9.140625" defaultRowHeight="15.75"/>
  <cols>
    <col min="1" max="1" width="20.7109375" style="9" customWidth="1"/>
    <col min="2" max="9" width="11.7109375" style="9" customWidth="1"/>
    <col min="10" max="10" width="12.42578125" style="9" bestFit="1" customWidth="1"/>
    <col min="11" max="14" width="13.7109375" style="9" bestFit="1" customWidth="1"/>
    <col min="15" max="15" width="12.42578125" style="9" bestFit="1" customWidth="1"/>
    <col min="16" max="28" width="13.7109375" style="9" bestFit="1" customWidth="1"/>
    <col min="29" max="29" width="12.42578125" style="9" bestFit="1" customWidth="1"/>
    <col min="30" max="16384" width="9.140625" style="9"/>
  </cols>
  <sheetData>
    <row r="1" spans="1:29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9">
      <c r="A3" s="12" t="s">
        <v>44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>
      <c r="A4" s="39" t="str">
        <f>'Device Energy Use'!A4</f>
        <v>Water Heat Ending</v>
      </c>
      <c r="B4" s="40">
        <f>'Levelized Costs'!B4</f>
        <v>2014</v>
      </c>
      <c r="C4" s="40">
        <f>'Levelized Costs'!C4</f>
        <v>2015</v>
      </c>
      <c r="D4" s="40">
        <f>'Levelized Costs'!D4</f>
        <v>2016</v>
      </c>
      <c r="E4" s="40">
        <f>'Levelized Costs'!E4</f>
        <v>2017</v>
      </c>
      <c r="F4" s="40">
        <f>'Levelized Costs'!F4</f>
        <v>2018</v>
      </c>
      <c r="G4" s="40">
        <f>'Levelized Costs'!G4</f>
        <v>2019</v>
      </c>
      <c r="H4" s="40">
        <f>'Levelized Costs'!H4</f>
        <v>2020</v>
      </c>
      <c r="I4" s="40">
        <f>'Levelized Costs'!I4</f>
        <v>2021</v>
      </c>
      <c r="J4" s="40">
        <f>'Levelized Costs'!J4</f>
        <v>2022</v>
      </c>
      <c r="K4" s="40">
        <f>'Levelized Costs'!K4</f>
        <v>2023</v>
      </c>
      <c r="L4" s="40">
        <f>'Levelized Costs'!L4</f>
        <v>2024</v>
      </c>
      <c r="M4" s="40">
        <f>'Levelized Costs'!M4</f>
        <v>2025</v>
      </c>
      <c r="N4" s="40">
        <f>'Levelized Costs'!N4</f>
        <v>2026</v>
      </c>
      <c r="O4" s="40">
        <f>'Levelized Costs'!O4</f>
        <v>2027</v>
      </c>
      <c r="P4" s="40">
        <f>'Levelized Costs'!P4</f>
        <v>2028</v>
      </c>
      <c r="Q4" s="40">
        <f>'Levelized Costs'!Q4</f>
        <v>2029</v>
      </c>
      <c r="R4" s="40">
        <f>'Levelized Costs'!R4</f>
        <v>2030</v>
      </c>
      <c r="S4" s="40">
        <f>'Levelized Costs'!S4</f>
        <v>2031</v>
      </c>
      <c r="T4" s="40">
        <f>'Levelized Costs'!T4</f>
        <v>2032</v>
      </c>
      <c r="U4" s="40">
        <f>'Levelized Costs'!U4</f>
        <v>2033</v>
      </c>
      <c r="V4" s="40">
        <f>'Levelized Costs'!V4</f>
        <v>2034</v>
      </c>
      <c r="W4" s="40">
        <f>'Levelized Costs'!W4</f>
        <v>2035</v>
      </c>
    </row>
    <row r="5" spans="1:29">
      <c r="A5" s="9" t="str">
        <f>+'Total Allocation Weight'!A5</f>
        <v>Electric Resistance</v>
      </c>
      <c r="B5" s="159">
        <f>EXP('Non-Price Factors'!B10+VarianceFactor*LN('Levelized Costs'!B5/'Levelized Costs'!B$5))</f>
        <v>22026.465794806718</v>
      </c>
      <c r="C5" s="159">
        <f>EXP('Non-Price Factors'!C10+VarianceFactor*LN('Levelized Costs'!C5/'Levelized Costs'!C$5))</f>
        <v>1</v>
      </c>
      <c r="D5" s="159">
        <f>EXP('Non-Price Factors'!D10+VarianceFactor*LN('Levelized Costs'!D5/'Levelized Costs'!D$5))</f>
        <v>1</v>
      </c>
      <c r="E5" s="159">
        <f>EXP('Non-Price Factors'!E10+VarianceFactor*LN('Levelized Costs'!E5/'Levelized Costs'!E$5))</f>
        <v>1</v>
      </c>
      <c r="F5" s="159">
        <f>EXP('Non-Price Factors'!F10+VarianceFactor*LN('Levelized Costs'!F5/'Levelized Costs'!F$5))</f>
        <v>1</v>
      </c>
      <c r="G5" s="159">
        <f>EXP('Non-Price Factors'!G10+VarianceFactor*LN('Levelized Costs'!G5/'Levelized Costs'!G$5))</f>
        <v>1</v>
      </c>
      <c r="H5" s="159">
        <f>EXP('Non-Price Factors'!H10+VarianceFactor*LN('Levelized Costs'!H5/'Levelized Costs'!H$5))</f>
        <v>1</v>
      </c>
      <c r="I5" s="159">
        <f>EXP('Non-Price Factors'!I10+VarianceFactor*LN('Levelized Costs'!I5/'Levelized Costs'!I$5))</f>
        <v>1</v>
      </c>
      <c r="J5" s="159">
        <f>EXP('Non-Price Factors'!J10+VarianceFactor*LN('Levelized Costs'!J5/'Levelized Costs'!J$5))</f>
        <v>1</v>
      </c>
      <c r="K5" s="159">
        <f>EXP('Non-Price Factors'!K10+VarianceFactor*LN('Levelized Costs'!K5/'Levelized Costs'!K$5))</f>
        <v>1</v>
      </c>
      <c r="L5" s="159">
        <f>EXP('Non-Price Factors'!L10+VarianceFactor*LN('Levelized Costs'!L5/'Levelized Costs'!L$5))</f>
        <v>1</v>
      </c>
      <c r="M5" s="159">
        <f>EXP('Non-Price Factors'!M10+VarianceFactor*LN('Levelized Costs'!M5/'Levelized Costs'!M$5))</f>
        <v>1</v>
      </c>
      <c r="N5" s="159">
        <f>EXP('Non-Price Factors'!N10+VarianceFactor*LN('Levelized Costs'!N5/'Levelized Costs'!N$5))</f>
        <v>1</v>
      </c>
      <c r="O5" s="159">
        <f>EXP('Non-Price Factors'!O10+VarianceFactor*LN('Levelized Costs'!O5/'Levelized Costs'!O$5))</f>
        <v>1</v>
      </c>
      <c r="P5" s="159">
        <f>EXP('Non-Price Factors'!P10+VarianceFactor*LN('Levelized Costs'!P5/'Levelized Costs'!P$5))</f>
        <v>1</v>
      </c>
      <c r="Q5" s="159">
        <f>EXP('Non-Price Factors'!Q10+VarianceFactor*LN('Levelized Costs'!Q5/'Levelized Costs'!Q$5))</f>
        <v>1</v>
      </c>
      <c r="R5" s="159">
        <f>EXP('Non-Price Factors'!R10+VarianceFactor*LN('Levelized Costs'!R5/'Levelized Costs'!R$5))</f>
        <v>1</v>
      </c>
      <c r="S5" s="159">
        <f>EXP('Non-Price Factors'!S10+VarianceFactor*LN('Levelized Costs'!S5/'Levelized Costs'!S$5))</f>
        <v>1</v>
      </c>
      <c r="T5" s="159">
        <f>EXP('Non-Price Factors'!T10+VarianceFactor*LN('Levelized Costs'!T5/'Levelized Costs'!T$5))</f>
        <v>1</v>
      </c>
      <c r="U5" s="159">
        <f>EXP('Non-Price Factors'!U10+VarianceFactor*LN('Levelized Costs'!U5/'Levelized Costs'!U$5))</f>
        <v>1</v>
      </c>
      <c r="V5" s="159">
        <f>EXP('Non-Price Factors'!V10+VarianceFactor*LN('Levelized Costs'!V5/'Levelized Costs'!V$5))</f>
        <v>1</v>
      </c>
      <c r="W5" s="159">
        <f>EXP('Non-Price Factors'!W10+VarianceFactor*LN('Levelized Costs'!W5/'Levelized Costs'!W$5))</f>
        <v>1</v>
      </c>
    </row>
    <row r="6" spans="1:29">
      <c r="A6" s="9" t="str">
        <f>+'Total Allocation Weight'!A6</f>
        <v>HPWH</v>
      </c>
      <c r="B6" s="159">
        <f>EXP('Non-Price Factors'!B11+VarianceFactor*LN('Levelized Costs'!B6/'Levelized Costs'!B$5))</f>
        <v>6.2315621745927924E-5</v>
      </c>
      <c r="C6" s="159">
        <f>EXP('Non-Price Factors'!C11+VarianceFactor*LN('Levelized Costs'!C6/'Levelized Costs'!C$5))</f>
        <v>1.3165571919506548E-4</v>
      </c>
      <c r="D6" s="159">
        <f>EXP('Non-Price Factors'!D11+VarianceFactor*LN('Levelized Costs'!D6/'Levelized Costs'!D$5))</f>
        <v>2.6343705284721482E-4</v>
      </c>
      <c r="E6" s="159">
        <f>EXP('Non-Price Factors'!E11+VarianceFactor*LN('Levelized Costs'!E6/'Levelized Costs'!E$5))</f>
        <v>5.0124102536550465E-4</v>
      </c>
      <c r="F6" s="159">
        <f>EXP('Non-Price Factors'!F11+VarianceFactor*LN('Levelized Costs'!F6/'Levelized Costs'!F$5))</f>
        <v>9.1024676403883282E-4</v>
      </c>
      <c r="G6" s="159">
        <f>EXP('Non-Price Factors'!G11+VarianceFactor*LN('Levelized Costs'!G6/'Levelized Costs'!G$5))</f>
        <v>1.5830912158409337E-3</v>
      </c>
      <c r="H6" s="159">
        <f>EXP('Non-Price Factors'!H11+VarianceFactor*LN('Levelized Costs'!H6/'Levelized Costs'!H$5))</f>
        <v>2.6452610521054375E-3</v>
      </c>
      <c r="I6" s="159">
        <f>EXP('Non-Price Factors'!I11+VarianceFactor*LN('Levelized Costs'!I6/'Levelized Costs'!I$5))</f>
        <v>4.2591863958466834E-3</v>
      </c>
      <c r="J6" s="159">
        <f>EXP('Non-Price Factors'!J11+VarianceFactor*LN('Levelized Costs'!J6/'Levelized Costs'!J$5))</f>
        <v>6.6262168627393044E-3</v>
      </c>
      <c r="K6" s="159">
        <f>EXP('Non-Price Factors'!K11+VarianceFactor*LN('Levelized Costs'!K6/'Levelized Costs'!K$5))</f>
        <v>9.985815478539611E-3</v>
      </c>
      <c r="L6" s="159">
        <f>EXP('Non-Price Factors'!L11+VarianceFactor*LN('Levelized Costs'!L6/'Levelized Costs'!L$5))</f>
        <v>1.4611586975682425E-2</v>
      </c>
      <c r="M6" s="159">
        <f>EXP('Non-Price Factors'!M11+VarianceFactor*LN('Levelized Costs'!M6/'Levelized Costs'!M$5))</f>
        <v>2.0804117295770998E-2</v>
      </c>
      <c r="N6" s="159">
        <f>EXP('Non-Price Factors'!N11+VarianceFactor*LN('Levelized Costs'!N6/'Levelized Costs'!N$5))</f>
        <v>2.8880978680746829E-2</v>
      </c>
      <c r="O6" s="159">
        <f>EXP('Non-Price Factors'!O11+VarianceFactor*LN('Levelized Costs'!O6/'Levelized Costs'!O$5))</f>
        <v>3.9164586740525573E-2</v>
      </c>
      <c r="P6" s="159">
        <f>EXP('Non-Price Factors'!P11+VarianceFactor*LN('Levelized Costs'!P6/'Levelized Costs'!P$5))</f>
        <v>5.1968832363555401E-2</v>
      </c>
      <c r="Q6" s="159">
        <f>EXP('Non-Price Factors'!Q11+VarianceFactor*LN('Levelized Costs'!Q6/'Levelized Costs'!Q$5))</f>
        <v>6.7585523710447015E-2</v>
      </c>
      <c r="R6" s="159">
        <f>EXP('Non-Price Factors'!R11+VarianceFactor*LN('Levelized Costs'!R6/'Levelized Costs'!R$5))</f>
        <v>8.6271657114008971E-2</v>
      </c>
      <c r="S6" s="159">
        <f>EXP('Non-Price Factors'!S11+VarianceFactor*LN('Levelized Costs'!S6/'Levelized Costs'!S$5))</f>
        <v>0.10823840676212317</v>
      </c>
      <c r="T6" s="159">
        <f>EXP('Non-Price Factors'!T11+VarianceFactor*LN('Levelized Costs'!T6/'Levelized Costs'!T$5))</f>
        <v>0.13364251224391221</v>
      </c>
      <c r="U6" s="159">
        <f>EXP('Non-Price Factors'!U11+VarianceFactor*LN('Levelized Costs'!U6/'Levelized Costs'!U$5))</f>
        <v>0.16258048763962824</v>
      </c>
      <c r="V6" s="159">
        <f>EXP('Non-Price Factors'!V11+VarianceFactor*LN('Levelized Costs'!V6/'Levelized Costs'!V$5))</f>
        <v>0.19508581239514983</v>
      </c>
      <c r="W6" s="159">
        <f>EXP('Non-Price Factors'!W11+VarianceFactor*LN('Levelized Costs'!W6/'Levelized Costs'!W$5))</f>
        <v>0.23112902325116069</v>
      </c>
    </row>
    <row r="7" spans="1:29">
      <c r="A7" s="9" t="str">
        <f>+'Total Allocation Weight'!A7</f>
        <v>Gas Tank</v>
      </c>
      <c r="B7" s="159">
        <f>EXP('Non-Price Factors'!B12+VarianceFactor*LN('Levelized Costs'!B7/'Levelized Costs'!B$5))</f>
        <v>0.21171036884799527</v>
      </c>
      <c r="C7" s="159">
        <f>EXP('Non-Price Factors'!C12+VarianceFactor*LN('Levelized Costs'!C7/'Levelized Costs'!C$5))</f>
        <v>0.21179337093945827</v>
      </c>
      <c r="D7" s="159">
        <f>EXP('Non-Price Factors'!D12+VarianceFactor*LN('Levelized Costs'!D7/'Levelized Costs'!D$5))</f>
        <v>0.21186581072776398</v>
      </c>
      <c r="E7" s="159">
        <f>EXP('Non-Price Factors'!E12+VarianceFactor*LN('Levelized Costs'!E7/'Levelized Costs'!E$5))</f>
        <v>0.21192771225921575</v>
      </c>
      <c r="F7" s="159">
        <f>EXP('Non-Price Factors'!F12+VarianceFactor*LN('Levelized Costs'!F7/'Levelized Costs'!F$5))</f>
        <v>0.2119791027170993</v>
      </c>
      <c r="G7" s="159">
        <f>EXP('Non-Price Factors'!G12+VarianceFactor*LN('Levelized Costs'!G7/'Levelized Costs'!G$5))</f>
        <v>0.21202001237554283</v>
      </c>
      <c r="H7" s="159">
        <f>EXP('Non-Price Factors'!H12+VarianceFactor*LN('Levelized Costs'!H7/'Levelized Costs'!H$5))</f>
        <v>0.21205047455163226</v>
      </c>
      <c r="I7" s="159">
        <f>EXP('Non-Price Factors'!I12+VarianceFactor*LN('Levelized Costs'!I7/'Levelized Costs'!I$5))</f>
        <v>0.2120705255558594</v>
      </c>
      <c r="J7" s="159">
        <f>EXP('Non-Price Factors'!J12+VarianceFactor*LN('Levelized Costs'!J7/'Levelized Costs'!J$5))</f>
        <v>0.21208020464098293</v>
      </c>
      <c r="K7" s="159">
        <f>EXP('Non-Price Factors'!K12+VarianceFactor*LN('Levelized Costs'!K7/'Levelized Costs'!K$5))</f>
        <v>0.21207955394937897</v>
      </c>
      <c r="L7" s="159">
        <f>EXP('Non-Price Factors'!L12+VarianceFactor*LN('Levelized Costs'!L7/'Levelized Costs'!L$5))</f>
        <v>0.21206861845896396</v>
      </c>
      <c r="M7" s="159">
        <f>EXP('Non-Price Factors'!M12+VarianceFactor*LN('Levelized Costs'!M7/'Levelized Costs'!M$5))</f>
        <v>0.21204744592776981</v>
      </c>
      <c r="N7" s="159">
        <f>EXP('Non-Price Factors'!N12+VarianceFactor*LN('Levelized Costs'!N7/'Levelized Costs'!N$5))</f>
        <v>0.21201608683724857</v>
      </c>
      <c r="O7" s="159">
        <f>EXP('Non-Price Factors'!O12+VarianceFactor*LN('Levelized Costs'!O7/'Levelized Costs'!O$5))</f>
        <v>0.21197459433439522</v>
      </c>
      <c r="P7" s="159">
        <f>EXP('Non-Price Factors'!P12+VarianceFactor*LN('Levelized Costs'!P7/'Levelized Costs'!P$5))</f>
        <v>0.21192302417275963</v>
      </c>
      <c r="Q7" s="159">
        <f>EXP('Non-Price Factors'!Q12+VarianceFactor*LN('Levelized Costs'!Q7/'Levelized Costs'!Q$5))</f>
        <v>0.21186143465243606</v>
      </c>
      <c r="R7" s="159">
        <f>EXP('Non-Price Factors'!R12+VarianceFactor*LN('Levelized Costs'!R7/'Levelized Costs'!R$5))</f>
        <v>0.21178988655910541</v>
      </c>
      <c r="S7" s="159">
        <f>EXP('Non-Price Factors'!S12+VarianceFactor*LN('Levelized Costs'!S7/'Levelized Costs'!S$5))</f>
        <v>0.21170844310221359</v>
      </c>
      <c r="T7" s="159">
        <f>EXP('Non-Price Factors'!T12+VarianceFactor*LN('Levelized Costs'!T7/'Levelized Costs'!T$5))</f>
        <v>0.21161716985236234</v>
      </c>
      <c r="U7" s="159">
        <f>EXP('Non-Price Factors'!U12+VarianceFactor*LN('Levelized Costs'!U7/'Levelized Costs'!U$5))</f>
        <v>0.21151613467799205</v>
      </c>
      <c r="V7" s="159">
        <f>EXP('Non-Price Factors'!V12+VarianceFactor*LN('Levelized Costs'!V7/'Levelized Costs'!V$5))</f>
        <v>0.21140540768143554</v>
      </c>
      <c r="W7" s="159">
        <f>EXP('Non-Price Factors'!W12+VarianceFactor*LN('Levelized Costs'!W7/'Levelized Costs'!W$5))</f>
        <v>0.21128506113441753</v>
      </c>
    </row>
    <row r="8" spans="1:29">
      <c r="A8" s="9" t="str">
        <f>+'Total Allocation Weight'!A8</f>
        <v>Instant Gas</v>
      </c>
      <c r="B8" s="159">
        <f>EXP('Non-Price Factors'!B13+VarianceFactor*LN('Levelized Costs'!B8/'Levelized Costs'!B$5))</f>
        <v>1.4063694382153901E-5</v>
      </c>
      <c r="C8" s="159">
        <f>EXP('Non-Price Factors'!C13+VarianceFactor*LN('Levelized Costs'!C8/'Levelized Costs'!C$5))</f>
        <v>2.9839567134078368E-5</v>
      </c>
      <c r="D8" s="159">
        <f>EXP('Non-Price Factors'!D13+VarianceFactor*LN('Levelized Costs'!D8/'Levelized Costs'!D$5))</f>
        <v>5.9962287702586885E-5</v>
      </c>
      <c r="E8" s="159">
        <f>EXP('Non-Price Factors'!E13+VarianceFactor*LN('Levelized Costs'!E8/'Levelized Costs'!E$5))</f>
        <v>1.145762193236928E-4</v>
      </c>
      <c r="F8" s="159">
        <f>EXP('Non-Price Factors'!F13+VarianceFactor*LN('Levelized Costs'!F8/'Levelized Costs'!F$5))</f>
        <v>2.0895430047773275E-4</v>
      </c>
      <c r="G8" s="159">
        <f>EXP('Non-Price Factors'!G13+VarianceFactor*LN('Levelized Costs'!G8/'Levelized Costs'!G$5))</f>
        <v>3.6495548892696741E-4</v>
      </c>
      <c r="H8" s="159">
        <f>EXP('Non-Price Factors'!H13+VarianceFactor*LN('Levelized Costs'!H8/'Levelized Costs'!H$5))</f>
        <v>6.1240895920486858E-4</v>
      </c>
      <c r="I8" s="159">
        <f>EXP('Non-Price Factors'!I13+VarianceFactor*LN('Levelized Costs'!I8/'Levelized Costs'!I$5))</f>
        <v>9.9022907807211E-4</v>
      </c>
      <c r="J8" s="159">
        <f>EXP('Non-Price Factors'!J13+VarianceFactor*LN('Levelized Costs'!J8/'Levelized Costs'!J$5))</f>
        <v>1.5470610183457747E-3</v>
      </c>
      <c r="K8" s="159">
        <f>EXP('Non-Price Factors'!K13+VarianceFactor*LN('Levelized Costs'!K8/'Levelized Costs'!K$5))</f>
        <v>2.3412866378529538E-3</v>
      </c>
      <c r="L8" s="159">
        <f>EXP('Non-Price Factors'!L13+VarianceFactor*LN('Levelized Costs'!L8/'Levelized Costs'!L$5))</f>
        <v>3.4402809819940303E-3</v>
      </c>
      <c r="M8" s="159">
        <f>EXP('Non-Price Factors'!M13+VarianceFactor*LN('Levelized Costs'!M8/'Levelized Costs'!M$5))</f>
        <v>4.9188917496493434E-3</v>
      </c>
      <c r="N8" s="159">
        <f>EXP('Non-Price Factors'!N13+VarianceFactor*LN('Levelized Costs'!N8/'Levelized Costs'!N$5))</f>
        <v>6.857203359608416E-3</v>
      </c>
      <c r="O8" s="159">
        <f>EXP('Non-Price Factors'!O13+VarianceFactor*LN('Levelized Costs'!O8/'Levelized Costs'!O$5))</f>
        <v>9.3377291063239682E-3</v>
      </c>
      <c r="P8" s="159">
        <f>EXP('Non-Price Factors'!P13+VarianceFactor*LN('Levelized Costs'!P8/'Levelized Costs'!P$5))</f>
        <v>1.2442236909548213E-2</v>
      </c>
      <c r="Q8" s="159">
        <f>EXP('Non-Price Factors'!Q13+VarianceFactor*LN('Levelized Costs'!Q8/'Levelized Costs'!Q$5))</f>
        <v>1.6248448535426854E-2</v>
      </c>
      <c r="R8" s="159">
        <f>EXP('Non-Price Factors'!R13+VarianceFactor*LN('Levelized Costs'!R8/'Levelized Costs'!R$5))</f>
        <v>2.0826856529106132E-2</v>
      </c>
      <c r="S8" s="159">
        <f>EXP('Non-Price Factors'!S13+VarianceFactor*LN('Levelized Costs'!S8/'Levelized Costs'!S$5))</f>
        <v>2.6237880094987152E-2</v>
      </c>
      <c r="T8" s="159">
        <f>EXP('Non-Price Factors'!T13+VarianceFactor*LN('Levelized Costs'!T8/'Levelized Costs'!T$5))</f>
        <v>3.2529537113314688E-2</v>
      </c>
      <c r="U8" s="159">
        <f>EXP('Non-Price Factors'!U13+VarianceFactor*LN('Levelized Costs'!U8/'Levelized Costs'!U$5))</f>
        <v>3.9735752650669316E-2</v>
      </c>
      <c r="V8" s="159">
        <f>EXP('Non-Price Factors'!V13+VarianceFactor*LN('Levelized Costs'!V8/'Levelized Costs'!V$5))</f>
        <v>4.7875363210269493E-2</v>
      </c>
      <c r="W8" s="159">
        <f>EXP('Non-Price Factors'!W13+VarianceFactor*LN('Levelized Costs'!W8/'Levelized Costs'!W$5))</f>
        <v>5.6951817993578159E-2</v>
      </c>
    </row>
    <row r="9" spans="1:29">
      <c r="A9" s="9" t="str">
        <f>+'Total Allocation Weight'!A9</f>
        <v>Condensing Gas</v>
      </c>
      <c r="B9" s="159">
        <f>EXP('Non-Price Factors'!B14+VarianceFactor*LN('Levelized Costs'!B9/'Levelized Costs'!B$5))</f>
        <v>5.4324621086124273E-5</v>
      </c>
      <c r="C9" s="159">
        <f>EXP('Non-Price Factors'!C14+VarianceFactor*LN('Levelized Costs'!C9/'Levelized Costs'!C$5))</f>
        <v>1.1499921241770159E-4</v>
      </c>
      <c r="D9" s="159">
        <f>EXP('Non-Price Factors'!D14+VarianceFactor*LN('Levelized Costs'!D9/'Levelized Costs'!D$5))</f>
        <v>2.305576646158795E-4</v>
      </c>
      <c r="E9" s="159">
        <f>EXP('Non-Price Factors'!E14+VarianceFactor*LN('Levelized Costs'!E9/'Levelized Costs'!E$5))</f>
        <v>4.3953038090523632E-4</v>
      </c>
      <c r="F9" s="159">
        <f>EXP('Non-Price Factors'!F14+VarianceFactor*LN('Levelized Costs'!F9/'Levelized Costs'!F$5))</f>
        <v>7.9971058218623523E-4</v>
      </c>
      <c r="G9" s="159">
        <f>EXP('Non-Price Factors'!G14+VarianceFactor*LN('Levelized Costs'!G9/'Levelized Costs'!G$5))</f>
        <v>1.3934862341475006E-3</v>
      </c>
      <c r="H9" s="159">
        <f>EXP('Non-Price Factors'!H14+VarianceFactor*LN('Levelized Costs'!H9/'Levelized Costs'!H$5))</f>
        <v>2.3328121641009295E-3</v>
      </c>
      <c r="I9" s="159">
        <f>EXP('Non-Price Factors'!I14+VarianceFactor*LN('Levelized Costs'!I9/'Levelized Costs'!I$5))</f>
        <v>3.7630815203437162E-3</v>
      </c>
      <c r="J9" s="159">
        <f>EXP('Non-Price Factors'!J14+VarianceFactor*LN('Levelized Costs'!J9/'Levelized Costs'!J$5))</f>
        <v>5.8651542693681172E-3</v>
      </c>
      <c r="K9" s="159">
        <f>EXP('Non-Price Factors'!K14+VarianceFactor*LN('Levelized Costs'!K9/'Levelized Costs'!K$5))</f>
        <v>8.8549278252219657E-3</v>
      </c>
      <c r="L9" s="159">
        <f>EXP('Non-Price Factors'!L14+VarianceFactor*LN('Levelized Costs'!L9/'Levelized Costs'!L$5))</f>
        <v>1.2980076866638133E-2</v>
      </c>
      <c r="M9" s="159">
        <f>EXP('Non-Price Factors'!M14+VarianceFactor*LN('Levelized Costs'!M9/'Levelized Costs'!M$5))</f>
        <v>1.8513906467247765E-2</v>
      </c>
      <c r="N9" s="159">
        <f>EXP('Non-Price Factors'!N14+VarianceFactor*LN('Levelized Costs'!N9/'Levelized Costs'!N$5))</f>
        <v>2.5746600494107062E-2</v>
      </c>
      <c r="O9" s="159">
        <f>EXP('Non-Price Factors'!O14+VarianceFactor*LN('Levelized Costs'!O9/'Levelized Costs'!O$5))</f>
        <v>3.4974449756412049E-2</v>
      </c>
      <c r="P9" s="159">
        <f>EXP('Non-Price Factors'!P14+VarianceFactor*LN('Levelized Costs'!P9/'Levelized Costs'!P$5))</f>
        <v>4.6487865906592839E-2</v>
      </c>
      <c r="Q9" s="159">
        <f>EXP('Non-Price Factors'!Q14+VarianceFactor*LN('Levelized Costs'!Q9/'Levelized Costs'!Q$5))</f>
        <v>6.0559100269108469E-2</v>
      </c>
      <c r="R9" s="159">
        <f>EXP('Non-Price Factors'!R14+VarianceFactor*LN('Levelized Costs'!R9/'Levelized Costs'!R$5))</f>
        <v>7.7430585308803548E-2</v>
      </c>
      <c r="S9" s="159">
        <f>EXP('Non-Price Factors'!S14+VarianceFactor*LN('Levelized Costs'!S9/'Levelized Costs'!S$5))</f>
        <v>9.7304712930120815E-2</v>
      </c>
      <c r="T9" s="159">
        <f>EXP('Non-Price Factors'!T14+VarianceFactor*LN('Levelized Costs'!T9/'Levelized Costs'!T$5))</f>
        <v>0.12033568417601198</v>
      </c>
      <c r="U9" s="159">
        <f>EXP('Non-Price Factors'!U14+VarianceFactor*LN('Levelized Costs'!U9/'Levelized Costs'!U$5))</f>
        <v>0.14662384165477282</v>
      </c>
      <c r="V9" s="159">
        <f>EXP('Non-Price Factors'!V14+VarianceFactor*LN('Levelized Costs'!V9/'Levelized Costs'!V$5))</f>
        <v>0.17621266171283465</v>
      </c>
      <c r="W9" s="159">
        <f>EXP('Non-Price Factors'!W14+VarianceFactor*LN('Levelized Costs'!W9/'Levelized Costs'!W$5))</f>
        <v>0.20908836568685993</v>
      </c>
    </row>
    <row r="10" spans="1:29">
      <c r="A10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5"/>
  <sheetViews>
    <sheetView workbookViewId="0"/>
  </sheetViews>
  <sheetFormatPr defaultColWidth="9.140625" defaultRowHeight="15.75"/>
  <cols>
    <col min="1" max="1" width="4.140625" style="9" customWidth="1"/>
    <col min="2" max="2" width="46" style="9" customWidth="1"/>
    <col min="3" max="7" width="12.7109375" style="9" customWidth="1"/>
    <col min="8" max="25" width="14.7109375" style="9" bestFit="1" customWidth="1"/>
    <col min="26" max="27" width="10.5703125" style="9" bestFit="1" customWidth="1"/>
    <col min="28" max="16384" width="9.140625" style="9"/>
  </cols>
  <sheetData>
    <row r="1" spans="1:6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6" ht="31.5" customHeight="1">
      <c r="B3" s="179" t="str">
        <f>CONCATENATE("Marginal Market Shares (%) - ",State,", Single Family, ", SpaceHeat, ", ", TankSize,", ", StartWH, " is starting water heater")</f>
        <v>Marginal Market Shares (%) - Washington, Single Family, Gas FAF, &lt;=55 Gallons, Electric Resistance is starting water heater</v>
      </c>
      <c r="C3" s="180"/>
      <c r="D3" s="180"/>
      <c r="E3" s="180"/>
      <c r="F3" s="180"/>
    </row>
    <row r="4" spans="1:6" ht="47.25">
      <c r="B4" s="81" t="s">
        <v>83</v>
      </c>
      <c r="C4" s="89" t="s">
        <v>115</v>
      </c>
      <c r="D4" s="89" t="s">
        <v>84</v>
      </c>
      <c r="E4" s="89" t="s">
        <v>106</v>
      </c>
      <c r="F4" s="94" t="s">
        <v>81</v>
      </c>
    </row>
    <row r="5" spans="1:6">
      <c r="B5" s="83" t="str">
        <f>'Marginal Market Share'!A5</f>
        <v>Electric Resistance</v>
      </c>
      <c r="C5" s="84">
        <f>'Marginal Market Share'!B5</f>
        <v>0.99999038252267147</v>
      </c>
      <c r="D5" s="84">
        <f>'Marginal Market Share'!W5</f>
        <v>0.58532441792077228</v>
      </c>
      <c r="E5" s="84">
        <f>'Marginal Market Share'!W13</f>
        <v>0</v>
      </c>
      <c r="F5" s="85">
        <f>E5-D5</f>
        <v>-0.58532441792077228</v>
      </c>
    </row>
    <row r="6" spans="1:6">
      <c r="B6" s="83" t="str">
        <f>'Marginal Market Share'!A6</f>
        <v>HPWH</v>
      </c>
      <c r="C6" s="84">
        <f>'Marginal Market Share'!B6</f>
        <v>2.8290976413265933E-9</v>
      </c>
      <c r="D6" s="84">
        <f>'Marginal Market Share'!W6</f>
        <v>0.13528546099908229</v>
      </c>
      <c r="E6" s="84">
        <f>'Marginal Market Share'!W14</f>
        <v>1</v>
      </c>
      <c r="F6" s="85">
        <f>E6-D6</f>
        <v>0.86471453900091766</v>
      </c>
    </row>
    <row r="7" spans="1:6">
      <c r="B7" s="83" t="str">
        <f>'Marginal Market Share'!A7</f>
        <v>Gas Tank</v>
      </c>
      <c r="C7" s="84">
        <f>'Marginal Market Share'!B7</f>
        <v>9.6115434359986208E-6</v>
      </c>
      <c r="D7" s="84">
        <f>'Marginal Market Share'!W7</f>
        <v>0.12367030542385773</v>
      </c>
      <c r="E7" s="84">
        <f>'Marginal Market Share'!W15</f>
        <v>0</v>
      </c>
      <c r="F7" s="85">
        <f>E7-D7</f>
        <v>-0.12367030542385773</v>
      </c>
    </row>
    <row r="8" spans="1:6">
      <c r="B8" s="83" t="str">
        <f>'Marginal Market Share'!A8</f>
        <v>Instant Gas</v>
      </c>
      <c r="C8" s="84">
        <f>'Marginal Market Share'!B8</f>
        <v>6.3848459648065086E-10</v>
      </c>
      <c r="D8" s="84">
        <f>'Marginal Market Share'!W8</f>
        <v>3.3335289716620899E-2</v>
      </c>
      <c r="E8" s="84">
        <f>'Marginal Market Share'!W16</f>
        <v>0</v>
      </c>
      <c r="F8" s="85">
        <f>E8-D8</f>
        <v>-3.3335289716620899E-2</v>
      </c>
    </row>
    <row r="9" spans="1:6">
      <c r="B9" s="86" t="str">
        <f>'Marginal Market Share'!A9</f>
        <v>Condensing Gas</v>
      </c>
      <c r="C9" s="87">
        <f>'Marginal Market Share'!B9</f>
        <v>2.466310261772492E-9</v>
      </c>
      <c r="D9" s="87">
        <f>'Marginal Market Share'!W9</f>
        <v>0.12238452593966687</v>
      </c>
      <c r="E9" s="87">
        <f>'Marginal Market Share'!W17</f>
        <v>0</v>
      </c>
      <c r="F9" s="88">
        <f>E9-D9</f>
        <v>-0.12238452593966687</v>
      </c>
    </row>
    <row r="10" spans="1:6">
      <c r="B10" s="97"/>
      <c r="C10" s="84"/>
      <c r="D10" s="84"/>
      <c r="E10" s="84"/>
    </row>
    <row r="11" spans="1:6" ht="30.75" customHeight="1">
      <c r="B11" s="179" t="str">
        <f>CONCATENATE("Average Market Shares by Scenario (%) - ",State,", Single Family, ", SpaceHeat, ", ", TankSize,", ", StartWH, " is starting water heater")</f>
        <v>Average Market Shares by Scenario (%) - Washington, Single Family, Gas FAF, &lt;=55 Gallons, Electric Resistance is starting water heater</v>
      </c>
      <c r="C11" s="180"/>
      <c r="D11" s="180"/>
      <c r="E11" s="180"/>
      <c r="F11" s="180"/>
    </row>
    <row r="12" spans="1:6" ht="47.25">
      <c r="B12" s="81" t="s">
        <v>83</v>
      </c>
      <c r="C12" s="89" t="s">
        <v>115</v>
      </c>
      <c r="D12" s="89" t="s">
        <v>84</v>
      </c>
      <c r="E12" s="89" t="s">
        <v>106</v>
      </c>
      <c r="F12" s="94" t="s">
        <v>81</v>
      </c>
    </row>
    <row r="13" spans="1:6">
      <c r="B13" s="83" t="str">
        <f>'Marginal Market Share'!A13</f>
        <v>Electric Resistance</v>
      </c>
      <c r="C13" s="84">
        <f>'Average Market Share'!B5</f>
        <v>1</v>
      </c>
      <c r="D13" s="84">
        <f>'Average Market Share'!W5</f>
        <v>0.78487062976286126</v>
      </c>
      <c r="E13" s="84">
        <f>'Average Market Share'!W13</f>
        <v>0.21092188755086907</v>
      </c>
      <c r="F13" s="85">
        <f>E13-D13</f>
        <v>-0.57394874221199221</v>
      </c>
    </row>
    <row r="14" spans="1:6">
      <c r="B14" s="83" t="str">
        <f>'Marginal Market Share'!A14</f>
        <v>HPWH</v>
      </c>
      <c r="C14" s="84">
        <f>'Average Market Share'!B6</f>
        <v>0</v>
      </c>
      <c r="D14" s="84">
        <f>'Average Market Share'!W6</f>
        <v>4.3639733682795973E-2</v>
      </c>
      <c r="E14" s="84">
        <f>'Average Market Share'!W14</f>
        <v>0.48673949176611092</v>
      </c>
      <c r="F14" s="85">
        <f>E14-D14</f>
        <v>0.44309975808331492</v>
      </c>
    </row>
    <row r="15" spans="1:6">
      <c r="B15" s="83" t="str">
        <f>'Marginal Market Share'!A15</f>
        <v>Gas Tank</v>
      </c>
      <c r="C15" s="84">
        <f>'Average Market Share'!B7</f>
        <v>0</v>
      </c>
      <c r="D15" s="84">
        <f>'Average Market Share'!W7</f>
        <v>0.12156706725974503</v>
      </c>
      <c r="E15" s="84">
        <f>'Average Market Share'!W15</f>
        <v>0.30233862068302003</v>
      </c>
      <c r="F15" s="85">
        <f>E15-D15</f>
        <v>0.180771553423275</v>
      </c>
    </row>
    <row r="16" spans="1:6">
      <c r="B16" s="83" t="str">
        <f>'Marginal Market Share'!A16</f>
        <v>Instant Gas</v>
      </c>
      <c r="C16" s="84">
        <f>'Average Market Share'!B8</f>
        <v>0</v>
      </c>
      <c r="D16" s="84">
        <f>'Average Market Share'!W8</f>
        <v>1.0626188165695586E-2</v>
      </c>
      <c r="E16" s="84">
        <f>'Average Market Share'!W16</f>
        <v>0</v>
      </c>
      <c r="F16" s="85">
        <f>E16-D16</f>
        <v>-1.0626188165695586E-2</v>
      </c>
    </row>
    <row r="17" spans="2:7">
      <c r="B17" s="86" t="str">
        <f>'Marginal Market Share'!A17</f>
        <v>Condensing Gas</v>
      </c>
      <c r="C17" s="87">
        <f>'Average Market Share'!B9</f>
        <v>0</v>
      </c>
      <c r="D17" s="87">
        <f>'Average Market Share'!W9</f>
        <v>3.9296381128902186E-2</v>
      </c>
      <c r="E17" s="87">
        <f>'Average Market Share'!W17</f>
        <v>0</v>
      </c>
      <c r="F17" s="88">
        <f>E17-D17</f>
        <v>-3.9296381128902186E-2</v>
      </c>
    </row>
    <row r="18" spans="2:7">
      <c r="B18" s="97"/>
      <c r="C18" s="84"/>
      <c r="D18" s="84"/>
      <c r="E18" s="84"/>
      <c r="F18" s="84"/>
    </row>
    <row r="19" spans="2:7" ht="31.5" customHeight="1">
      <c r="B19" s="179" t="str">
        <f>CONCATENATE("BAU Case Average Market Shares (%) - ",State,", Single Family, ", SpaceHeat, ", ", TankSize,", ", StartWH, " is starting water heater")</f>
        <v>BAU Case Average Market Shares (%) - Washington, Single Family, Gas FAF, &lt;=55 Gallons, Electric Resistance is starting water heater</v>
      </c>
      <c r="C19" s="180"/>
      <c r="D19" s="180"/>
      <c r="E19" s="180"/>
      <c r="F19" s="180"/>
      <c r="G19" s="180"/>
    </row>
    <row r="20" spans="2:7">
      <c r="B20" s="81" t="s">
        <v>83</v>
      </c>
      <c r="C20" s="89">
        <v>2015</v>
      </c>
      <c r="D20" s="89">
        <v>2020</v>
      </c>
      <c r="E20" s="89">
        <v>2025</v>
      </c>
      <c r="F20" s="89">
        <v>2030</v>
      </c>
      <c r="G20" s="94">
        <v>2035</v>
      </c>
    </row>
    <row r="21" spans="2:7">
      <c r="B21" s="83" t="str">
        <f>'Average Market Share'!A5</f>
        <v>Electric Resistance</v>
      </c>
      <c r="C21" s="84">
        <f>'Average Market Share'!C5</f>
        <v>0.98750249637975784</v>
      </c>
      <c r="D21" s="84">
        <f>'Average Market Share'!H5</f>
        <v>0.93665376586913229</v>
      </c>
      <c r="E21" s="84">
        <f>'Average Market Share'!M5</f>
        <v>0.89691507888570876</v>
      </c>
      <c r="F21" s="84">
        <f>'Average Market Share'!R5</f>
        <v>0.85165986119982007</v>
      </c>
      <c r="G21" s="85">
        <f>'Average Market Share'!W5</f>
        <v>0.78487062976286126</v>
      </c>
    </row>
    <row r="22" spans="2:7">
      <c r="B22" s="83" t="str">
        <f>'Average Market Share'!A6</f>
        <v>HPWH</v>
      </c>
      <c r="C22" s="84">
        <f>'Average Market Share'!C6</f>
        <v>7.7586121152387631E-6</v>
      </c>
      <c r="D22" s="84">
        <f>'Average Market Share'!H6</f>
        <v>3.2827982909663386E-4</v>
      </c>
      <c r="E22" s="84">
        <f>'Average Market Share'!M6</f>
        <v>3.1820910810411254E-3</v>
      </c>
      <c r="F22" s="84">
        <f>'Average Market Share'!R6</f>
        <v>1.5268143356149793E-2</v>
      </c>
      <c r="G22" s="85">
        <f>'Average Market Share'!W6</f>
        <v>4.3639733682795973E-2</v>
      </c>
    </row>
    <row r="23" spans="2:7">
      <c r="B23" s="83" t="str">
        <f>'Average Market Share'!A7</f>
        <v>Gas Tank</v>
      </c>
      <c r="C23" s="84">
        <f>'Average Market Share'!C7</f>
        <v>1.2481209504187851E-2</v>
      </c>
      <c r="D23" s="84">
        <f>'Average Market Share'!H7</f>
        <v>6.2653300413434504E-2</v>
      </c>
      <c r="E23" s="84">
        <f>'Average Market Share'!M7</f>
        <v>9.6331062690933264E-2</v>
      </c>
      <c r="F23" s="84">
        <f>'Average Market Share'!R7</f>
        <v>0.11576410968080346</v>
      </c>
      <c r="G23" s="85">
        <f>'Average Market Share'!W7</f>
        <v>0.12156706725974503</v>
      </c>
    </row>
    <row r="24" spans="2:7">
      <c r="B24" s="83" t="str">
        <f>'Average Market Share'!A8</f>
        <v>Instant Gas</v>
      </c>
      <c r="C24" s="84">
        <f>'Average Market Share'!C8</f>
        <v>1.758477554149566E-6</v>
      </c>
      <c r="D24" s="84">
        <f>'Average Market Share'!H8</f>
        <v>7.5685704772794355E-5</v>
      </c>
      <c r="E24" s="84">
        <f>'Average Market Share'!M8</f>
        <v>7.4763052017260215E-4</v>
      </c>
      <c r="F24" s="84">
        <f>'Average Market Share'!R8</f>
        <v>3.6536159816911154E-3</v>
      </c>
      <c r="G24" s="85">
        <f>'Average Market Share'!W8</f>
        <v>1.0626188165695586E-2</v>
      </c>
    </row>
    <row r="25" spans="2:7">
      <c r="B25" s="86" t="str">
        <f>'Average Market Share'!A9</f>
        <v>Condensing Gas</v>
      </c>
      <c r="C25" s="87">
        <f>'Average Market Share'!C9</f>
        <v>6.7770263848920355E-6</v>
      </c>
      <c r="D25" s="87">
        <f>'Average Market Share'!H9</f>
        <v>2.8896818356368434E-4</v>
      </c>
      <c r="E25" s="87">
        <f>'Average Market Share'!M9</f>
        <v>2.8241368221441935E-3</v>
      </c>
      <c r="F25" s="87">
        <f>'Average Market Share'!R9</f>
        <v>1.3654269781535638E-2</v>
      </c>
      <c r="G25" s="88">
        <f>'Average Market Share'!W9</f>
        <v>3.9296381128902186E-2</v>
      </c>
    </row>
    <row r="26" spans="2:7">
      <c r="B26" s="97"/>
      <c r="C26" s="84"/>
      <c r="D26" s="84"/>
      <c r="E26" s="84"/>
      <c r="F26" s="84"/>
      <c r="G26" s="84"/>
    </row>
    <row r="27" spans="2:7" ht="33.75" customHeight="1">
      <c r="B27" s="179" t="str">
        <f>CONCATENATE("Least Cost Case Average Market Shares (%) - ",State,", Single Family, ", SpaceHeat, ", ", TankSize,", ", StartWH, " is starting water heater")</f>
        <v>Least Cost Case Average Market Shares (%) - Washington, Single Family, Gas FAF, &lt;=55 Gallons, Electric Resistance is starting water heater</v>
      </c>
      <c r="C27" s="180"/>
      <c r="D27" s="180"/>
      <c r="E27" s="180"/>
      <c r="F27" s="180"/>
      <c r="G27" s="180"/>
    </row>
    <row r="28" spans="2:7">
      <c r="B28" s="81" t="s">
        <v>83</v>
      </c>
      <c r="C28" s="89">
        <v>2015</v>
      </c>
      <c r="D28" s="89">
        <v>2020</v>
      </c>
      <c r="E28" s="89">
        <v>2025</v>
      </c>
      <c r="F28" s="89">
        <v>2030</v>
      </c>
      <c r="G28" s="94">
        <v>2035</v>
      </c>
    </row>
    <row r="29" spans="2:7">
      <c r="B29" s="83" t="str">
        <f>'Average Market Share'!A13</f>
        <v>Electric Resistance</v>
      </c>
      <c r="C29" s="84">
        <f>'Average Market Share'!C13</f>
        <v>0.9285714285714286</v>
      </c>
      <c r="D29" s="84">
        <f>'Average Market Share'!H13</f>
        <v>0.64104999298761578</v>
      </c>
      <c r="E29" s="84">
        <f>'Average Market Share'!M13</f>
        <v>0.44255625454860836</v>
      </c>
      <c r="F29" s="84">
        <f>'Average Market Share'!R13</f>
        <v>0.30552381340385787</v>
      </c>
      <c r="G29" s="85">
        <f>'Average Market Share'!W13</f>
        <v>0.21092188755086907</v>
      </c>
    </row>
    <row r="30" spans="2:7">
      <c r="B30" s="83" t="str">
        <f>'Average Market Share'!A14</f>
        <v>HPWH</v>
      </c>
      <c r="C30" s="84">
        <f>'Average Market Share'!C14</f>
        <v>0</v>
      </c>
      <c r="D30" s="84">
        <f>'Average Market Share'!H14</f>
        <v>0</v>
      </c>
      <c r="E30" s="84">
        <f>'Average Market Share'!M14</f>
        <v>0</v>
      </c>
      <c r="F30" s="84">
        <f>'Average Market Share'!R14</f>
        <v>0.25653373594335699</v>
      </c>
      <c r="G30" s="85">
        <f>'Average Market Share'!W14</f>
        <v>0.48673949176611092</v>
      </c>
    </row>
    <row r="31" spans="2:7">
      <c r="B31" s="83" t="str">
        <f>'Average Market Share'!A15</f>
        <v>Gas Tank</v>
      </c>
      <c r="C31" s="84">
        <f>'Average Market Share'!C15</f>
        <v>7.1428571428571425E-2</v>
      </c>
      <c r="D31" s="84">
        <f>'Average Market Share'!H15</f>
        <v>0.35895000701238428</v>
      </c>
      <c r="E31" s="84">
        <f>'Average Market Share'!M15</f>
        <v>0.55744374545139164</v>
      </c>
      <c r="F31" s="84">
        <f>'Average Market Share'!R15</f>
        <v>0.43794245065278514</v>
      </c>
      <c r="G31" s="85">
        <f>'Average Market Share'!W15</f>
        <v>0.30233862068302003</v>
      </c>
    </row>
    <row r="32" spans="2:7">
      <c r="B32" s="83" t="str">
        <f>'Average Market Share'!A16</f>
        <v>Instant Gas</v>
      </c>
      <c r="C32" s="84">
        <f>'Average Market Share'!C16</f>
        <v>0</v>
      </c>
      <c r="D32" s="84">
        <f>'Average Market Share'!H16</f>
        <v>0</v>
      </c>
      <c r="E32" s="84">
        <f>'Average Market Share'!M16</f>
        <v>0</v>
      </c>
      <c r="F32" s="84">
        <f>'Average Market Share'!R16</f>
        <v>0</v>
      </c>
      <c r="G32" s="85">
        <f>'Average Market Share'!W16</f>
        <v>0</v>
      </c>
    </row>
    <row r="33" spans="2:7">
      <c r="B33" s="86" t="str">
        <f>'Average Market Share'!A17</f>
        <v>Condensing Gas</v>
      </c>
      <c r="C33" s="87">
        <f>'Average Market Share'!C17</f>
        <v>0</v>
      </c>
      <c r="D33" s="87">
        <f>'Average Market Share'!H17</f>
        <v>0</v>
      </c>
      <c r="E33" s="87">
        <f>'Average Market Share'!M17</f>
        <v>0</v>
      </c>
      <c r="F33" s="87">
        <f>'Average Market Share'!R17</f>
        <v>0</v>
      </c>
      <c r="G33" s="88">
        <f>'Average Market Share'!W17</f>
        <v>0</v>
      </c>
    </row>
    <row r="34" spans="2:7">
      <c r="B34" s="45"/>
      <c r="C34" s="80"/>
      <c r="D34" s="96"/>
    </row>
    <row r="35" spans="2:7" ht="34.5" customHeight="1">
      <c r="B35" s="179" t="str">
        <f>CONCATENATE("Change in Natural Gas Usage Least Cost vs BAU Case (tBtu) - ",State,", Single Family, ", SpaceHeat, ", ", TankSize,", ", StartWH, " is starting water heater")</f>
        <v>Change in Natural Gas Usage Least Cost vs BAU Case (tBtu) - Washington, Single Family, Gas FAF, &lt;=55 Gallons, Electric Resistance is starting water heater</v>
      </c>
      <c r="C35" s="180"/>
      <c r="D35" s="180"/>
      <c r="E35" s="180"/>
      <c r="F35" s="180"/>
      <c r="G35" s="180"/>
    </row>
    <row r="36" spans="2:7">
      <c r="B36" s="81"/>
      <c r="C36" s="89">
        <v>2015</v>
      </c>
      <c r="D36" s="89">
        <v>2020</v>
      </c>
      <c r="E36" s="89">
        <v>2025</v>
      </c>
      <c r="F36" s="89">
        <v>2030</v>
      </c>
      <c r="G36" s="94">
        <v>2035</v>
      </c>
    </row>
    <row r="37" spans="2:7">
      <c r="B37" s="83" t="s">
        <v>166</v>
      </c>
      <c r="C37" s="133">
        <f>'Net Reduction in Gas'!C5</f>
        <v>0.42473790071886158</v>
      </c>
      <c r="D37" s="133">
        <f>'Net Reduction in Gas'!H5</f>
        <v>2.1335907004692038</v>
      </c>
      <c r="E37" s="133">
        <f>'Net Reduction in Gas'!M5</f>
        <v>3.3079004197691901</v>
      </c>
      <c r="F37" s="133">
        <f>'Net Reduction in Gas'!R5</f>
        <v>2.2495157208271892</v>
      </c>
      <c r="G37" s="134">
        <f>'Net Reduction in Gas'!W5</f>
        <v>1.0945434462198891</v>
      </c>
    </row>
    <row r="38" spans="2:7">
      <c r="B38" s="83" t="s">
        <v>165</v>
      </c>
      <c r="C38" s="133">
        <f>-'Net Reduction in Gas'!C6</f>
        <v>-0.53150038561367663</v>
      </c>
      <c r="D38" s="133">
        <f>-'Net Reduction in Gas'!H6</f>
        <v>-2.6672954289672868</v>
      </c>
      <c r="E38" s="133">
        <f>-'Net Reduction in Gas'!M6</f>
        <v>-4.1112456852347323</v>
      </c>
      <c r="F38" s="133">
        <f>-'Net Reduction in Gas'!R6</f>
        <v>-3.8917777522637715</v>
      </c>
      <c r="G38" s="134">
        <f>-'Net Reduction in Gas'!W6</f>
        <v>-3.2779949630623348</v>
      </c>
    </row>
    <row r="39" spans="2:7">
      <c r="B39" s="86" t="s">
        <v>154</v>
      </c>
      <c r="C39" s="132">
        <f>'Net Reduction in Gas'!C7</f>
        <v>-0.10676248489481505</v>
      </c>
      <c r="D39" s="132">
        <f>'Net Reduction in Gas'!H7</f>
        <v>-0.53370472849808293</v>
      </c>
      <c r="E39" s="132">
        <f>'Net Reduction in Gas'!M7</f>
        <v>-0.80334526546554219</v>
      </c>
      <c r="F39" s="132">
        <f>'Net Reduction in Gas'!R7</f>
        <v>-1.6422620314365823</v>
      </c>
      <c r="G39" s="135">
        <f>'Net Reduction in Gas'!W7</f>
        <v>-2.183451516842446</v>
      </c>
    </row>
    <row r="40" spans="2:7">
      <c r="B40" s="97"/>
      <c r="C40" s="84"/>
      <c r="D40" s="84"/>
      <c r="E40" s="84"/>
      <c r="F40" s="84"/>
      <c r="G40" s="84"/>
    </row>
    <row r="41" spans="2:7" ht="36" customHeight="1">
      <c r="B41" s="181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Washington, Single Family, Gas FAF, &lt;=55 Gallons, Electric Resistance is starting water heater</v>
      </c>
      <c r="C41" s="182"/>
      <c r="D41" s="182"/>
      <c r="E41" s="182"/>
      <c r="F41" s="182"/>
      <c r="G41" s="182"/>
    </row>
    <row r="42" spans="2:7" ht="31.5">
      <c r="B42" s="66" t="s">
        <v>77</v>
      </c>
      <c r="C42" s="137" t="str">
        <f>'Total Resource Cost'!B4</f>
        <v>NPV (2012 M$)</v>
      </c>
      <c r="D42" s="17"/>
      <c r="E42" s="17"/>
      <c r="F42" s="17"/>
    </row>
    <row r="43" spans="2:7">
      <c r="B43" s="167" t="str">
        <f>'Total Resource Cost'!A5</f>
        <v>Consumer Cost Reduction</v>
      </c>
      <c r="C43" s="168">
        <f>'Consumer Cost'!B7</f>
        <v>92.185093927155776</v>
      </c>
      <c r="D43" s="166"/>
      <c r="E43" s="166"/>
      <c r="F43" s="2"/>
    </row>
    <row r="44" spans="2:7">
      <c r="B44" s="167" t="str">
        <f>'Total Resource Cost'!A6</f>
        <v>Utility Cost Reduction</v>
      </c>
      <c r="C44" s="134">
        <f>'Utility Cost'!B4</f>
        <v>213.55004135649119</v>
      </c>
      <c r="D44" s="131"/>
    </row>
    <row r="45" spans="2:7">
      <c r="B45" s="169" t="str">
        <f>'Total Resource Cost'!A7</f>
        <v>Total Resource Cost Reduction</v>
      </c>
      <c r="C45" s="135">
        <f>'Total Resource Cost'!B7</f>
        <v>305.73513528364771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W13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 ht="24" customHeight="1">
      <c r="A3" s="26" t="s">
        <v>30</v>
      </c>
    </row>
    <row r="4" spans="1:23" s="23" customFormat="1">
      <c r="A4" s="25" t="str">
        <f>+'Device Energy Use'!A4</f>
        <v>Water Heat Ending</v>
      </c>
      <c r="B4" s="21">
        <f>+'Fuel Cost'!B4</f>
        <v>2014</v>
      </c>
      <c r="C4" s="21">
        <f>+'Fuel Cost'!C4</f>
        <v>2015</v>
      </c>
      <c r="D4" s="21">
        <f>+'Fuel Cost'!D4</f>
        <v>2016</v>
      </c>
      <c r="E4" s="21">
        <f>+'Fuel Cost'!E4</f>
        <v>2017</v>
      </c>
      <c r="F4" s="21">
        <f>+'Fuel Cost'!F4</f>
        <v>2018</v>
      </c>
      <c r="G4" s="21">
        <f>+'Fuel Cost'!G4</f>
        <v>2019</v>
      </c>
      <c r="H4" s="21">
        <f>+'Fuel Cost'!H4</f>
        <v>2020</v>
      </c>
      <c r="I4" s="21">
        <f>+'Fuel Cost'!I4</f>
        <v>2021</v>
      </c>
      <c r="J4" s="21">
        <f>+'Fuel Cost'!J4</f>
        <v>2022</v>
      </c>
      <c r="K4" s="21">
        <f>+'Fuel Cost'!K4</f>
        <v>2023</v>
      </c>
      <c r="L4" s="21">
        <f>+'Fuel Cost'!L4</f>
        <v>2024</v>
      </c>
      <c r="M4" s="21">
        <f>+'Fuel Cost'!M4</f>
        <v>2025</v>
      </c>
      <c r="N4" s="21">
        <f>+'Fuel Cost'!N4</f>
        <v>2026</v>
      </c>
      <c r="O4" s="21">
        <f>+'Fuel Cost'!O4</f>
        <v>2027</v>
      </c>
      <c r="P4" s="21">
        <f>+'Fuel Cost'!P4</f>
        <v>2028</v>
      </c>
      <c r="Q4" s="21">
        <f>+'Fuel Cost'!Q4</f>
        <v>2029</v>
      </c>
      <c r="R4" s="21">
        <f>+'Fuel Cost'!R4</f>
        <v>2030</v>
      </c>
      <c r="S4" s="21">
        <f>+'Fuel Cost'!S4</f>
        <v>2031</v>
      </c>
      <c r="T4" s="21">
        <f>+'Fuel Cost'!T4</f>
        <v>2032</v>
      </c>
      <c r="U4" s="21">
        <f>+'Fuel Cost'!U4</f>
        <v>2033</v>
      </c>
      <c r="V4" s="21">
        <f>+'Fuel Cost'!V4</f>
        <v>2034</v>
      </c>
      <c r="W4" s="21">
        <f>+'Fuel Cost'!W4</f>
        <v>2035</v>
      </c>
    </row>
    <row r="5" spans="1:23">
      <c r="A5" s="9" t="str">
        <f>+'Device Energy Use'!A5</f>
        <v>Electric Resistance</v>
      </c>
      <c r="B5" s="28">
        <f>'Capital Cost'!$E5*CapitalChargeRate+'Fuel Cost'!B5 + 'O&amp;M Cost'!$D5</f>
        <v>360.7809513580512</v>
      </c>
      <c r="C5" s="28">
        <f>'Capital Cost'!$E5*CapitalChargeRate+'Fuel Cost'!C5 + 'O&amp;M Cost'!$D5</f>
        <v>364.59763592798538</v>
      </c>
      <c r="D5" s="28">
        <f>'Capital Cost'!$E5*CapitalChargeRate+'Fuel Cost'!D5 + 'O&amp;M Cost'!$D5</f>
        <v>368.46393739732878</v>
      </c>
      <c r="E5" s="28">
        <f>'Capital Cost'!$E5*CapitalChargeRate+'Fuel Cost'!E5 + 'O&amp;M Cost'!$D5</f>
        <v>372.38050078577362</v>
      </c>
      <c r="F5" s="28">
        <f>'Capital Cost'!$E5*CapitalChargeRate+'Fuel Cost'!F5 + 'O&amp;M Cost'!$D5</f>
        <v>376.34797949826816</v>
      </c>
      <c r="G5" s="28">
        <f>'Capital Cost'!$E5*CapitalChargeRate+'Fuel Cost'!G5 + 'O&amp;M Cost'!$D5</f>
        <v>380.36703543402518</v>
      </c>
      <c r="H5" s="28">
        <f>'Capital Cost'!$E5*CapitalChargeRate+'Fuel Cost'!H5 + 'O&amp;M Cost'!$D5</f>
        <v>384.43833909694717</v>
      </c>
      <c r="I5" s="28">
        <f>'Capital Cost'!$E5*CapitalChargeRate+'Fuel Cost'!I5 + 'O&amp;M Cost'!$D5</f>
        <v>388.562569707487</v>
      </c>
      <c r="J5" s="28">
        <f>'Capital Cost'!$E5*CapitalChargeRate+'Fuel Cost'!J5 + 'O&amp;M Cost'!$D5</f>
        <v>392.7404153159639</v>
      </c>
      <c r="K5" s="28">
        <f>'Capital Cost'!$E5*CapitalChargeRate+'Fuel Cost'!K5 + 'O&amp;M Cost'!$D5</f>
        <v>396.97257291735093</v>
      </c>
      <c r="L5" s="28">
        <f>'Capital Cost'!$E5*CapitalChargeRate+'Fuel Cost'!L5 + 'O&amp;M Cost'!$D5</f>
        <v>401.25974856755602</v>
      </c>
      <c r="M5" s="28">
        <f>'Capital Cost'!$E5*CapitalChargeRate+'Fuel Cost'!M5 + 'O&amp;M Cost'!$D5</f>
        <v>405.60265750121391</v>
      </c>
      <c r="N5" s="28">
        <f>'Capital Cost'!$E5*CapitalChargeRate+'Fuel Cost'!N5 + 'O&amp;M Cost'!$D5</f>
        <v>410.00202425100917</v>
      </c>
      <c r="O5" s="28">
        <f>'Capital Cost'!$E5*CapitalChargeRate+'Fuel Cost'!O5 + 'O&amp;M Cost'!$D5</f>
        <v>414.45858276855188</v>
      </c>
      <c r="P5" s="28">
        <f>'Capital Cost'!$E5*CapitalChargeRate+'Fuel Cost'!P5 + 'O&amp;M Cost'!$D5</f>
        <v>418.97307654682254</v>
      </c>
      <c r="Q5" s="28">
        <f>'Capital Cost'!$E5*CapitalChargeRate+'Fuel Cost'!Q5 + 'O&amp;M Cost'!$D5</f>
        <v>423.54625874421083</v>
      </c>
      <c r="R5" s="28">
        <f>'Capital Cost'!$E5*CapitalChargeRate+'Fuel Cost'!R5 + 'O&amp;M Cost'!$D5</f>
        <v>428.17889231016511</v>
      </c>
      <c r="S5" s="28">
        <f>'Capital Cost'!$E5*CapitalChargeRate+'Fuel Cost'!S5 + 'O&amp;M Cost'!$D5</f>
        <v>432.87175011247678</v>
      </c>
      <c r="T5" s="28">
        <f>'Capital Cost'!$E5*CapitalChargeRate+'Fuel Cost'!T5 + 'O&amp;M Cost'!$D5</f>
        <v>437.62561506621853</v>
      </c>
      <c r="U5" s="28">
        <f>'Capital Cost'!$E5*CapitalChargeRate+'Fuel Cost'!U5 + 'O&amp;M Cost'!$D5</f>
        <v>442.44128026435897</v>
      </c>
      <c r="V5" s="28">
        <f>'Capital Cost'!$E5*CapitalChargeRate+'Fuel Cost'!V5 + 'O&amp;M Cost'!$D5</f>
        <v>447.31954911007517</v>
      </c>
      <c r="W5" s="28">
        <f>'Capital Cost'!$E5*CapitalChargeRate+'Fuel Cost'!W5 + 'O&amp;M Cost'!$D5</f>
        <v>452.26123545078565</v>
      </c>
    </row>
    <row r="6" spans="1:23">
      <c r="A6" s="9" t="str">
        <f>+'Device Energy Use'!A6</f>
        <v>HPWH</v>
      </c>
      <c r="B6" s="28">
        <f>'Capital Cost'!$E6*CapitalChargeRate+'Fuel Cost'!B6 + 'O&amp;M Cost'!$D6</f>
        <v>314.37126157291812</v>
      </c>
      <c r="C6" s="28">
        <f>'Capital Cost'!$E6*CapitalChargeRate+'Fuel Cost'!C6 + 'O&amp;M Cost'!$D6</f>
        <v>316.18418674363687</v>
      </c>
      <c r="D6" s="28">
        <f>'Capital Cost'!$E6*CapitalChargeRate+'Fuel Cost'!D6 + 'O&amp;M Cost'!$D6</f>
        <v>318.02067994157494</v>
      </c>
      <c r="E6" s="28">
        <f>'Capital Cost'!$E6*CapitalChargeRate+'Fuel Cost'!E6 + 'O&amp;M Cost'!$D6</f>
        <v>319.88104755108623</v>
      </c>
      <c r="F6" s="28">
        <f>'Capital Cost'!$E6*CapitalChargeRate+'Fuel Cost'!F6 + 'O&amp;M Cost'!$D6</f>
        <v>321.76559993952117</v>
      </c>
      <c r="G6" s="28">
        <f>'Capital Cost'!$E6*CapitalChargeRate+'Fuel Cost'!G6 + 'O&amp;M Cost'!$D6</f>
        <v>323.6746515090058</v>
      </c>
      <c r="H6" s="28">
        <f>'Capital Cost'!$E6*CapitalChargeRate+'Fuel Cost'!H6 + 'O&amp;M Cost'!$D6</f>
        <v>325.60852074889368</v>
      </c>
      <c r="I6" s="28">
        <f>'Capital Cost'!$E6*CapitalChargeRate+'Fuel Cost'!I6 + 'O&amp;M Cost'!$D6</f>
        <v>327.56753028890012</v>
      </c>
      <c r="J6" s="28">
        <f>'Capital Cost'!$E6*CapitalChargeRate+'Fuel Cost'!J6 + 'O&amp;M Cost'!$D6</f>
        <v>329.5520069529266</v>
      </c>
      <c r="K6" s="28">
        <f>'Capital Cost'!$E6*CapitalChargeRate+'Fuel Cost'!K6 + 'O&amp;M Cost'!$D6</f>
        <v>331.56228181358551</v>
      </c>
      <c r="L6" s="28">
        <f>'Capital Cost'!$E6*CapitalChargeRate+'Fuel Cost'!L6 + 'O&amp;M Cost'!$D6</f>
        <v>333.59869024743296</v>
      </c>
      <c r="M6" s="28">
        <f>'Capital Cost'!$E6*CapitalChargeRate+'Fuel Cost'!M6 + 'O&amp;M Cost'!$D6</f>
        <v>335.66157199092038</v>
      </c>
      <c r="N6" s="28">
        <f>'Capital Cost'!$E6*CapitalChargeRate+'Fuel Cost'!N6 + 'O&amp;M Cost'!$D6</f>
        <v>337.75127119707315</v>
      </c>
      <c r="O6" s="28">
        <f>'Capital Cost'!$E6*CapitalChargeRate+'Fuel Cost'!O6 + 'O&amp;M Cost'!$D6</f>
        <v>339.86813649290593</v>
      </c>
      <c r="P6" s="28">
        <f>'Capital Cost'!$E6*CapitalChargeRate+'Fuel Cost'!P6 + 'O&amp;M Cost'!$D6</f>
        <v>342.01252103758452</v>
      </c>
      <c r="Q6" s="28">
        <f>'Capital Cost'!$E6*CapitalChargeRate+'Fuel Cost'!Q6 + 'O&amp;M Cost'!$D6</f>
        <v>344.18478258134394</v>
      </c>
      <c r="R6" s="28">
        <f>'Capital Cost'!$E6*CapitalChargeRate+'Fuel Cost'!R6 + 'O&amp;M Cost'!$D6</f>
        <v>346.38528352517221</v>
      </c>
      <c r="S6" s="28">
        <f>'Capital Cost'!$E6*CapitalChargeRate+'Fuel Cost'!S6 + 'O&amp;M Cost'!$D6</f>
        <v>348.61439098127028</v>
      </c>
      <c r="T6" s="28">
        <f>'Capital Cost'!$E6*CapitalChargeRate+'Fuel Cost'!T6 + 'O&amp;M Cost'!$D6</f>
        <v>350.87247683429757</v>
      </c>
      <c r="U6" s="28">
        <f>'Capital Cost'!$E6*CapitalChargeRate+'Fuel Cost'!U6 + 'O&amp;M Cost'!$D6</f>
        <v>353.15991780341426</v>
      </c>
      <c r="V6" s="28">
        <f>'Capital Cost'!$E6*CapitalChargeRate+'Fuel Cost'!V6 + 'O&amp;M Cost'!$D6</f>
        <v>355.47709550512945</v>
      </c>
      <c r="W6" s="28">
        <f>'Capital Cost'!$E6*CapitalChargeRate+'Fuel Cost'!W6 + 'O&amp;M Cost'!$D6</f>
        <v>357.824396516967</v>
      </c>
    </row>
    <row r="7" spans="1:23">
      <c r="A7" s="9" t="str">
        <f>+'Device Energy Use'!A7</f>
        <v>Gas Tank</v>
      </c>
      <c r="B7" s="28">
        <f>'Capital Cost'!$E7*CapitalChargeRate+'Fuel Cost'!B7 + 'O&amp;M Cost'!$D7</f>
        <v>296.99683420856138</v>
      </c>
      <c r="C7" s="28">
        <f>'Capital Cost'!$E7*CapitalChargeRate+'Fuel Cost'!C7 + 'O&amp;M Cost'!$D7</f>
        <v>300.08760276461328</v>
      </c>
      <c r="D7" s="28">
        <f>'Capital Cost'!$E7*CapitalChargeRate+'Fuel Cost'!D7 + 'O&amp;M Cost'!$D7</f>
        <v>303.22473284900593</v>
      </c>
      <c r="E7" s="28">
        <f>'Capital Cost'!$E7*CapitalChargeRate+'Fuel Cost'!E7 + 'O&amp;M Cost'!$D7</f>
        <v>306.40891988466456</v>
      </c>
      <c r="F7" s="28">
        <f>'Capital Cost'!$E7*CapitalChargeRate+'Fuel Cost'!F7 + 'O&amp;M Cost'!$D7</f>
        <v>309.64086972585801</v>
      </c>
      <c r="G7" s="28">
        <f>'Capital Cost'!$E7*CapitalChargeRate+'Fuel Cost'!G7 + 'O&amp;M Cost'!$D7</f>
        <v>312.92129881466934</v>
      </c>
      <c r="H7" s="28">
        <f>'Capital Cost'!$E7*CapitalChargeRate+'Fuel Cost'!H7 + 'O&amp;M Cost'!$D7</f>
        <v>316.25093433981283</v>
      </c>
      <c r="I7" s="28">
        <f>'Capital Cost'!$E7*CapitalChargeRate+'Fuel Cost'!I7 + 'O&amp;M Cost'!$D7</f>
        <v>319.63051439783351</v>
      </c>
      <c r="J7" s="28">
        <f>'Capital Cost'!$E7*CapitalChargeRate+'Fuel Cost'!J7 + 'O&amp;M Cost'!$D7</f>
        <v>323.06078815672447</v>
      </c>
      <c r="K7" s="28">
        <f>'Capital Cost'!$E7*CapitalChargeRate+'Fuel Cost'!K7 + 'O&amp;M Cost'!$D7</f>
        <v>326.54251602199884</v>
      </c>
      <c r="L7" s="28">
        <f>'Capital Cost'!$E7*CapitalChargeRate+'Fuel Cost'!L7 + 'O&amp;M Cost'!$D7</f>
        <v>330.07646980525237</v>
      </c>
      <c r="M7" s="28">
        <f>'Capital Cost'!$E7*CapitalChargeRate+'Fuel Cost'!M7 + 'O&amp;M Cost'!$D7</f>
        <v>333.66343289525457</v>
      </c>
      <c r="N7" s="28">
        <f>'Capital Cost'!$E7*CapitalChargeRate+'Fuel Cost'!N7 + 'O&amp;M Cost'!$D7</f>
        <v>337.30420043160689</v>
      </c>
      <c r="O7" s="28">
        <f>'Capital Cost'!$E7*CapitalChargeRate+'Fuel Cost'!O7 + 'O&amp;M Cost'!$D7</f>
        <v>340.9995794810045</v>
      </c>
      <c r="P7" s="28">
        <f>'Capital Cost'!$E7*CapitalChargeRate+'Fuel Cost'!P7 + 'O&amp;M Cost'!$D7</f>
        <v>344.75038921614305</v>
      </c>
      <c r="Q7" s="28">
        <f>'Capital Cost'!$E7*CapitalChargeRate+'Fuel Cost'!Q7 + 'O&amp;M Cost'!$D7</f>
        <v>348.5574610973087</v>
      </c>
      <c r="R7" s="28">
        <f>'Capital Cost'!$E7*CapitalChargeRate+'Fuel Cost'!R7 + 'O&amp;M Cost'!$D7</f>
        <v>352.42163905669179</v>
      </c>
      <c r="S7" s="28">
        <f>'Capital Cost'!$E7*CapitalChargeRate+'Fuel Cost'!S7 + 'O&amp;M Cost'!$D7</f>
        <v>356.34377968546568</v>
      </c>
      <c r="T7" s="28">
        <f>'Capital Cost'!$E7*CapitalChargeRate+'Fuel Cost'!T7 + 'O&amp;M Cost'!$D7</f>
        <v>360.3247524236711</v>
      </c>
      <c r="U7" s="28">
        <f>'Capital Cost'!$E7*CapitalChargeRate+'Fuel Cost'!U7 + 'O&amp;M Cost'!$D7</f>
        <v>364.36543975294967</v>
      </c>
      <c r="V7" s="28">
        <f>'Capital Cost'!$E7*CapitalChargeRate+'Fuel Cost'!V7 + 'O&amp;M Cost'!$D7</f>
        <v>368.46673739216737</v>
      </c>
      <c r="W7" s="28">
        <f>'Capital Cost'!$E7*CapitalChargeRate+'Fuel Cost'!W7 + 'O&amp;M Cost'!$D7</f>
        <v>372.62955449597337</v>
      </c>
    </row>
    <row r="8" spans="1:23">
      <c r="A8" s="9" t="str">
        <f>+'Device Energy Use'!A8</f>
        <v>Instant Gas</v>
      </c>
      <c r="B8" s="28">
        <f>'Capital Cost'!$E8*CapitalChargeRate+'Fuel Cost'!B8 + 'O&amp;M Cost'!$D8</f>
        <v>600.5217103167729</v>
      </c>
      <c r="C8" s="28">
        <f>'Capital Cost'!$E8*CapitalChargeRate+'Fuel Cost'!C8 + 'O&amp;M Cost'!$D8</f>
        <v>602.86704172199825</v>
      </c>
      <c r="D8" s="28">
        <f>'Capital Cost'!$E8*CapitalChargeRate+'Fuel Cost'!D8 + 'O&amp;M Cost'!$D8</f>
        <v>605.24755309830198</v>
      </c>
      <c r="E8" s="28">
        <f>'Capital Cost'!$E8*CapitalChargeRate+'Fuel Cost'!E8 + 'O&amp;M Cost'!$D8</f>
        <v>607.66377214525028</v>
      </c>
      <c r="F8" s="28">
        <f>'Capital Cost'!$E8*CapitalChargeRate+'Fuel Cost'!F8 + 'O&amp;M Cost'!$D8</f>
        <v>610.11623447790294</v>
      </c>
      <c r="G8" s="28">
        <f>'Capital Cost'!$E8*CapitalChargeRate+'Fuel Cost'!G8 + 'O&amp;M Cost'!$D8</f>
        <v>612.60548374554537</v>
      </c>
      <c r="H8" s="28">
        <f>'Capital Cost'!$E8*CapitalChargeRate+'Fuel Cost'!H8 + 'O&amp;M Cost'!$D8</f>
        <v>615.13207175220236</v>
      </c>
      <c r="I8" s="28">
        <f>'Capital Cost'!$E8*CapitalChargeRate+'Fuel Cost'!I8 + 'O&amp;M Cost'!$D8</f>
        <v>617.69655857895918</v>
      </c>
      <c r="J8" s="28">
        <f>'Capital Cost'!$E8*CapitalChargeRate+'Fuel Cost'!J8 + 'O&amp;M Cost'!$D8</f>
        <v>620.29951270811739</v>
      </c>
      <c r="K8" s="28">
        <f>'Capital Cost'!$E8*CapitalChargeRate+'Fuel Cost'!K8 + 'O&amp;M Cost'!$D8</f>
        <v>622.94151114921306</v>
      </c>
      <c r="L8" s="28">
        <f>'Capital Cost'!$E8*CapitalChargeRate+'Fuel Cost'!L8 + 'O&amp;M Cost'!$D8</f>
        <v>625.62313956692492</v>
      </c>
      <c r="M8" s="28">
        <f>'Capital Cost'!$E8*CapitalChargeRate+'Fuel Cost'!M8 + 'O&amp;M Cost'!$D8</f>
        <v>628.34499241090271</v>
      </c>
      <c r="N8" s="28">
        <f>'Capital Cost'!$E8*CapitalChargeRate+'Fuel Cost'!N8 + 'O&amp;M Cost'!$D8</f>
        <v>631.10767304753995</v>
      </c>
      <c r="O8" s="28">
        <f>'Capital Cost'!$E8*CapitalChargeRate+'Fuel Cost'!O8 + 'O&amp;M Cost'!$D8</f>
        <v>633.91179389372701</v>
      </c>
      <c r="P8" s="28">
        <f>'Capital Cost'!$E8*CapitalChargeRate+'Fuel Cost'!P8 + 'O&amp;M Cost'!$D8</f>
        <v>636.75797655260658</v>
      </c>
      <c r="Q8" s="28">
        <f>'Capital Cost'!$E8*CapitalChargeRate+'Fuel Cost'!Q8 + 'O&amp;M Cost'!$D8</f>
        <v>639.64685195136963</v>
      </c>
      <c r="R8" s="28">
        <f>'Capital Cost'!$E8*CapitalChargeRate+'Fuel Cost'!R8 + 'O&amp;M Cost'!$D8</f>
        <v>642.57906048111408</v>
      </c>
      <c r="S8" s="28">
        <f>'Capital Cost'!$E8*CapitalChargeRate+'Fuel Cost'!S8 + 'O&amp;M Cost'!$D8</f>
        <v>645.55525213880446</v>
      </c>
      <c r="T8" s="28">
        <f>'Capital Cost'!$E8*CapitalChargeRate+'Fuel Cost'!T8 + 'O&amp;M Cost'!$D8</f>
        <v>648.57608667136037</v>
      </c>
      <c r="U8" s="28">
        <f>'Capital Cost'!$E8*CapitalChargeRate+'Fuel Cost'!U8 + 'O&amp;M Cost'!$D8</f>
        <v>651.64223372190463</v>
      </c>
      <c r="V8" s="28">
        <f>'Capital Cost'!$E8*CapitalChargeRate+'Fuel Cost'!V8 + 'O&amp;M Cost'!$D8</f>
        <v>654.75437297820713</v>
      </c>
      <c r="W8" s="28">
        <f>'Capital Cost'!$E8*CapitalChargeRate+'Fuel Cost'!W8 + 'O&amp;M Cost'!$D8</f>
        <v>657.91319432335399</v>
      </c>
    </row>
    <row r="9" spans="1:23">
      <c r="A9" s="9" t="str">
        <f>+'Device Energy Use'!A9</f>
        <v>Condensing Gas</v>
      </c>
      <c r="B9" s="28">
        <f>'Capital Cost'!$E9*CapitalChargeRate+'Fuel Cost'!B9 + 'O&amp;M Cost'!$D9</f>
        <v>333.69982580343128</v>
      </c>
      <c r="C9" s="28">
        <f>'Capital Cost'!$E9*CapitalChargeRate+'Fuel Cost'!C9 + 'O&amp;M Cost'!$D9</f>
        <v>335.33693533776437</v>
      </c>
      <c r="D9" s="28">
        <f>'Capital Cost'!$E9*CapitalChargeRate+'Fuel Cost'!D9 + 'O&amp;M Cost'!$D9</f>
        <v>336.99860151511245</v>
      </c>
      <c r="E9" s="28">
        <f>'Capital Cost'!$E9*CapitalChargeRate+'Fuel Cost'!E9 + 'O&amp;M Cost'!$D9</f>
        <v>338.6851926851208</v>
      </c>
      <c r="F9" s="28">
        <f>'Capital Cost'!$E9*CapitalChargeRate+'Fuel Cost'!F9 + 'O&amp;M Cost'!$D9</f>
        <v>340.39708272267922</v>
      </c>
      <c r="G9" s="28">
        <f>'Capital Cost'!$E9*CapitalChargeRate+'Fuel Cost'!G9 + 'O&amp;M Cost'!$D9</f>
        <v>342.13465111080109</v>
      </c>
      <c r="H9" s="28">
        <f>'Capital Cost'!$E9*CapitalChargeRate+'Fuel Cost'!H9 + 'O&amp;M Cost'!$D9</f>
        <v>343.89828302474473</v>
      </c>
      <c r="I9" s="28">
        <f>'Capital Cost'!$E9*CapitalChargeRate+'Fuel Cost'!I9 + 'O&amp;M Cost'!$D9</f>
        <v>345.6883694173975</v>
      </c>
      <c r="J9" s="28">
        <f>'Capital Cost'!$E9*CapitalChargeRate+'Fuel Cost'!J9 + 'O&amp;M Cost'!$D9</f>
        <v>347.50530710594006</v>
      </c>
      <c r="K9" s="28">
        <f>'Capital Cost'!$E9*CapitalChargeRate+'Fuel Cost'!K9 + 'O&amp;M Cost'!$D9</f>
        <v>349.34949885981081</v>
      </c>
      <c r="L9" s="28">
        <f>'Capital Cost'!$E9*CapitalChargeRate+'Fuel Cost'!L9 + 'O&amp;M Cost'!$D9</f>
        <v>351.22135348998961</v>
      </c>
      <c r="M9" s="28">
        <f>'Capital Cost'!$E9*CapitalChargeRate+'Fuel Cost'!M9 + 'O&amp;M Cost'!$D9</f>
        <v>353.12128593962109</v>
      </c>
      <c r="N9" s="28">
        <f>'Capital Cost'!$E9*CapitalChargeRate+'Fuel Cost'!N9 + 'O&amp;M Cost'!$D9</f>
        <v>355.04971737599703</v>
      </c>
      <c r="O9" s="28">
        <f>'Capital Cost'!$E9*CapitalChargeRate+'Fuel Cost'!O9 + 'O&amp;M Cost'!$D9</f>
        <v>357.00707528391865</v>
      </c>
      <c r="P9" s="28">
        <f>'Capital Cost'!$E9*CapitalChargeRate+'Fuel Cost'!P9 + 'O&amp;M Cost'!$D9</f>
        <v>358.99379356045904</v>
      </c>
      <c r="Q9" s="28">
        <f>'Capital Cost'!$E9*CapitalChargeRate+'Fuel Cost'!Q9 + 'O&amp;M Cost'!$D9</f>
        <v>361.01031261114753</v>
      </c>
      <c r="R9" s="28">
        <f>'Capital Cost'!$E9*CapitalChargeRate+'Fuel Cost'!R9 + 'O&amp;M Cost'!$D9</f>
        <v>363.05707944759638</v>
      </c>
      <c r="S9" s="28">
        <f>'Capital Cost'!$E9*CapitalChargeRate+'Fuel Cost'!S9 + 'O&amp;M Cost'!$D9</f>
        <v>365.13454778659195</v>
      </c>
      <c r="T9" s="28">
        <f>'Capital Cost'!$E9*CapitalChargeRate+'Fuel Cost'!T9 + 'O&amp;M Cost'!$D9</f>
        <v>367.24317815067246</v>
      </c>
      <c r="U9" s="28">
        <f>'Capital Cost'!$E9*CapitalChargeRate+'Fuel Cost'!U9 + 'O&amp;M Cost'!$D9</f>
        <v>369.38343797021417</v>
      </c>
      <c r="V9" s="28">
        <f>'Capital Cost'!$E9*CapitalChargeRate+'Fuel Cost'!V9 + 'O&amp;M Cost'!$D9</f>
        <v>371.55580168704898</v>
      </c>
      <c r="W9" s="28">
        <f>'Capital Cost'!$E9*CapitalChargeRate+'Fuel Cost'!W9 + 'O&amp;M Cost'!$D9</f>
        <v>373.76075085963635</v>
      </c>
    </row>
    <row r="11" spans="1:23">
      <c r="A11" s="29" t="s">
        <v>93</v>
      </c>
    </row>
    <row r="13" spans="1:23">
      <c r="A13" s="9" t="s">
        <v>97</v>
      </c>
      <c r="B13" s="28">
        <f t="shared" ref="B13:W13" si="0">MIN(B5:B9)</f>
        <v>296.99683420856138</v>
      </c>
      <c r="C13" s="28">
        <f t="shared" si="0"/>
        <v>300.08760276461328</v>
      </c>
      <c r="D13" s="28">
        <f t="shared" si="0"/>
        <v>303.22473284900593</v>
      </c>
      <c r="E13" s="28">
        <f t="shared" si="0"/>
        <v>306.40891988466456</v>
      </c>
      <c r="F13" s="28">
        <f t="shared" si="0"/>
        <v>309.64086972585801</v>
      </c>
      <c r="G13" s="28">
        <f t="shared" si="0"/>
        <v>312.92129881466934</v>
      </c>
      <c r="H13" s="28">
        <f t="shared" si="0"/>
        <v>316.25093433981283</v>
      </c>
      <c r="I13" s="28">
        <f t="shared" si="0"/>
        <v>319.63051439783351</v>
      </c>
      <c r="J13" s="28">
        <f t="shared" si="0"/>
        <v>323.06078815672447</v>
      </c>
      <c r="K13" s="28">
        <f t="shared" si="0"/>
        <v>326.54251602199884</v>
      </c>
      <c r="L13" s="28">
        <f t="shared" si="0"/>
        <v>330.07646980525237</v>
      </c>
      <c r="M13" s="28">
        <f t="shared" si="0"/>
        <v>333.66343289525457</v>
      </c>
      <c r="N13" s="28">
        <f t="shared" si="0"/>
        <v>337.30420043160689</v>
      </c>
      <c r="O13" s="28">
        <f t="shared" si="0"/>
        <v>339.86813649290593</v>
      </c>
      <c r="P13" s="28">
        <f t="shared" si="0"/>
        <v>342.01252103758452</v>
      </c>
      <c r="Q13" s="28">
        <f t="shared" si="0"/>
        <v>344.18478258134394</v>
      </c>
      <c r="R13" s="28">
        <f t="shared" si="0"/>
        <v>346.38528352517221</v>
      </c>
      <c r="S13" s="28">
        <f t="shared" si="0"/>
        <v>348.61439098127028</v>
      </c>
      <c r="T13" s="28">
        <f t="shared" si="0"/>
        <v>350.87247683429757</v>
      </c>
      <c r="U13" s="28">
        <f t="shared" si="0"/>
        <v>353.15991780341426</v>
      </c>
      <c r="V13" s="28">
        <f t="shared" si="0"/>
        <v>355.47709550512945</v>
      </c>
      <c r="W13" s="28">
        <f t="shared" si="0"/>
        <v>357.824396516967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W10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8" width="8.7109375" style="9" bestFit="1" customWidth="1"/>
    <col min="9" max="29" width="9.28515625" style="9" bestFit="1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 ht="24.75" customHeight="1">
      <c r="A3" s="26" t="s">
        <v>38</v>
      </c>
    </row>
    <row r="4" spans="1:23" s="22" customFormat="1">
      <c r="A4" s="20" t="str">
        <f>+'Device Energy Use'!A4</f>
        <v>Water Heat Ending</v>
      </c>
      <c r="B4" s="21">
        <f>+'Retail Rates'!B4</f>
        <v>2014</v>
      </c>
      <c r="C4" s="21">
        <f>+'Retail Rates'!C4</f>
        <v>2015</v>
      </c>
      <c r="D4" s="21">
        <f>+'Retail Rates'!D4</f>
        <v>2016</v>
      </c>
      <c r="E4" s="21">
        <f>+'Retail Rates'!E4</f>
        <v>2017</v>
      </c>
      <c r="F4" s="21">
        <f>+'Retail Rates'!F4</f>
        <v>2018</v>
      </c>
      <c r="G4" s="21">
        <f>+'Retail Rates'!G4</f>
        <v>2019</v>
      </c>
      <c r="H4" s="21">
        <f>+'Retail Rates'!H4</f>
        <v>2020</v>
      </c>
      <c r="I4" s="21">
        <f>+'Retail Rates'!I4</f>
        <v>2021</v>
      </c>
      <c r="J4" s="21">
        <f>+'Retail Rates'!J4</f>
        <v>2022</v>
      </c>
      <c r="K4" s="21">
        <f>+'Retail Rates'!K4</f>
        <v>2023</v>
      </c>
      <c r="L4" s="21">
        <f>+'Retail Rates'!L4</f>
        <v>2024</v>
      </c>
      <c r="M4" s="21">
        <f>+'Retail Rates'!M4</f>
        <v>2025</v>
      </c>
      <c r="N4" s="21">
        <f>+'Retail Rates'!N4</f>
        <v>2026</v>
      </c>
      <c r="O4" s="21">
        <f>+'Retail Rates'!O4</f>
        <v>2027</v>
      </c>
      <c r="P4" s="21">
        <f>+'Retail Rates'!P4</f>
        <v>2028</v>
      </c>
      <c r="Q4" s="21">
        <f>+'Retail Rates'!Q4</f>
        <v>2029</v>
      </c>
      <c r="R4" s="21">
        <f>+'Retail Rates'!R4</f>
        <v>2030</v>
      </c>
      <c r="S4" s="21">
        <f>+'Retail Rates'!S4</f>
        <v>2031</v>
      </c>
      <c r="T4" s="21">
        <f>+'Retail Rates'!T4</f>
        <v>2032</v>
      </c>
      <c r="U4" s="21">
        <f>+'Retail Rates'!U4</f>
        <v>2033</v>
      </c>
      <c r="V4" s="21">
        <f>+'Retail Rates'!V4</f>
        <v>2034</v>
      </c>
      <c r="W4" s="21">
        <f>+'Retail Rates'!W4</f>
        <v>2035</v>
      </c>
    </row>
    <row r="5" spans="1:23">
      <c r="A5" s="15" t="str">
        <f>+'Device Energy Use'!A5</f>
        <v>Electric Resistance</v>
      </c>
      <c r="B5" s="11">
        <f>+'Device Energy Use'!$D5*('Retail Rates'!B$5*'Device Energy Use'!$E5+'Retail Rates'!B$6*(1-'Device Energy Use'!$E5))</f>
        <v>293.59112076417256</v>
      </c>
      <c r="C5" s="11">
        <f>+'Device Energy Use'!$D5*('Retail Rates'!C$5*'Device Energy Use'!$E5+'Retail Rates'!C$6*(1-'Device Energy Use'!$E5))</f>
        <v>297.40780533410674</v>
      </c>
      <c r="D5" s="11">
        <f>+'Device Energy Use'!$D5*('Retail Rates'!D$5*'Device Energy Use'!$E5+'Retail Rates'!D$6*(1-'Device Energy Use'!$E5))</f>
        <v>301.27410680345008</v>
      </c>
      <c r="E5" s="11">
        <f>+'Device Energy Use'!$D5*('Retail Rates'!E$5*'Device Energy Use'!$E5+'Retail Rates'!E$6*(1-'Device Energy Use'!$E5))</f>
        <v>305.19067019189492</v>
      </c>
      <c r="F5" s="11">
        <f>+'Device Energy Use'!$D5*('Retail Rates'!F$5*'Device Energy Use'!$E5+'Retail Rates'!F$6*(1-'Device Energy Use'!$E5))</f>
        <v>309.15814890438952</v>
      </c>
      <c r="G5" s="11">
        <f>+'Device Energy Use'!$D5*('Retail Rates'!G$5*'Device Energy Use'!$E5+'Retail Rates'!G$6*(1-'Device Energy Use'!$E5))</f>
        <v>313.17720484014654</v>
      </c>
      <c r="H5" s="11">
        <f>+'Device Energy Use'!$D5*('Retail Rates'!H$5*'Device Energy Use'!$E5+'Retail Rates'!H$6*(1-'Device Energy Use'!$E5))</f>
        <v>317.24850850306848</v>
      </c>
      <c r="I5" s="11">
        <f>+'Device Energy Use'!$D5*('Retail Rates'!I$5*'Device Energy Use'!$E5+'Retail Rates'!I$6*(1-'Device Energy Use'!$E5))</f>
        <v>321.3727391136083</v>
      </c>
      <c r="J5" s="11">
        <f>+'Device Energy Use'!$D5*('Retail Rates'!J$5*'Device Energy Use'!$E5+'Retail Rates'!J$6*(1-'Device Energy Use'!$E5))</f>
        <v>325.5505847220852</v>
      </c>
      <c r="K5" s="11">
        <f>+'Device Energy Use'!$D5*('Retail Rates'!K$5*'Device Energy Use'!$E5+'Retail Rates'!K$6*(1-'Device Energy Use'!$E5))</f>
        <v>329.78274232347229</v>
      </c>
      <c r="L5" s="11">
        <f>+'Device Energy Use'!$D5*('Retail Rates'!L$5*'Device Energy Use'!$E5+'Retail Rates'!L$6*(1-'Device Energy Use'!$E5))</f>
        <v>334.06991797367738</v>
      </c>
      <c r="M5" s="11">
        <f>+'Device Energy Use'!$D5*('Retail Rates'!M$5*'Device Energy Use'!$E5+'Retail Rates'!M$6*(1-'Device Energy Use'!$E5))</f>
        <v>338.41282690733522</v>
      </c>
      <c r="N5" s="11">
        <f>+'Device Energy Use'!$D5*('Retail Rates'!N$5*'Device Energy Use'!$E5+'Retail Rates'!N$6*(1-'Device Energy Use'!$E5))</f>
        <v>342.81219365713054</v>
      </c>
      <c r="O5" s="11">
        <f>+'Device Energy Use'!$D5*('Retail Rates'!O$5*'Device Energy Use'!$E5+'Retail Rates'!O$6*(1-'Device Energy Use'!$E5))</f>
        <v>347.26875217467318</v>
      </c>
      <c r="P5" s="11">
        <f>+'Device Energy Use'!$D5*('Retail Rates'!P$5*'Device Energy Use'!$E5+'Retail Rates'!P$6*(1-'Device Energy Use'!$E5))</f>
        <v>351.7832459529439</v>
      </c>
      <c r="Q5" s="11">
        <f>+'Device Energy Use'!$D5*('Retail Rates'!Q$5*'Device Energy Use'!$E5+'Retail Rates'!Q$6*(1-'Device Energy Use'!$E5))</f>
        <v>356.35642815033219</v>
      </c>
      <c r="R5" s="11">
        <f>+'Device Energy Use'!$D5*('Retail Rates'!R$5*'Device Energy Use'!$E5+'Retail Rates'!R$6*(1-'Device Energy Use'!$E5))</f>
        <v>360.98906171628641</v>
      </c>
      <c r="S5" s="11">
        <f>+'Device Energy Use'!$D5*('Retail Rates'!S$5*'Device Energy Use'!$E5+'Retail Rates'!S$6*(1-'Device Energy Use'!$E5))</f>
        <v>365.68191951859814</v>
      </c>
      <c r="T5" s="11">
        <f>+'Device Energy Use'!$D5*('Retail Rates'!T$5*'Device Energy Use'!$E5+'Retail Rates'!T$6*(1-'Device Energy Use'!$E5))</f>
        <v>370.43578447233989</v>
      </c>
      <c r="U5" s="11">
        <f>+'Device Energy Use'!$D5*('Retail Rates'!U$5*'Device Energy Use'!$E5+'Retail Rates'!U$6*(1-'Device Energy Use'!$E5))</f>
        <v>375.25144967048027</v>
      </c>
      <c r="V5" s="11">
        <f>+'Device Energy Use'!$D5*('Retail Rates'!V$5*'Device Energy Use'!$E5+'Retail Rates'!V$6*(1-'Device Energy Use'!$E5))</f>
        <v>380.12971851619648</v>
      </c>
      <c r="W5" s="11">
        <f>+'Device Energy Use'!$D5*('Retail Rates'!W$5*'Device Energy Use'!$E5+'Retail Rates'!W$6*(1-'Device Energy Use'!$E5))</f>
        <v>385.07140485690701</v>
      </c>
    </row>
    <row r="6" spans="1:23">
      <c r="A6" s="15" t="str">
        <f>+'Device Energy Use'!A6</f>
        <v>HPWH</v>
      </c>
      <c r="B6" s="11">
        <f>+'Device Energy Use'!$D6*('Retail Rates'!B$5*'Device Energy Use'!$E6+'Retail Rates'!B$6*(1-'Device Energy Use'!$E6))</f>
        <v>139.45578236298192</v>
      </c>
      <c r="C6" s="11">
        <f>+'Device Energy Use'!$D6*('Retail Rates'!C$5*'Device Energy Use'!$E6+'Retail Rates'!C$6*(1-'Device Energy Use'!$E6))</f>
        <v>141.26870753370068</v>
      </c>
      <c r="D6" s="11">
        <f>+'Device Energy Use'!$D6*('Retail Rates'!D$5*'Device Energy Use'!$E6+'Retail Rates'!D$6*(1-'Device Energy Use'!$E6))</f>
        <v>143.10520073163877</v>
      </c>
      <c r="E6" s="11">
        <f>+'Device Energy Use'!$D6*('Retail Rates'!E$5*'Device Energy Use'!$E6+'Retail Rates'!E$6*(1-'Device Energy Use'!$E6))</f>
        <v>144.96556834115006</v>
      </c>
      <c r="F6" s="11">
        <f>+'Device Energy Use'!$D6*('Retail Rates'!F$5*'Device Energy Use'!$E6+'Retail Rates'!F$6*(1-'Device Energy Use'!$E6))</f>
        <v>146.850120729585</v>
      </c>
      <c r="G6" s="11">
        <f>+'Device Energy Use'!$D6*('Retail Rates'!G$5*'Device Energy Use'!$E6+'Retail Rates'!G$6*(1-'Device Energy Use'!$E6))</f>
        <v>148.75917229906958</v>
      </c>
      <c r="H6" s="11">
        <f>+'Device Energy Use'!$D6*('Retail Rates'!H$5*'Device Energy Use'!$E6+'Retail Rates'!H$6*(1-'Device Energy Use'!$E6))</f>
        <v>150.69304153895749</v>
      </c>
      <c r="I6" s="11">
        <f>+'Device Energy Use'!$D6*('Retail Rates'!I$5*'Device Energy Use'!$E6+'Retail Rates'!I$6*(1-'Device Energy Use'!$E6))</f>
        <v>152.65205107896392</v>
      </c>
      <c r="J6" s="11">
        <f>+'Device Energy Use'!$D6*('Retail Rates'!J$5*'Device Energy Use'!$E6+'Retail Rates'!J$6*(1-'Device Energy Use'!$E6))</f>
        <v>154.63652774299044</v>
      </c>
      <c r="K6" s="11">
        <f>+'Device Energy Use'!$D6*('Retail Rates'!K$5*'Device Energy Use'!$E6+'Retail Rates'!K$6*(1-'Device Energy Use'!$E6))</f>
        <v>156.64680260364929</v>
      </c>
      <c r="L6" s="11">
        <f>+'Device Energy Use'!$D6*('Retail Rates'!L$5*'Device Energy Use'!$E6+'Retail Rates'!L$6*(1-'Device Energy Use'!$E6))</f>
        <v>158.68321103749673</v>
      </c>
      <c r="M6" s="11">
        <f>+'Device Energy Use'!$D6*('Retail Rates'!M$5*'Device Energy Use'!$E6+'Retail Rates'!M$6*(1-'Device Energy Use'!$E6))</f>
        <v>160.74609278098418</v>
      </c>
      <c r="N6" s="11">
        <f>+'Device Energy Use'!$D6*('Retail Rates'!N$5*'Device Energy Use'!$E6+'Retail Rates'!N$6*(1-'Device Energy Use'!$E6))</f>
        <v>162.83579198713696</v>
      </c>
      <c r="O6" s="11">
        <f>+'Device Energy Use'!$D6*('Retail Rates'!O$5*'Device Energy Use'!$E6+'Retail Rates'!O$6*(1-'Device Energy Use'!$E6))</f>
        <v>164.95265728296974</v>
      </c>
      <c r="P6" s="11">
        <f>+'Device Energy Use'!$D6*('Retail Rates'!P$5*'Device Energy Use'!$E6+'Retail Rates'!P$6*(1-'Device Energy Use'!$E6))</f>
        <v>167.09704182764833</v>
      </c>
      <c r="Q6" s="11">
        <f>+'Device Energy Use'!$D6*('Retail Rates'!Q$5*'Device Energy Use'!$E6+'Retail Rates'!Q$6*(1-'Device Energy Use'!$E6))</f>
        <v>169.26930337140774</v>
      </c>
      <c r="R6" s="11">
        <f>+'Device Energy Use'!$D6*('Retail Rates'!R$5*'Device Energy Use'!$E6+'Retail Rates'!R$6*(1-'Device Energy Use'!$E6))</f>
        <v>171.46980431523602</v>
      </c>
      <c r="S6" s="11">
        <f>+'Device Energy Use'!$D6*('Retail Rates'!S$5*'Device Energy Use'!$E6+'Retail Rates'!S$6*(1-'Device Energy Use'!$E6))</f>
        <v>173.69891177133408</v>
      </c>
      <c r="T6" s="11">
        <f>+'Device Energy Use'!$D6*('Retail Rates'!T$5*'Device Energy Use'!$E6+'Retail Rates'!T$6*(1-'Device Energy Use'!$E6))</f>
        <v>175.95699762436141</v>
      </c>
      <c r="U6" s="11">
        <f>+'Device Energy Use'!$D6*('Retail Rates'!U$5*'Device Energy Use'!$E6+'Retail Rates'!U$6*(1-'Device Energy Use'!$E6))</f>
        <v>178.24443859347809</v>
      </c>
      <c r="V6" s="11">
        <f>+'Device Energy Use'!$D6*('Retail Rates'!V$5*'Device Energy Use'!$E6+'Retail Rates'!V$6*(1-'Device Energy Use'!$E6))</f>
        <v>180.56161629519329</v>
      </c>
      <c r="W6" s="11">
        <f>+'Device Energy Use'!$D6*('Retail Rates'!W$5*'Device Energy Use'!$E6+'Retail Rates'!W$6*(1-'Device Energy Use'!$E6))</f>
        <v>182.9089173070308</v>
      </c>
    </row>
    <row r="7" spans="1:23">
      <c r="A7" s="15" t="str">
        <f>+'Device Energy Use'!A7</f>
        <v>Gas Tank</v>
      </c>
      <c r="B7" s="11">
        <f>+'Device Energy Use'!$D7*('Retail Rates'!B$5*'Device Energy Use'!$E7+'Retail Rates'!B$6*(1-'Device Energy Use'!$E7))</f>
        <v>206.05123707012828</v>
      </c>
      <c r="C7" s="11">
        <f>+'Device Energy Use'!$D7*('Retail Rates'!C$5*'Device Energy Use'!$E7+'Retail Rates'!C$6*(1-'Device Energy Use'!$E7))</f>
        <v>209.14200562618021</v>
      </c>
      <c r="D7" s="11">
        <f>+'Device Energy Use'!$D7*('Retail Rates'!D$5*'Device Energy Use'!$E7+'Retail Rates'!D$6*(1-'Device Energy Use'!$E7))</f>
        <v>212.27913571057289</v>
      </c>
      <c r="E7" s="11">
        <f>+'Device Energy Use'!$D7*('Retail Rates'!E$5*'Device Energy Use'!$E7+'Retail Rates'!E$6*(1-'Device Energy Use'!$E7))</f>
        <v>215.46332274623146</v>
      </c>
      <c r="F7" s="11">
        <f>+'Device Energy Use'!$D7*('Retail Rates'!F$5*'Device Energy Use'!$E7+'Retail Rates'!F$6*(1-'Device Energy Use'!$E7))</f>
        <v>218.69527258742491</v>
      </c>
      <c r="G7" s="11">
        <f>+'Device Energy Use'!$D7*('Retail Rates'!G$5*'Device Energy Use'!$E7+'Retail Rates'!G$6*(1-'Device Energy Use'!$E7))</f>
        <v>221.97570167623627</v>
      </c>
      <c r="H7" s="11">
        <f>+'Device Energy Use'!$D7*('Retail Rates'!H$5*'Device Energy Use'!$E7+'Retail Rates'!H$6*(1-'Device Energy Use'!$E7))</f>
        <v>225.30533720137979</v>
      </c>
      <c r="I7" s="11">
        <f>+'Device Energy Use'!$D7*('Retail Rates'!I$5*'Device Energy Use'!$E7+'Retail Rates'!I$6*(1-'Device Energy Use'!$E7))</f>
        <v>228.68491725940044</v>
      </c>
      <c r="J7" s="11">
        <f>+'Device Energy Use'!$D7*('Retail Rates'!J$5*'Device Energy Use'!$E7+'Retail Rates'!J$6*(1-'Device Energy Use'!$E7))</f>
        <v>232.11519101829143</v>
      </c>
      <c r="K7" s="11">
        <f>+'Device Energy Use'!$D7*('Retail Rates'!K$5*'Device Energy Use'!$E7+'Retail Rates'!K$6*(1-'Device Energy Use'!$E7))</f>
        <v>235.59691888356579</v>
      </c>
      <c r="L7" s="11">
        <f>+'Device Energy Use'!$D7*('Retail Rates'!L$5*'Device Energy Use'!$E7+'Retail Rates'!L$6*(1-'Device Energy Use'!$E7))</f>
        <v>239.13087266681927</v>
      </c>
      <c r="M7" s="11">
        <f>+'Device Energy Use'!$D7*('Retail Rates'!M$5*'Device Energy Use'!$E7+'Retail Rates'!M$6*(1-'Device Energy Use'!$E7))</f>
        <v>242.71783575682153</v>
      </c>
      <c r="N7" s="11">
        <f>+'Device Energy Use'!$D7*('Retail Rates'!N$5*'Device Energy Use'!$E7+'Retail Rates'!N$6*(1-'Device Energy Use'!$E7))</f>
        <v>246.35860329317381</v>
      </c>
      <c r="O7" s="11">
        <f>+'Device Energy Use'!$D7*('Retail Rates'!O$5*'Device Energy Use'!$E7+'Retail Rates'!O$6*(1-'Device Energy Use'!$E7))</f>
        <v>250.05398234257143</v>
      </c>
      <c r="P7" s="11">
        <f>+'Device Energy Use'!$D7*('Retail Rates'!P$5*'Device Energy Use'!$E7+'Retail Rates'!P$6*(1-'Device Energy Use'!$E7))</f>
        <v>253.80479207770998</v>
      </c>
      <c r="Q7" s="11">
        <f>+'Device Energy Use'!$D7*('Retail Rates'!Q$5*'Device Energy Use'!$E7+'Retail Rates'!Q$6*(1-'Device Energy Use'!$E7))</f>
        <v>257.61186395887563</v>
      </c>
      <c r="R7" s="11">
        <f>+'Device Energy Use'!$D7*('Retail Rates'!R$5*'Device Energy Use'!$E7+'Retail Rates'!R$6*(1-'Device Energy Use'!$E7))</f>
        <v>261.47604191825872</v>
      </c>
      <c r="S7" s="11">
        <f>+'Device Energy Use'!$D7*('Retail Rates'!S$5*'Device Energy Use'!$E7+'Retail Rates'!S$6*(1-'Device Energy Use'!$E7))</f>
        <v>265.3981825470326</v>
      </c>
      <c r="T7" s="11">
        <f>+'Device Energy Use'!$D7*('Retail Rates'!T$5*'Device Energy Use'!$E7+'Retail Rates'!T$6*(1-'Device Energy Use'!$E7))</f>
        <v>269.37915528523803</v>
      </c>
      <c r="U7" s="11">
        <f>+'Device Energy Use'!$D7*('Retail Rates'!U$5*'Device Energy Use'!$E7+'Retail Rates'!U$6*(1-'Device Energy Use'!$E7))</f>
        <v>273.4198426145166</v>
      </c>
      <c r="V7" s="11">
        <f>+'Device Energy Use'!$D7*('Retail Rates'!V$5*'Device Energy Use'!$E7+'Retail Rates'!V$6*(1-'Device Energy Use'!$E7))</f>
        <v>277.5211402537343</v>
      </c>
      <c r="W7" s="11">
        <f>+'Device Energy Use'!$D7*('Retail Rates'!W$5*'Device Energy Use'!$E7+'Retail Rates'!W$6*(1-'Device Energy Use'!$E7))</f>
        <v>281.68395735754029</v>
      </c>
    </row>
    <row r="8" spans="1:23">
      <c r="A8" s="15" t="str">
        <f>+'Device Energy Use'!A8</f>
        <v>Instant Gas</v>
      </c>
      <c r="B8" s="11">
        <f>+'Device Energy Use'!$D8*('Retail Rates'!B$5*'Device Energy Use'!$E8+'Retail Rates'!B$6*(1-'Device Energy Use'!$E8))</f>
        <v>156.35542701502868</v>
      </c>
      <c r="C8" s="11">
        <f>+'Device Energy Use'!$D8*('Retail Rates'!C$5*'Device Energy Use'!$E8+'Retail Rates'!C$6*(1-'Device Energy Use'!$E8))</f>
        <v>158.70075842025409</v>
      </c>
      <c r="D8" s="11">
        <f>+'Device Energy Use'!$D8*('Retail Rates'!D$5*'Device Energy Use'!$E8+'Retail Rates'!D$6*(1-'Device Energy Use'!$E8))</f>
        <v>161.08126979655788</v>
      </c>
      <c r="E8" s="11">
        <f>+'Device Energy Use'!$D8*('Retail Rates'!E$5*'Device Energy Use'!$E8+'Retail Rates'!E$6*(1-'Device Energy Use'!$E8))</f>
        <v>163.49748884350623</v>
      </c>
      <c r="F8" s="11">
        <f>+'Device Energy Use'!$D8*('Retail Rates'!F$5*'Device Energy Use'!$E8+'Retail Rates'!F$6*(1-'Device Energy Use'!$E8))</f>
        <v>165.94995117615881</v>
      </c>
      <c r="G8" s="11">
        <f>+'Device Energy Use'!$D8*('Retail Rates'!G$5*'Device Energy Use'!$E8+'Retail Rates'!G$6*(1-'Device Energy Use'!$E8))</f>
        <v>168.43920044380118</v>
      </c>
      <c r="H8" s="11">
        <f>+'Device Energy Use'!$D8*('Retail Rates'!H$5*'Device Energy Use'!$E8+'Retail Rates'!H$6*(1-'Device Energy Use'!$E8))</f>
        <v>170.96578845045818</v>
      </c>
      <c r="I8" s="11">
        <f>+'Device Energy Use'!$D8*('Retail Rates'!I$5*'Device Energy Use'!$E8+'Retail Rates'!I$6*(1-'Device Energy Use'!$E8))</f>
        <v>173.53027527721503</v>
      </c>
      <c r="J8" s="11">
        <f>+'Device Energy Use'!$D8*('Retail Rates'!J$5*'Device Energy Use'!$E8+'Retail Rates'!J$6*(1-'Device Energy Use'!$E8))</f>
        <v>176.13322940637323</v>
      </c>
      <c r="K8" s="11">
        <f>+'Device Energy Use'!$D8*('Retail Rates'!K$5*'Device Energy Use'!$E8+'Retail Rates'!K$6*(1-'Device Energy Use'!$E8))</f>
        <v>178.77522784746884</v>
      </c>
      <c r="L8" s="11">
        <f>+'Device Energy Use'!$D8*('Retail Rates'!L$5*'Device Energy Use'!$E8+'Retail Rates'!L$6*(1-'Device Energy Use'!$E8))</f>
        <v>181.45685626518085</v>
      </c>
      <c r="M8" s="11">
        <f>+'Device Energy Use'!$D8*('Retail Rates'!M$5*'Device Energy Use'!$E8+'Retail Rates'!M$6*(1-'Device Energy Use'!$E8))</f>
        <v>184.17870910915855</v>
      </c>
      <c r="N8" s="11">
        <f>+'Device Energy Use'!$D8*('Retail Rates'!N$5*'Device Energy Use'!$E8+'Retail Rates'!N$6*(1-'Device Energy Use'!$E8))</f>
        <v>186.9413897457959</v>
      </c>
      <c r="O8" s="11">
        <f>+'Device Energy Use'!$D8*('Retail Rates'!O$5*'Device Energy Use'!$E8+'Retail Rates'!O$6*(1-'Device Energy Use'!$E8))</f>
        <v>189.74551059198285</v>
      </c>
      <c r="P8" s="11">
        <f>+'Device Energy Use'!$D8*('Retail Rates'!P$5*'Device Energy Use'!$E8+'Retail Rates'!P$6*(1-'Device Energy Use'!$E8))</f>
        <v>192.59169325086256</v>
      </c>
      <c r="Q8" s="11">
        <f>+'Device Energy Use'!$D8*('Retail Rates'!Q$5*'Device Energy Use'!$E8+'Retail Rates'!Q$6*(1-'Device Energy Use'!$E8))</f>
        <v>195.4805686496255</v>
      </c>
      <c r="R8" s="11">
        <f>+'Device Energy Use'!$D8*('Retail Rates'!R$5*'Device Energy Use'!$E8+'Retail Rates'!R$6*(1-'Device Energy Use'!$E8))</f>
        <v>198.41277717936987</v>
      </c>
      <c r="S8" s="11">
        <f>+'Device Energy Use'!$D8*('Retail Rates'!S$5*'Device Energy Use'!$E8+'Retail Rates'!S$6*(1-'Device Energy Use'!$E8))</f>
        <v>201.38896883706039</v>
      </c>
      <c r="T8" s="11">
        <f>+'Device Energy Use'!$D8*('Retail Rates'!T$5*'Device Energy Use'!$E8+'Retail Rates'!T$6*(1-'Device Energy Use'!$E8))</f>
        <v>204.4098033696163</v>
      </c>
      <c r="U8" s="11">
        <f>+'Device Energy Use'!$D8*('Retail Rates'!U$5*'Device Energy Use'!$E8+'Retail Rates'!U$6*(1-'Device Energy Use'!$E8))</f>
        <v>207.4759504201605</v>
      </c>
      <c r="V8" s="11">
        <f>+'Device Energy Use'!$D8*('Retail Rates'!V$5*'Device Energy Use'!$E8+'Retail Rates'!V$6*(1-'Device Energy Use'!$E8))</f>
        <v>210.58808967646291</v>
      </c>
      <c r="W8" s="11">
        <f>+'Device Energy Use'!$D8*('Retail Rates'!W$5*'Device Energy Use'!$E8+'Retail Rates'!W$6*(1-'Device Energy Use'!$E8))</f>
        <v>213.74691102160983</v>
      </c>
    </row>
    <row r="9" spans="1:23">
      <c r="A9" s="15" t="str">
        <f>+'Device Energy Use'!A9</f>
        <v>Condensing Gas</v>
      </c>
      <c r="B9" s="11">
        <f>+'Device Energy Use'!$D9*('Retail Rates'!B$5*'Device Energy Use'!$E9+'Retail Rates'!B$6*(1-'Device Energy Use'!$E9))</f>
        <v>109.14063562220724</v>
      </c>
      <c r="C9" s="11">
        <f>+'Device Energy Use'!$D9*('Retail Rates'!C$5*'Device Energy Use'!$E9+'Retail Rates'!C$6*(1-'Device Energy Use'!$E9))</f>
        <v>110.77774515654035</v>
      </c>
      <c r="D9" s="11">
        <f>+'Device Energy Use'!$D9*('Retail Rates'!D$5*'Device Energy Use'!$E9+'Retail Rates'!D$6*(1-'Device Energy Use'!$E9))</f>
        <v>112.43941133388844</v>
      </c>
      <c r="E9" s="11">
        <f>+'Device Energy Use'!$D9*('Retail Rates'!E$5*'Device Energy Use'!$E9+'Retail Rates'!E$6*(1-'Device Energy Use'!$E9))</f>
        <v>114.12600250389676</v>
      </c>
      <c r="F9" s="11">
        <f>+'Device Energy Use'!$D9*('Retail Rates'!F$5*'Device Energy Use'!$E9+'Retail Rates'!F$6*(1-'Device Energy Use'!$E9))</f>
        <v>115.83789254145519</v>
      </c>
      <c r="G9" s="11">
        <f>+'Device Energy Use'!$D9*('Retail Rates'!G$5*'Device Energy Use'!$E9+'Retail Rates'!G$6*(1-'Device Energy Use'!$E9))</f>
        <v>117.57546092957702</v>
      </c>
      <c r="H9" s="11">
        <f>+'Device Energy Use'!$D9*('Retail Rates'!H$5*'Device Energy Use'!$E9+'Retail Rates'!H$6*(1-'Device Energy Use'!$E9))</f>
        <v>119.33909284352066</v>
      </c>
      <c r="I9" s="11">
        <f>+'Device Energy Use'!$D9*('Retail Rates'!I$5*'Device Energy Use'!$E9+'Retail Rates'!I$6*(1-'Device Energy Use'!$E9))</f>
        <v>121.12917923617346</v>
      </c>
      <c r="J9" s="11">
        <f>+'Device Energy Use'!$D9*('Retail Rates'!J$5*'Device Energy Use'!$E9+'Retail Rates'!J$6*(1-'Device Energy Use'!$E9))</f>
        <v>122.94611692471604</v>
      </c>
      <c r="K9" s="11">
        <f>+'Device Energy Use'!$D9*('Retail Rates'!K$5*'Device Energy Use'!$E9+'Retail Rates'!K$6*(1-'Device Energy Use'!$E9))</f>
        <v>124.79030867858678</v>
      </c>
      <c r="L9" s="11">
        <f>+'Device Energy Use'!$D9*('Retail Rates'!L$5*'Device Energy Use'!$E9+'Retail Rates'!L$6*(1-'Device Energy Use'!$E9))</f>
        <v>126.66216330876557</v>
      </c>
      <c r="M9" s="11">
        <f>+'Device Energy Use'!$D9*('Retail Rates'!M$5*'Device Energy Use'!$E9+'Retail Rates'!M$6*(1-'Device Energy Use'!$E9))</f>
        <v>128.56209575839705</v>
      </c>
      <c r="N9" s="11">
        <f>+'Device Energy Use'!$D9*('Retail Rates'!N$5*'Device Energy Use'!$E9+'Retail Rates'!N$6*(1-'Device Energy Use'!$E9))</f>
        <v>130.49052719477299</v>
      </c>
      <c r="O9" s="11">
        <f>+'Device Energy Use'!$D9*('Retail Rates'!O$5*'Device Energy Use'!$E9+'Retail Rates'!O$6*(1-'Device Energy Use'!$E9))</f>
        <v>132.44788510269458</v>
      </c>
      <c r="P9" s="11">
        <f>+'Device Energy Use'!$D9*('Retail Rates'!P$5*'Device Energy Use'!$E9+'Retail Rates'!P$6*(1-'Device Energy Use'!$E9))</f>
        <v>134.43460337923497</v>
      </c>
      <c r="Q9" s="11">
        <f>+'Device Energy Use'!$D9*('Retail Rates'!Q$5*'Device Energy Use'!$E9+'Retail Rates'!Q$6*(1-'Device Energy Use'!$E9))</f>
        <v>136.45112242992349</v>
      </c>
      <c r="R9" s="11">
        <f>+'Device Energy Use'!$D9*('Retail Rates'!R$5*'Device Energy Use'!$E9+'Retail Rates'!R$6*(1-'Device Energy Use'!$E9))</f>
        <v>138.49788926637234</v>
      </c>
      <c r="S9" s="11">
        <f>+'Device Energy Use'!$D9*('Retail Rates'!S$5*'Device Energy Use'!$E9+'Retail Rates'!S$6*(1-'Device Energy Use'!$E9))</f>
        <v>140.57535760536791</v>
      </c>
      <c r="T9" s="11">
        <f>+'Device Energy Use'!$D9*('Retail Rates'!T$5*'Device Energy Use'!$E9+'Retail Rates'!T$6*(1-'Device Energy Use'!$E9))</f>
        <v>142.68398796944842</v>
      </c>
      <c r="U9" s="11">
        <f>+'Device Energy Use'!$D9*('Retail Rates'!U$5*'Device Energy Use'!$E9+'Retail Rates'!U$6*(1-'Device Energy Use'!$E9))</f>
        <v>144.82424778899014</v>
      </c>
      <c r="V9" s="11">
        <f>+'Device Energy Use'!$D9*('Retail Rates'!V$5*'Device Energy Use'!$E9+'Retail Rates'!V$6*(1-'Device Energy Use'!$E9))</f>
        <v>146.99661150582497</v>
      </c>
      <c r="W9" s="11">
        <f>+'Device Energy Use'!$D9*('Retail Rates'!W$5*'Device Energy Use'!$E9+'Retail Rates'!W$6*(1-'Device Energy Use'!$E9))</f>
        <v>149.20156067841233</v>
      </c>
    </row>
    <row r="10" spans="1:23">
      <c r="G10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K16"/>
  <sheetViews>
    <sheetView workbookViewId="0">
      <selection activeCell="A4" sqref="A4"/>
    </sheetView>
  </sheetViews>
  <sheetFormatPr defaultColWidth="8.85546875" defaultRowHeight="15.75"/>
  <cols>
    <col min="1" max="1" width="20.7109375" style="2" customWidth="1"/>
    <col min="2" max="2" width="17" style="5" customWidth="1"/>
    <col min="3" max="3" width="14.7109375" style="2" customWidth="1"/>
    <col min="4" max="7" width="12.7109375" style="2" customWidth="1"/>
    <col min="8" max="8" width="17" style="2" bestFit="1" customWidth="1"/>
    <col min="9" max="9" width="18.28515625" style="2" bestFit="1" customWidth="1"/>
    <col min="10" max="10" width="13" style="5" customWidth="1"/>
    <col min="11" max="11" width="12.28515625" style="2" bestFit="1" customWidth="1"/>
    <col min="12" max="12" width="9.140625" style="2" customWidth="1"/>
    <col min="13" max="16384" width="8.85546875" style="2"/>
  </cols>
  <sheetData>
    <row r="1" spans="1:11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11" ht="23.25" customHeight="1">
      <c r="A3" s="27" t="s">
        <v>88</v>
      </c>
    </row>
    <row r="4" spans="1:11" s="19" customFormat="1" ht="47.25">
      <c r="A4" s="17" t="s">
        <v>0</v>
      </c>
      <c r="B4" s="17" t="str">
        <f>'Input Assumptions'!B26</f>
        <v>Electricity Required (KWh/ device/Yr)</v>
      </c>
      <c r="C4" s="17" t="str">
        <f>'Input Assumptions'!C26</f>
        <v>Gas Required (mmBtu/ device/Yr)</v>
      </c>
      <c r="D4" s="18" t="s">
        <v>16</v>
      </c>
      <c r="E4" s="17" t="str">
        <f>'Input Assumptions'!E26</f>
        <v>Electric Technology</v>
      </c>
    </row>
    <row r="5" spans="1:11">
      <c r="A5" s="2" t="str">
        <f>'Input Assumptions'!D45</f>
        <v>Electric Resistance</v>
      </c>
      <c r="B5" s="58">
        <f>'Input Assumptions'!B27</f>
        <v>3355.4343604471896</v>
      </c>
      <c r="C5" s="6">
        <f>'Input Assumptions'!C27</f>
        <v>0</v>
      </c>
      <c r="D5" s="6">
        <f>'Input Assumptions'!B27*3412/1000000+'Input Assumptions'!C27</f>
        <v>11.448742037845811</v>
      </c>
      <c r="E5" s="5">
        <f>'Input Assumptions'!E27</f>
        <v>1</v>
      </c>
      <c r="J5" s="2"/>
    </row>
    <row r="6" spans="1:11">
      <c r="A6" s="2" t="str">
        <f>'Input Assumptions'!D46</f>
        <v>HPWH</v>
      </c>
      <c r="B6" s="58">
        <f>'Input Assumptions'!B28</f>
        <v>1593.8313212124149</v>
      </c>
      <c r="C6" s="6">
        <f>'Input Assumptions'!C28</f>
        <v>0</v>
      </c>
      <c r="D6" s="6">
        <f>'Input Assumptions'!B28*3412/1000000+'Input Assumptions'!C28</f>
        <v>5.4381524679767592</v>
      </c>
      <c r="E6" s="5">
        <f>'Input Assumptions'!E28</f>
        <v>1</v>
      </c>
      <c r="J6" s="2"/>
    </row>
    <row r="7" spans="1:11">
      <c r="A7" s="2" t="str">
        <f>'Input Assumptions'!D47</f>
        <v>Gas Tank</v>
      </c>
      <c r="B7" s="58">
        <f>'Input Assumptions'!B29</f>
        <v>0</v>
      </c>
      <c r="C7" s="6">
        <f>'Input Assumptions'!C29</f>
        <v>17.346578845220922</v>
      </c>
      <c r="D7" s="6">
        <f>'Input Assumptions'!B29*3412/1000000+'Input Assumptions'!C29</f>
        <v>17.346578845220922</v>
      </c>
      <c r="E7" s="5">
        <f>'Input Assumptions'!E29</f>
        <v>0</v>
      </c>
      <c r="G7" s="172"/>
      <c r="J7" s="2"/>
    </row>
    <row r="8" spans="1:11">
      <c r="A8" s="2" t="str">
        <f>'Input Assumptions'!D48</f>
        <v>Instant Gas</v>
      </c>
      <c r="B8" s="58">
        <f>'Input Assumptions'!B30</f>
        <v>0</v>
      </c>
      <c r="C8" s="6">
        <f>'Input Assumptions'!C30</f>
        <v>13.162899583423945</v>
      </c>
      <c r="D8" s="6">
        <f>'Input Assumptions'!B30*3412/1000000+'Input Assumptions'!C30</f>
        <v>13.162899583423945</v>
      </c>
      <c r="E8" s="5">
        <f>'Input Assumptions'!E30</f>
        <v>0</v>
      </c>
      <c r="G8" s="172"/>
      <c r="J8" s="2"/>
    </row>
    <row r="9" spans="1:11">
      <c r="A9" s="2" t="str">
        <f>'Input Assumptions'!D49</f>
        <v>Condensing Gas</v>
      </c>
      <c r="B9" s="58">
        <f>'Input Assumptions'!B31</f>
        <v>0</v>
      </c>
      <c r="C9" s="6">
        <f>'Input Assumptions'!C31</f>
        <v>9.1880867494806662</v>
      </c>
      <c r="D9" s="6">
        <f>'Input Assumptions'!B31*3412/1000000+'Input Assumptions'!C31</f>
        <v>9.1880867494806662</v>
      </c>
      <c r="E9" s="5">
        <f>'Input Assumptions'!E31</f>
        <v>0</v>
      </c>
      <c r="J9" s="2"/>
    </row>
    <row r="10" spans="1:11">
      <c r="A10" s="1"/>
      <c r="B10" s="7"/>
      <c r="H10" s="3"/>
      <c r="I10" s="4"/>
      <c r="J10" s="6"/>
      <c r="K10" s="8"/>
    </row>
    <row r="13" spans="1:11">
      <c r="J13" s="2"/>
    </row>
    <row r="14" spans="1:11">
      <c r="J14" s="2"/>
    </row>
    <row r="15" spans="1:11">
      <c r="J15" s="2"/>
    </row>
    <row r="16" spans="1:11">
      <c r="J16" s="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E10"/>
  <sheetViews>
    <sheetView workbookViewId="0"/>
  </sheetViews>
  <sheetFormatPr defaultColWidth="8.85546875" defaultRowHeight="15.75"/>
  <cols>
    <col min="1" max="1" width="21.7109375" style="2" customWidth="1"/>
    <col min="2" max="2" width="17.42578125" style="5" customWidth="1"/>
    <col min="3" max="3" width="12.85546875" style="2" customWidth="1"/>
    <col min="4" max="4" width="18.140625" style="2" customWidth="1"/>
    <col min="5" max="5" width="15.7109375" style="2" customWidth="1"/>
    <col min="6" max="11" width="12.7109375" style="2" customWidth="1"/>
    <col min="12" max="16384" width="8.85546875" style="2"/>
  </cols>
  <sheetData>
    <row r="1" spans="1:5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2" spans="1:5" ht="18.75">
      <c r="A2" s="147"/>
    </row>
    <row r="3" spans="1:5" ht="23.25" customHeight="1">
      <c r="A3" s="27" t="s">
        <v>87</v>
      </c>
    </row>
    <row r="4" spans="1:5" s="19" customFormat="1" ht="47.25">
      <c r="A4" s="17" t="s">
        <v>0</v>
      </c>
      <c r="B4" s="17" t="str">
        <f>'Input Assumptions'!B35</f>
        <v>Capital Cost (Various Real $)</v>
      </c>
      <c r="C4" s="17" t="str">
        <f>'Input Assumptions'!C35</f>
        <v>Units of Dollars</v>
      </c>
      <c r="D4" s="17" t="s">
        <v>141</v>
      </c>
      <c r="E4" s="17" t="s">
        <v>20</v>
      </c>
    </row>
    <row r="5" spans="1:5">
      <c r="A5" s="2" t="str">
        <f>'Input Assumptions'!D45</f>
        <v>Electric Resistance</v>
      </c>
      <c r="B5" s="62">
        <f>'Input Assumptions'!B36</f>
        <v>590</v>
      </c>
      <c r="C5" s="103" t="str">
        <f>'Input Assumptions'!C36</f>
        <v>2008$</v>
      </c>
      <c r="D5" s="63">
        <f>Inflation!AB5/Inflation!X5</f>
        <v>1.0627615062761504</v>
      </c>
      <c r="E5" s="61">
        <f>B5*D5</f>
        <v>627.02928870292874</v>
      </c>
    </row>
    <row r="6" spans="1:5">
      <c r="A6" s="2" t="str">
        <f>'Input Assumptions'!D46</f>
        <v>HPWH</v>
      </c>
      <c r="B6" s="62">
        <f>'Input Assumptions'!B37</f>
        <v>1621</v>
      </c>
      <c r="C6" s="103" t="str">
        <f>'Input Assumptions'!C37</f>
        <v>2011$</v>
      </c>
      <c r="D6" s="63">
        <f>Inflation!AB5/Inflation!AA5</f>
        <v>1.0177579455423003</v>
      </c>
      <c r="E6" s="61">
        <f>B6*D6</f>
        <v>1649.7856297240687</v>
      </c>
    </row>
    <row r="7" spans="1:5">
      <c r="A7" s="2" t="str">
        <f>'Input Assumptions'!D47</f>
        <v>Gas Tank</v>
      </c>
      <c r="B7" s="62">
        <f>'Input Assumptions'!B38</f>
        <v>785</v>
      </c>
      <c r="C7" s="103" t="str">
        <f>'Input Assumptions'!C38</f>
        <v>2013$</v>
      </c>
      <c r="D7" s="63">
        <f>Inflation!$AB$5/Inflation!$AC$5</f>
        <v>0.98250549450549451</v>
      </c>
      <c r="E7" s="61">
        <f>B7*D7</f>
        <v>771.26681318681324</v>
      </c>
    </row>
    <row r="8" spans="1:5">
      <c r="A8" s="2" t="str">
        <f>'Input Assumptions'!D48</f>
        <v>Instant Gas</v>
      </c>
      <c r="B8" s="62">
        <f>'Input Assumptions'!B39</f>
        <v>3760</v>
      </c>
      <c r="C8" s="103" t="str">
        <f>'Input Assumptions'!C39</f>
        <v>2013$</v>
      </c>
      <c r="D8" s="63">
        <f>Inflation!$AB$5/Inflation!$AC$5</f>
        <v>0.98250549450549451</v>
      </c>
      <c r="E8" s="61">
        <f>B8*D8</f>
        <v>3694.2206593406595</v>
      </c>
    </row>
    <row r="9" spans="1:5">
      <c r="A9" s="2" t="str">
        <f>'Input Assumptions'!D49</f>
        <v>Condensing Gas</v>
      </c>
      <c r="B9" s="62">
        <f>'Input Assumptions'!B40</f>
        <v>1861.3517860501238</v>
      </c>
      <c r="C9" s="103" t="str">
        <f>'Input Assumptions'!C40</f>
        <v>2006$</v>
      </c>
      <c r="D9" s="63">
        <f>Inflation!$AB$5/Inflation!$V$5</f>
        <v>1.1175999999999999</v>
      </c>
      <c r="E9" s="61">
        <f>B9*D9</f>
        <v>2080.2467560896184</v>
      </c>
    </row>
    <row r="10" spans="1:5">
      <c r="A10" s="1"/>
      <c r="B10" s="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J10"/>
  <sheetViews>
    <sheetView workbookViewId="0">
      <selection activeCell="A2" sqref="A2"/>
    </sheetView>
  </sheetViews>
  <sheetFormatPr defaultColWidth="8.85546875" defaultRowHeight="15.75"/>
  <cols>
    <col min="1" max="1" width="22.7109375" style="2" customWidth="1"/>
    <col min="2" max="2" width="15.7109375" style="5" customWidth="1"/>
    <col min="3" max="5" width="15.7109375" style="2" customWidth="1"/>
    <col min="6" max="10" width="12.7109375" style="2" customWidth="1"/>
    <col min="11" max="16384" width="8.85546875" style="2"/>
  </cols>
  <sheetData>
    <row r="1" spans="1:10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  <c r="B1" s="139"/>
      <c r="C1" s="138"/>
      <c r="D1" s="138"/>
      <c r="E1" s="138"/>
      <c r="F1" s="138"/>
      <c r="G1" s="138"/>
      <c r="H1" s="138"/>
      <c r="I1" s="138"/>
      <c r="J1" s="138"/>
    </row>
    <row r="2" spans="1:10" ht="18.75">
      <c r="A2" s="147"/>
      <c r="B2" s="139"/>
      <c r="C2" s="138"/>
      <c r="D2" s="138"/>
      <c r="E2" s="138"/>
      <c r="F2" s="138"/>
      <c r="G2" s="138"/>
      <c r="H2" s="138"/>
      <c r="I2" s="138"/>
      <c r="J2" s="138"/>
    </row>
    <row r="3" spans="1:10" ht="23.25" customHeight="1">
      <c r="A3" s="27" t="s">
        <v>89</v>
      </c>
    </row>
    <row r="4" spans="1:10" s="19" customFormat="1" ht="47.25">
      <c r="A4" s="140" t="s">
        <v>140</v>
      </c>
      <c r="B4" s="146" t="str">
        <f>'Input Assumptions'!D26</f>
        <v>O&amp;M Cost (2006$/ device/Yr)</v>
      </c>
      <c r="C4" s="146" t="s">
        <v>68</v>
      </c>
      <c r="D4" s="146" t="s">
        <v>21</v>
      </c>
    </row>
    <row r="5" spans="1:10">
      <c r="A5" s="2" t="str">
        <f>'Input Assumptions'!D45</f>
        <v>Electric Resistance</v>
      </c>
      <c r="B5" s="61">
        <f>'Input Assumptions'!D27</f>
        <v>4.0147653217481896</v>
      </c>
      <c r="C5" s="63">
        <f>Inflation!$AB$5/Inflation!$V$5</f>
        <v>1.1175999999999999</v>
      </c>
      <c r="D5" s="61">
        <f>B5*C5</f>
        <v>4.4869017235857767</v>
      </c>
    </row>
    <row r="6" spans="1:10">
      <c r="A6" s="2" t="str">
        <f>'Input Assumptions'!D46</f>
        <v>HPWH</v>
      </c>
      <c r="B6" s="61">
        <f>'Input Assumptions'!D28</f>
        <v>8.8912994251335906</v>
      </c>
      <c r="C6" s="63">
        <f>Inflation!$AB$5/Inflation!$V$5</f>
        <v>1.1175999999999999</v>
      </c>
      <c r="D6" s="61">
        <f>B6*C6</f>
        <v>9.9369162375292994</v>
      </c>
    </row>
    <row r="7" spans="1:10">
      <c r="A7" s="2" t="str">
        <f>'Input Assumptions'!D47</f>
        <v>Gas Tank</v>
      </c>
      <c r="B7" s="61">
        <f>'Input Assumptions'!D29</f>
        <v>12.364813725618941</v>
      </c>
      <c r="C7" s="63">
        <f>Inflation!$AB$5/Inflation!$V$5</f>
        <v>1.1175999999999999</v>
      </c>
      <c r="D7" s="61">
        <f>B7*C7</f>
        <v>13.818915819751727</v>
      </c>
    </row>
    <row r="8" spans="1:10">
      <c r="A8" s="2" t="str">
        <f>'Input Assumptions'!D48</f>
        <v>Instant Gas</v>
      </c>
      <c r="B8" s="61">
        <f>'Input Assumptions'!D30</f>
        <v>66.879220980384858</v>
      </c>
      <c r="C8" s="63">
        <f>Inflation!$AB$5/Inflation!$V$5</f>
        <v>1.1175999999999999</v>
      </c>
      <c r="D8" s="61">
        <f>B8*C8</f>
        <v>74.744217367678118</v>
      </c>
    </row>
    <row r="9" spans="1:10">
      <c r="A9" s="2" t="str">
        <f>'Input Assumptions'!D49</f>
        <v>Condensing Gas</v>
      </c>
      <c r="B9" s="61">
        <f>'Input Assumptions'!D31</f>
        <v>14.794662287278264</v>
      </c>
      <c r="C9" s="63">
        <f>Inflation!$AB$5/Inflation!$V$5</f>
        <v>1.1175999999999999</v>
      </c>
      <c r="D9" s="61">
        <f>B9*C9</f>
        <v>16.534514572262186</v>
      </c>
    </row>
    <row r="10" spans="1:10">
      <c r="A10" s="1"/>
      <c r="B1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51"/>
  <sheetViews>
    <sheetView workbookViewId="0">
      <selection activeCell="J21" sqref="J21"/>
    </sheetView>
  </sheetViews>
  <sheetFormatPr defaultColWidth="9.140625" defaultRowHeight="15.75"/>
  <cols>
    <col min="1" max="1" width="45.5703125" style="9" customWidth="1"/>
    <col min="2" max="2" width="19.7109375" style="9" customWidth="1"/>
    <col min="3" max="3" width="19" style="9" customWidth="1"/>
    <col min="4" max="4" width="16.140625" style="9" customWidth="1"/>
    <col min="5" max="5" width="15.7109375" style="9" customWidth="1"/>
    <col min="6" max="9" width="12.7109375" style="9" customWidth="1"/>
    <col min="10" max="10" width="14.140625" style="9" customWidth="1"/>
    <col min="11" max="11" width="9.140625" style="9"/>
    <col min="12" max="12" width="10.5703125" style="9" customWidth="1"/>
    <col min="13" max="13" width="12.28515625" style="9" customWidth="1"/>
    <col min="14" max="16384" width="9.140625" style="9"/>
  </cols>
  <sheetData>
    <row r="1" spans="1:10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10">
      <c r="A3" s="26" t="s">
        <v>69</v>
      </c>
      <c r="J3" s="45"/>
    </row>
    <row r="4" spans="1:10">
      <c r="A4" s="174" t="s">
        <v>91</v>
      </c>
      <c r="C4" s="12"/>
    </row>
    <row r="5" spans="1:10">
      <c r="A5" s="175" t="s">
        <v>90</v>
      </c>
    </row>
    <row r="6" spans="1:10">
      <c r="A6" s="77"/>
    </row>
    <row r="7" spans="1:10">
      <c r="A7" s="12" t="s">
        <v>139</v>
      </c>
    </row>
    <row r="8" spans="1:10">
      <c r="A8" s="66" t="s">
        <v>40</v>
      </c>
      <c r="B8" s="71" t="s">
        <v>39</v>
      </c>
      <c r="C8" s="107" t="s">
        <v>53</v>
      </c>
      <c r="D8" s="82"/>
      <c r="E8" s="82"/>
      <c r="F8" s="82"/>
      <c r="G8" s="93"/>
    </row>
    <row r="9" spans="1:10">
      <c r="A9" s="67" t="s">
        <v>15</v>
      </c>
      <c r="B9" s="72" t="s">
        <v>171</v>
      </c>
      <c r="C9" s="45"/>
      <c r="D9" s="45"/>
      <c r="E9" s="45"/>
      <c r="F9" s="45"/>
      <c r="G9" s="68"/>
    </row>
    <row r="10" spans="1:10">
      <c r="A10" s="67" t="s">
        <v>95</v>
      </c>
      <c r="B10" s="72" t="s">
        <v>7</v>
      </c>
      <c r="C10" s="45"/>
      <c r="D10" s="45"/>
      <c r="E10" s="45"/>
      <c r="F10" s="45"/>
      <c r="G10" s="68"/>
    </row>
    <row r="11" spans="1:10">
      <c r="A11" s="67" t="s">
        <v>73</v>
      </c>
      <c r="B11" s="72" t="s">
        <v>8</v>
      </c>
      <c r="C11" s="45"/>
      <c r="D11" s="45"/>
      <c r="E11" s="45"/>
      <c r="F11" s="45"/>
      <c r="G11" s="68"/>
    </row>
    <row r="12" spans="1:10">
      <c r="A12" s="67" t="s">
        <v>74</v>
      </c>
      <c r="B12" s="72" t="s">
        <v>75</v>
      </c>
      <c r="C12" s="45"/>
      <c r="E12" s="45"/>
      <c r="F12" s="45"/>
      <c r="G12" s="68"/>
    </row>
    <row r="13" spans="1:10">
      <c r="A13" s="67" t="s">
        <v>125</v>
      </c>
      <c r="B13" s="98">
        <v>415412.04699999961</v>
      </c>
      <c r="C13" s="60" t="s">
        <v>124</v>
      </c>
      <c r="D13" s="45"/>
      <c r="E13" s="45"/>
      <c r="F13" s="45"/>
      <c r="G13" s="68"/>
    </row>
    <row r="14" spans="1:10">
      <c r="A14" s="67" t="s">
        <v>46</v>
      </c>
      <c r="B14" s="73">
        <v>14</v>
      </c>
      <c r="C14" s="45" t="s">
        <v>96</v>
      </c>
      <c r="D14" s="45"/>
      <c r="E14" s="45"/>
      <c r="F14" s="45"/>
      <c r="G14" s="68"/>
    </row>
    <row r="15" spans="1:10">
      <c r="A15" s="69" t="s">
        <v>52</v>
      </c>
      <c r="B15" s="99">
        <v>0.04</v>
      </c>
      <c r="C15" s="45" t="s">
        <v>70</v>
      </c>
      <c r="D15" s="45"/>
      <c r="E15" s="45"/>
      <c r="F15" s="45"/>
      <c r="G15" s="68"/>
    </row>
    <row r="16" spans="1:10">
      <c r="A16" s="69" t="s">
        <v>63</v>
      </c>
      <c r="B16" s="120">
        <v>0.1</v>
      </c>
      <c r="C16" s="45" t="s">
        <v>64</v>
      </c>
      <c r="D16" s="45"/>
      <c r="E16" s="45"/>
      <c r="F16" s="45"/>
      <c r="G16" s="68"/>
    </row>
    <row r="17" spans="1:12">
      <c r="A17" s="69" t="s">
        <v>126</v>
      </c>
      <c r="B17" s="73">
        <v>6470</v>
      </c>
      <c r="C17" s="45" t="s">
        <v>127</v>
      </c>
      <c r="D17" s="45"/>
      <c r="E17" s="45"/>
      <c r="F17" s="45"/>
      <c r="G17" s="68"/>
    </row>
    <row r="18" spans="1:12">
      <c r="A18" s="69" t="s">
        <v>150</v>
      </c>
      <c r="B18" s="73">
        <v>3.4119999999999999</v>
      </c>
      <c r="C18" s="45"/>
      <c r="D18" s="45"/>
      <c r="E18" s="45"/>
      <c r="F18" s="45"/>
      <c r="G18" s="68"/>
    </row>
    <row r="19" spans="1:12">
      <c r="A19" s="67" t="s">
        <v>42</v>
      </c>
      <c r="B19" s="73">
        <v>-2.2999999999999998</v>
      </c>
      <c r="C19" s="45"/>
      <c r="D19" s="45"/>
      <c r="E19" s="45"/>
      <c r="F19" s="45"/>
      <c r="G19" s="68"/>
    </row>
    <row r="20" spans="1:12">
      <c r="A20" s="157" t="s">
        <v>98</v>
      </c>
      <c r="B20" s="121" t="s">
        <v>99</v>
      </c>
      <c r="C20" s="42"/>
      <c r="D20" s="42"/>
      <c r="E20" s="42"/>
      <c r="F20" s="42"/>
      <c r="G20" s="70"/>
    </row>
    <row r="21" spans="1:12">
      <c r="A21" s="76" t="s">
        <v>76</v>
      </c>
    </row>
    <row r="22" spans="1:12">
      <c r="A22" s="29" t="s">
        <v>28</v>
      </c>
    </row>
    <row r="23" spans="1:12">
      <c r="A23" s="31" t="s">
        <v>27</v>
      </c>
    </row>
    <row r="25" spans="1:12">
      <c r="A25" s="12" t="str">
        <f>CONCATENATE("Energy Usage and O&amp;M Costs by Water Heater Type - ",State,", ", SpaceHeat,", Starting with ",StartWH," ",TankSize)</f>
        <v>Energy Usage and O&amp;M Costs by Water Heater Type - Washington, Gas FAF, Starting with Electric Resistance &lt;=55 Gallons</v>
      </c>
    </row>
    <row r="26" spans="1:12" ht="47.25">
      <c r="A26" s="89" t="s">
        <v>0</v>
      </c>
      <c r="B26" s="89" t="s">
        <v>138</v>
      </c>
      <c r="C26" s="89" t="s">
        <v>137</v>
      </c>
      <c r="D26" s="89" t="s">
        <v>136</v>
      </c>
      <c r="E26" s="89" t="s">
        <v>17</v>
      </c>
      <c r="F26" s="89" t="s">
        <v>53</v>
      </c>
      <c r="G26" s="82"/>
      <c r="H26" s="82"/>
      <c r="I26" s="82"/>
      <c r="J26" s="82"/>
      <c r="K26" s="82"/>
      <c r="L26" s="93"/>
    </row>
    <row r="27" spans="1:12">
      <c r="A27" s="2" t="s">
        <v>8</v>
      </c>
      <c r="B27" s="112">
        <v>3355.4343604471896</v>
      </c>
      <c r="C27" s="113">
        <v>0</v>
      </c>
      <c r="D27" s="114">
        <v>4.0147653217481896</v>
      </c>
      <c r="E27" s="115">
        <v>1</v>
      </c>
      <c r="F27" s="60" t="s">
        <v>62</v>
      </c>
      <c r="G27" s="45"/>
      <c r="H27" s="45"/>
      <c r="I27" s="45"/>
      <c r="J27" s="45"/>
      <c r="K27" s="45"/>
      <c r="L27" s="68"/>
    </row>
    <row r="28" spans="1:12">
      <c r="A28" s="2" t="s">
        <v>11</v>
      </c>
      <c r="B28" s="112">
        <v>1593.8313212124149</v>
      </c>
      <c r="C28" s="113">
        <v>0</v>
      </c>
      <c r="D28" s="114">
        <v>8.8912994251335906</v>
      </c>
      <c r="E28" s="115">
        <v>1</v>
      </c>
      <c r="F28" s="60" t="s">
        <v>62</v>
      </c>
      <c r="G28" s="45"/>
      <c r="H28" s="45"/>
      <c r="I28" s="45"/>
      <c r="J28" s="45"/>
      <c r="K28" s="45"/>
      <c r="L28" s="68"/>
    </row>
    <row r="29" spans="1:12">
      <c r="A29" s="2" t="s">
        <v>12</v>
      </c>
      <c r="B29" s="112">
        <v>0</v>
      </c>
      <c r="C29" s="113">
        <v>17.346578845220922</v>
      </c>
      <c r="D29" s="114">
        <v>12.364813725618941</v>
      </c>
      <c r="E29" s="115">
        <v>0</v>
      </c>
      <c r="F29" s="60" t="s">
        <v>62</v>
      </c>
      <c r="G29" s="45"/>
      <c r="H29" s="45"/>
      <c r="I29" s="45"/>
      <c r="J29" s="45"/>
      <c r="K29" s="45"/>
      <c r="L29" s="68"/>
    </row>
    <row r="30" spans="1:12">
      <c r="A30" s="2" t="s">
        <v>13</v>
      </c>
      <c r="B30" s="112">
        <v>0</v>
      </c>
      <c r="C30" s="113">
        <v>13.162899583423945</v>
      </c>
      <c r="D30" s="114">
        <v>66.879220980384858</v>
      </c>
      <c r="E30" s="115">
        <v>0</v>
      </c>
      <c r="F30" s="60" t="s">
        <v>62</v>
      </c>
      <c r="G30" s="45"/>
      <c r="H30" s="45"/>
      <c r="I30" s="45"/>
      <c r="J30" s="45"/>
      <c r="K30" s="45"/>
      <c r="L30" s="68"/>
    </row>
    <row r="31" spans="1:12">
      <c r="A31" s="79" t="s">
        <v>14</v>
      </c>
      <c r="B31" s="116">
        <v>0</v>
      </c>
      <c r="C31" s="117">
        <v>9.1880867494806662</v>
      </c>
      <c r="D31" s="118">
        <v>14.794662287278264</v>
      </c>
      <c r="E31" s="119">
        <v>0</v>
      </c>
      <c r="F31" s="106" t="s">
        <v>62</v>
      </c>
      <c r="G31" s="42"/>
      <c r="H31" s="42"/>
      <c r="I31" s="42"/>
      <c r="J31" s="42"/>
      <c r="K31" s="42"/>
      <c r="L31" s="70"/>
    </row>
    <row r="32" spans="1:12">
      <c r="A32" s="2"/>
      <c r="B32" s="112"/>
      <c r="C32" s="113"/>
      <c r="D32" s="114"/>
      <c r="E32" s="115"/>
      <c r="F32" s="60"/>
      <c r="G32" s="45"/>
      <c r="H32" s="45"/>
      <c r="I32" s="45"/>
      <c r="J32" s="45"/>
      <c r="K32" s="45"/>
      <c r="L32" s="45"/>
    </row>
    <row r="33" spans="1:1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59"/>
      <c r="L33" s="78"/>
    </row>
    <row r="34" spans="1:12">
      <c r="A34" s="12" t="str">
        <f>CONCATENATE("Capital Cost by Water Heater Type - ",State,", ", SpaceHeat,", Starting with ",StartWH," ",TankSize)</f>
        <v>Capital Cost by Water Heater Type - Washington, Gas FAF, Starting with Electric Resistance &lt;=55 Gallons</v>
      </c>
      <c r="B34" s="78"/>
      <c r="C34" s="78"/>
      <c r="D34" s="5"/>
      <c r="E34" s="2"/>
      <c r="F34" s="2"/>
      <c r="G34" s="78"/>
      <c r="H34" s="78"/>
      <c r="I34" s="78"/>
      <c r="J34" s="78"/>
      <c r="K34" s="78"/>
      <c r="L34" s="78"/>
    </row>
    <row r="35" spans="1:12" ht="31.5">
      <c r="A35" s="104" t="s">
        <v>0</v>
      </c>
      <c r="B35" s="104" t="s">
        <v>135</v>
      </c>
      <c r="C35" s="104" t="s">
        <v>67</v>
      </c>
      <c r="D35" s="105" t="s">
        <v>53</v>
      </c>
      <c r="E35" s="105"/>
      <c r="F35" s="105"/>
      <c r="G35" s="105"/>
      <c r="H35" s="105"/>
      <c r="I35" s="105"/>
      <c r="J35" s="105"/>
      <c r="K35" s="105"/>
      <c r="L35" s="105"/>
    </row>
    <row r="36" spans="1:12">
      <c r="A36" s="2" t="s">
        <v>8</v>
      </c>
      <c r="B36" s="108">
        <v>590</v>
      </c>
      <c r="C36" s="109" t="s">
        <v>57</v>
      </c>
      <c r="D36" s="55" t="s">
        <v>58</v>
      </c>
    </row>
    <row r="37" spans="1:12">
      <c r="A37" s="2" t="s">
        <v>11</v>
      </c>
      <c r="B37" s="108">
        <v>1621</v>
      </c>
      <c r="C37" s="109" t="s">
        <v>56</v>
      </c>
      <c r="D37" s="55" t="s">
        <v>59</v>
      </c>
    </row>
    <row r="38" spans="1:12">
      <c r="A38" s="2" t="s">
        <v>12</v>
      </c>
      <c r="B38" s="108">
        <v>785</v>
      </c>
      <c r="C38" s="109" t="s">
        <v>55</v>
      </c>
      <c r="D38" s="55" t="s">
        <v>60</v>
      </c>
    </row>
    <row r="39" spans="1:12">
      <c r="A39" s="2" t="s">
        <v>13</v>
      </c>
      <c r="B39" s="108">
        <v>3760</v>
      </c>
      <c r="C39" s="109" t="s">
        <v>55</v>
      </c>
      <c r="D39" s="55" t="s">
        <v>60</v>
      </c>
    </row>
    <row r="40" spans="1:12">
      <c r="A40" s="42" t="s">
        <v>14</v>
      </c>
      <c r="B40" s="110">
        <v>1861.3517860501238</v>
      </c>
      <c r="C40" s="111" t="s">
        <v>61</v>
      </c>
      <c r="D40" s="106" t="s">
        <v>54</v>
      </c>
      <c r="E40" s="42"/>
      <c r="F40" s="42"/>
      <c r="G40" s="42"/>
      <c r="H40" s="42"/>
      <c r="I40" s="42"/>
      <c r="J40" s="42"/>
      <c r="K40" s="42"/>
      <c r="L40" s="42"/>
    </row>
    <row r="41" spans="1:12">
      <c r="A41" s="45"/>
      <c r="B41" s="108"/>
      <c r="C41" s="143"/>
      <c r="D41" s="60"/>
      <c r="E41" s="45"/>
      <c r="F41" s="45"/>
      <c r="G41" s="45"/>
      <c r="H41" s="45"/>
      <c r="I41" s="45"/>
      <c r="J41" s="45"/>
      <c r="K41" s="45"/>
      <c r="L41" s="45"/>
    </row>
    <row r="43" spans="1:12" s="16" customFormat="1">
      <c r="A43" s="65" t="s">
        <v>26</v>
      </c>
    </row>
    <row r="44" spans="1:12" s="16" customFormat="1" ht="31.5">
      <c r="A44" s="141" t="s">
        <v>1</v>
      </c>
      <c r="B44" s="142" t="s">
        <v>2</v>
      </c>
      <c r="C44" s="142" t="s">
        <v>3</v>
      </c>
      <c r="D44" s="142" t="s">
        <v>4</v>
      </c>
      <c r="E44" s="142" t="s">
        <v>5</v>
      </c>
      <c r="F44" s="142" t="s">
        <v>6</v>
      </c>
      <c r="G44" s="142" t="s">
        <v>22</v>
      </c>
      <c r="H44" s="142" t="s">
        <v>23</v>
      </c>
    </row>
    <row r="45" spans="1:12" s="16" customFormat="1">
      <c r="A45" s="130">
        <v>5112121</v>
      </c>
      <c r="B45" s="101" t="s">
        <v>7</v>
      </c>
      <c r="C45" s="101" t="s">
        <v>8</v>
      </c>
      <c r="D45" s="101" t="s">
        <v>8</v>
      </c>
      <c r="E45" s="101" t="s">
        <v>9</v>
      </c>
      <c r="F45" s="101" t="s">
        <v>10</v>
      </c>
      <c r="G45" s="101" t="s">
        <v>24</v>
      </c>
      <c r="H45" s="101" t="s">
        <v>25</v>
      </c>
    </row>
    <row r="46" spans="1:12" s="16" customFormat="1">
      <c r="A46" s="130">
        <v>5112121</v>
      </c>
      <c r="B46" s="101" t="s">
        <v>7</v>
      </c>
      <c r="C46" s="101" t="s">
        <v>8</v>
      </c>
      <c r="D46" s="101" t="s">
        <v>11</v>
      </c>
      <c r="E46" s="101" t="s">
        <v>9</v>
      </c>
      <c r="F46" s="101" t="s">
        <v>10</v>
      </c>
      <c r="G46" s="101" t="s">
        <v>24</v>
      </c>
      <c r="H46" s="101" t="s">
        <v>25</v>
      </c>
    </row>
    <row r="47" spans="1:12" s="16" customFormat="1">
      <c r="A47" s="130">
        <v>5112121</v>
      </c>
      <c r="B47" s="101" t="s">
        <v>7</v>
      </c>
      <c r="C47" s="101" t="s">
        <v>8</v>
      </c>
      <c r="D47" s="101" t="s">
        <v>12</v>
      </c>
      <c r="E47" s="101" t="s">
        <v>9</v>
      </c>
      <c r="F47" s="101" t="s">
        <v>10</v>
      </c>
      <c r="G47" s="101" t="s">
        <v>24</v>
      </c>
      <c r="H47" s="101" t="s">
        <v>25</v>
      </c>
    </row>
    <row r="48" spans="1:12" s="16" customFormat="1">
      <c r="A48" s="130">
        <v>5112121</v>
      </c>
      <c r="B48" s="101" t="s">
        <v>7</v>
      </c>
      <c r="C48" s="101" t="s">
        <v>8</v>
      </c>
      <c r="D48" s="101" t="s">
        <v>13</v>
      </c>
      <c r="E48" s="101" t="s">
        <v>9</v>
      </c>
      <c r="F48" s="101" t="s">
        <v>10</v>
      </c>
      <c r="G48" s="101" t="s">
        <v>24</v>
      </c>
      <c r="H48" s="101" t="s">
        <v>25</v>
      </c>
    </row>
    <row r="49" spans="1:8" s="16" customFormat="1">
      <c r="A49" s="130">
        <v>5112121</v>
      </c>
      <c r="B49" s="101" t="s">
        <v>7</v>
      </c>
      <c r="C49" s="101" t="s">
        <v>8</v>
      </c>
      <c r="D49" s="101" t="s">
        <v>14</v>
      </c>
      <c r="E49" s="101" t="s">
        <v>9</v>
      </c>
      <c r="F49" s="101" t="s">
        <v>10</v>
      </c>
      <c r="G49" s="101" t="s">
        <v>24</v>
      </c>
      <c r="H49" s="101" t="s">
        <v>25</v>
      </c>
    </row>
    <row r="50" spans="1:8" s="16" customFormat="1">
      <c r="A50" s="74" t="s">
        <v>29</v>
      </c>
    </row>
    <row r="51" spans="1:8" s="16" customForma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31"/>
  <sheetViews>
    <sheetView workbookViewId="0"/>
  </sheetViews>
  <sheetFormatPr defaultRowHeight="15"/>
  <cols>
    <col min="1" max="1" width="22.85546875" customWidth="1"/>
    <col min="2" max="2" width="12.28515625" customWidth="1"/>
    <col min="3" max="9" width="9.7109375" customWidth="1"/>
  </cols>
  <sheetData>
    <row r="1" spans="1:23" ht="15.75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 s="9" customFormat="1" ht="22.5" customHeight="1">
      <c r="A3" s="26" t="s">
        <v>71</v>
      </c>
    </row>
    <row r="4" spans="1:23" s="9" customFormat="1" ht="15.75">
      <c r="A4" s="29" t="s">
        <v>37</v>
      </c>
    </row>
    <row r="5" spans="1:23" s="9" customFormat="1" ht="15.75">
      <c r="A5" s="30" t="s">
        <v>31</v>
      </c>
    </row>
    <row r="6" spans="1:23" s="9" customFormat="1" ht="15.75">
      <c r="A6" s="30" t="s">
        <v>32</v>
      </c>
    </row>
    <row r="7" spans="1:23" s="9" customFormat="1" ht="15.75">
      <c r="A7" s="126"/>
    </row>
    <row r="8" spans="1:23" s="9" customFormat="1" ht="15.75">
      <c r="A8" s="127" t="str">
        <f>CONCATENATE($A$3," - ",'Input Assumptions'!$B$9," ", 'Input Assumptions'!$B$10," Space Heat, ", 'Input Assumptions'!$B$11," ", 'Input Assumptions'!$B$12)</f>
        <v>Non-Price Factor Assumptions ($/$) - Washington Gas FAF Space Heat, Electric Resistance &lt;=55 Gallons</v>
      </c>
    </row>
    <row r="9" spans="1:23" s="23" customFormat="1" ht="15.75">
      <c r="A9" s="144" t="str">
        <f>+'Device Energy Use'!A4</f>
        <v>Water Heat Ending</v>
      </c>
      <c r="B9" s="145">
        <v>2014</v>
      </c>
      <c r="C9" s="145">
        <v>2015</v>
      </c>
      <c r="D9" s="145">
        <v>2016</v>
      </c>
      <c r="E9" s="145">
        <v>2017</v>
      </c>
      <c r="F9" s="145">
        <v>2018</v>
      </c>
      <c r="G9" s="145">
        <v>2019</v>
      </c>
      <c r="H9" s="145">
        <v>2020</v>
      </c>
      <c r="I9" s="145">
        <v>2021</v>
      </c>
      <c r="J9" s="145">
        <v>2022</v>
      </c>
      <c r="K9" s="145">
        <v>2023</v>
      </c>
      <c r="L9" s="145">
        <v>2024</v>
      </c>
      <c r="M9" s="145">
        <v>2025</v>
      </c>
      <c r="N9" s="145">
        <v>2026</v>
      </c>
      <c r="O9" s="145">
        <v>2027</v>
      </c>
      <c r="P9" s="145">
        <v>2028</v>
      </c>
      <c r="Q9" s="145">
        <v>2029</v>
      </c>
      <c r="R9" s="145">
        <v>2030</v>
      </c>
      <c r="S9" s="145">
        <v>2031</v>
      </c>
      <c r="T9" s="145">
        <v>2032</v>
      </c>
      <c r="U9" s="145">
        <v>2033</v>
      </c>
      <c r="V9" s="145">
        <v>2034</v>
      </c>
      <c r="W9" s="145">
        <v>2035</v>
      </c>
    </row>
    <row r="10" spans="1:23" s="9" customFormat="1" ht="15.75">
      <c r="A10" s="9" t="str">
        <f>+'Device Energy Use'!A5</f>
        <v>Electric Resistance</v>
      </c>
      <c r="B10" s="24">
        <v>10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</row>
    <row r="11" spans="1:23" s="9" customFormat="1" ht="15.75">
      <c r="A11" s="9" t="str">
        <f>+'Device Energy Use'!A6</f>
        <v>HPWH</v>
      </c>
      <c r="B11" s="24">
        <v>-10</v>
      </c>
      <c r="C11" s="36">
        <f t="shared" ref="C11:W11" si="0">B11*$I$16</f>
        <v>-9.2629999999999999</v>
      </c>
      <c r="D11" s="36">
        <f t="shared" si="0"/>
        <v>-8.5803168999999997</v>
      </c>
      <c r="E11" s="36">
        <f t="shared" si="0"/>
        <v>-7.9479475444699998</v>
      </c>
      <c r="F11" s="36">
        <f t="shared" si="0"/>
        <v>-7.362183810442561</v>
      </c>
      <c r="G11" s="36">
        <f t="shared" si="0"/>
        <v>-6.8195908636129445</v>
      </c>
      <c r="H11" s="36">
        <f t="shared" si="0"/>
        <v>-6.3169870169646707</v>
      </c>
      <c r="I11" s="36">
        <f t="shared" si="0"/>
        <v>-5.8514250738143749</v>
      </c>
      <c r="J11" s="36">
        <f t="shared" si="0"/>
        <v>-5.4201750458742559</v>
      </c>
      <c r="K11" s="36">
        <f t="shared" si="0"/>
        <v>-5.0207081449933231</v>
      </c>
      <c r="L11" s="36">
        <f t="shared" si="0"/>
        <v>-4.6506819547073155</v>
      </c>
      <c r="M11" s="36">
        <f t="shared" si="0"/>
        <v>-4.3079266946453867</v>
      </c>
      <c r="N11" s="36">
        <f t="shared" si="0"/>
        <v>-3.9904324972500218</v>
      </c>
      <c r="O11" s="36">
        <f t="shared" si="0"/>
        <v>-3.6963376222026953</v>
      </c>
      <c r="P11" s="36">
        <f t="shared" si="0"/>
        <v>-3.4239175394463568</v>
      </c>
      <c r="Q11" s="36">
        <f t="shared" si="0"/>
        <v>-3.1715748167891604</v>
      </c>
      <c r="R11" s="36">
        <f t="shared" si="0"/>
        <v>-2.9378297527917994</v>
      </c>
      <c r="S11" s="36">
        <f t="shared" si="0"/>
        <v>-2.7213117000110438</v>
      </c>
      <c r="T11" s="36">
        <f t="shared" si="0"/>
        <v>-2.5207510277202299</v>
      </c>
      <c r="U11" s="36">
        <f t="shared" si="0"/>
        <v>-2.3349716769772488</v>
      </c>
      <c r="V11" s="36">
        <f t="shared" si="0"/>
        <v>-2.1628842643840258</v>
      </c>
      <c r="W11" s="36">
        <f t="shared" si="0"/>
        <v>-2.0034796940989232</v>
      </c>
    </row>
    <row r="12" spans="1:23" s="9" customFormat="1" ht="15.75">
      <c r="A12" s="9" t="str">
        <f>+'Device Energy Use'!A7</f>
        <v>Gas Tank</v>
      </c>
      <c r="B12" s="24">
        <v>-2</v>
      </c>
      <c r="C12" s="36">
        <f t="shared" ref="C12:W12" si="1">B12</f>
        <v>-2</v>
      </c>
      <c r="D12" s="36">
        <f t="shared" si="1"/>
        <v>-2</v>
      </c>
      <c r="E12" s="36">
        <f t="shared" si="1"/>
        <v>-2</v>
      </c>
      <c r="F12" s="36">
        <f t="shared" si="1"/>
        <v>-2</v>
      </c>
      <c r="G12" s="36">
        <f t="shared" si="1"/>
        <v>-2</v>
      </c>
      <c r="H12" s="36">
        <f t="shared" si="1"/>
        <v>-2</v>
      </c>
      <c r="I12" s="36">
        <f t="shared" si="1"/>
        <v>-2</v>
      </c>
      <c r="J12" s="36">
        <f t="shared" si="1"/>
        <v>-2</v>
      </c>
      <c r="K12" s="36">
        <f t="shared" si="1"/>
        <v>-2</v>
      </c>
      <c r="L12" s="36">
        <f t="shared" si="1"/>
        <v>-2</v>
      </c>
      <c r="M12" s="36">
        <f t="shared" si="1"/>
        <v>-2</v>
      </c>
      <c r="N12" s="36">
        <f t="shared" si="1"/>
        <v>-2</v>
      </c>
      <c r="O12" s="36">
        <f t="shared" si="1"/>
        <v>-2</v>
      </c>
      <c r="P12" s="36">
        <f t="shared" si="1"/>
        <v>-2</v>
      </c>
      <c r="Q12" s="36">
        <f t="shared" si="1"/>
        <v>-2</v>
      </c>
      <c r="R12" s="36">
        <f t="shared" si="1"/>
        <v>-2</v>
      </c>
      <c r="S12" s="36">
        <f t="shared" si="1"/>
        <v>-2</v>
      </c>
      <c r="T12" s="36">
        <f t="shared" si="1"/>
        <v>-2</v>
      </c>
      <c r="U12" s="36">
        <f t="shared" si="1"/>
        <v>-2</v>
      </c>
      <c r="V12" s="36">
        <f t="shared" si="1"/>
        <v>-2</v>
      </c>
      <c r="W12" s="36">
        <f t="shared" si="1"/>
        <v>-2</v>
      </c>
    </row>
    <row r="13" spans="1:23" s="9" customFormat="1" ht="15.75">
      <c r="A13" s="9" t="str">
        <f>+'Device Energy Use'!A8</f>
        <v>Instant Gas</v>
      </c>
      <c r="B13" s="24">
        <v>-10</v>
      </c>
      <c r="C13" s="36">
        <f t="shared" ref="C13:W13" si="2">B13*$I$16</f>
        <v>-9.2629999999999999</v>
      </c>
      <c r="D13" s="36">
        <f t="shared" si="2"/>
        <v>-8.5803168999999997</v>
      </c>
      <c r="E13" s="36">
        <f t="shared" si="2"/>
        <v>-7.9479475444699998</v>
      </c>
      <c r="F13" s="36">
        <f t="shared" si="2"/>
        <v>-7.362183810442561</v>
      </c>
      <c r="G13" s="36">
        <f t="shared" si="2"/>
        <v>-6.8195908636129445</v>
      </c>
      <c r="H13" s="36">
        <f t="shared" si="2"/>
        <v>-6.3169870169646707</v>
      </c>
      <c r="I13" s="36">
        <f t="shared" si="2"/>
        <v>-5.8514250738143749</v>
      </c>
      <c r="J13" s="36">
        <f t="shared" si="2"/>
        <v>-5.4201750458742559</v>
      </c>
      <c r="K13" s="36">
        <f t="shared" si="2"/>
        <v>-5.0207081449933231</v>
      </c>
      <c r="L13" s="36">
        <f t="shared" si="2"/>
        <v>-4.6506819547073155</v>
      </c>
      <c r="M13" s="36">
        <f t="shared" si="2"/>
        <v>-4.3079266946453867</v>
      </c>
      <c r="N13" s="36">
        <f t="shared" si="2"/>
        <v>-3.9904324972500218</v>
      </c>
      <c r="O13" s="36">
        <f t="shared" si="2"/>
        <v>-3.6963376222026953</v>
      </c>
      <c r="P13" s="36">
        <f t="shared" si="2"/>
        <v>-3.4239175394463568</v>
      </c>
      <c r="Q13" s="36">
        <f t="shared" si="2"/>
        <v>-3.1715748167891604</v>
      </c>
      <c r="R13" s="36">
        <f t="shared" si="2"/>
        <v>-2.9378297527917994</v>
      </c>
      <c r="S13" s="36">
        <f t="shared" si="2"/>
        <v>-2.7213117000110438</v>
      </c>
      <c r="T13" s="36">
        <f t="shared" si="2"/>
        <v>-2.5207510277202299</v>
      </c>
      <c r="U13" s="36">
        <f t="shared" si="2"/>
        <v>-2.3349716769772488</v>
      </c>
      <c r="V13" s="36">
        <f t="shared" si="2"/>
        <v>-2.1628842643840258</v>
      </c>
      <c r="W13" s="36">
        <f t="shared" si="2"/>
        <v>-2.0034796940989232</v>
      </c>
    </row>
    <row r="14" spans="1:23" s="9" customFormat="1" ht="15.75">
      <c r="A14" s="9" t="str">
        <f>+'Device Energy Use'!A9</f>
        <v>Condensing Gas</v>
      </c>
      <c r="B14" s="24">
        <v>-10</v>
      </c>
      <c r="C14" s="36">
        <f t="shared" ref="C14:W14" si="3">B14*$I$16</f>
        <v>-9.2629999999999999</v>
      </c>
      <c r="D14" s="36">
        <f t="shared" si="3"/>
        <v>-8.5803168999999997</v>
      </c>
      <c r="E14" s="36">
        <f t="shared" si="3"/>
        <v>-7.9479475444699998</v>
      </c>
      <c r="F14" s="36">
        <f t="shared" si="3"/>
        <v>-7.362183810442561</v>
      </c>
      <c r="G14" s="36">
        <f t="shared" si="3"/>
        <v>-6.8195908636129445</v>
      </c>
      <c r="H14" s="36">
        <f t="shared" si="3"/>
        <v>-6.3169870169646707</v>
      </c>
      <c r="I14" s="36">
        <f t="shared" si="3"/>
        <v>-5.8514250738143749</v>
      </c>
      <c r="J14" s="36">
        <f t="shared" si="3"/>
        <v>-5.4201750458742559</v>
      </c>
      <c r="K14" s="36">
        <f t="shared" si="3"/>
        <v>-5.0207081449933231</v>
      </c>
      <c r="L14" s="36">
        <f t="shared" si="3"/>
        <v>-4.6506819547073155</v>
      </c>
      <c r="M14" s="36">
        <f t="shared" si="3"/>
        <v>-4.3079266946453867</v>
      </c>
      <c r="N14" s="36">
        <f t="shared" si="3"/>
        <v>-3.9904324972500218</v>
      </c>
      <c r="O14" s="36">
        <f t="shared" si="3"/>
        <v>-3.6963376222026953</v>
      </c>
      <c r="P14" s="36">
        <f t="shared" si="3"/>
        <v>-3.4239175394463568</v>
      </c>
      <c r="Q14" s="36">
        <f t="shared" si="3"/>
        <v>-3.1715748167891604</v>
      </c>
      <c r="R14" s="36">
        <f t="shared" si="3"/>
        <v>-2.9378297527917994</v>
      </c>
      <c r="S14" s="36">
        <f t="shared" si="3"/>
        <v>-2.7213117000110438</v>
      </c>
      <c r="T14" s="36">
        <f t="shared" si="3"/>
        <v>-2.5207510277202299</v>
      </c>
      <c r="U14" s="36">
        <f t="shared" si="3"/>
        <v>-2.3349716769772488</v>
      </c>
      <c r="V14" s="36">
        <f t="shared" si="3"/>
        <v>-2.1628842643840258</v>
      </c>
      <c r="W14" s="36">
        <f t="shared" si="3"/>
        <v>-2.0034796940989232</v>
      </c>
    </row>
    <row r="15" spans="1:23" s="9" customFormat="1" ht="15.75"/>
    <row r="16" spans="1:23" s="9" customFormat="1" ht="15.75">
      <c r="A16" s="37" t="s">
        <v>92</v>
      </c>
      <c r="I16" s="36">
        <v>0.92630000000000001</v>
      </c>
    </row>
    <row r="17" spans="1:23" s="9" customFormat="1" ht="15.75">
      <c r="A17" s="32"/>
    </row>
    <row r="18" spans="1:23" s="9" customFormat="1" ht="15.75">
      <c r="A18" s="127" t="str">
        <f>CONCATENATE("Impact of Non-Price Factors on Market Share (%)"," - ",'Input Assumptions'!$B$9," ", 'Input Assumptions'!$B$10," Space Heat, ", 'Input Assumptions'!$B$11," ", 'Input Assumptions'!$B$12)</f>
        <v>Impact of Non-Price Factors on Market Share (%) - Washington Gas FAF Space Heat, Electric Resistance &lt;=55 Gallons</v>
      </c>
    </row>
    <row r="19" spans="1:23" s="9" customFormat="1" ht="15.75">
      <c r="A19" s="144" t="str">
        <f t="shared" ref="A19:W19" si="4">A9</f>
        <v>Water Heat Ending</v>
      </c>
      <c r="B19" s="145">
        <f t="shared" si="4"/>
        <v>2014</v>
      </c>
      <c r="C19" s="145">
        <f t="shared" si="4"/>
        <v>2015</v>
      </c>
      <c r="D19" s="145">
        <f t="shared" si="4"/>
        <v>2016</v>
      </c>
      <c r="E19" s="145">
        <f t="shared" si="4"/>
        <v>2017</v>
      </c>
      <c r="F19" s="145">
        <f t="shared" si="4"/>
        <v>2018</v>
      </c>
      <c r="G19" s="145">
        <f t="shared" si="4"/>
        <v>2019</v>
      </c>
      <c r="H19" s="145">
        <f t="shared" si="4"/>
        <v>2020</v>
      </c>
      <c r="I19" s="145">
        <f t="shared" si="4"/>
        <v>2021</v>
      </c>
      <c r="J19" s="145">
        <f t="shared" si="4"/>
        <v>2022</v>
      </c>
      <c r="K19" s="145">
        <f t="shared" si="4"/>
        <v>2023</v>
      </c>
      <c r="L19" s="145">
        <f t="shared" si="4"/>
        <v>2024</v>
      </c>
      <c r="M19" s="145">
        <f t="shared" si="4"/>
        <v>2025</v>
      </c>
      <c r="N19" s="145">
        <f t="shared" si="4"/>
        <v>2026</v>
      </c>
      <c r="O19" s="145">
        <f t="shared" si="4"/>
        <v>2027</v>
      </c>
      <c r="P19" s="145">
        <f t="shared" si="4"/>
        <v>2028</v>
      </c>
      <c r="Q19" s="145">
        <f t="shared" si="4"/>
        <v>2029</v>
      </c>
      <c r="R19" s="145">
        <f t="shared" si="4"/>
        <v>2030</v>
      </c>
      <c r="S19" s="145">
        <f t="shared" si="4"/>
        <v>2031</v>
      </c>
      <c r="T19" s="145">
        <f t="shared" si="4"/>
        <v>2032</v>
      </c>
      <c r="U19" s="145">
        <f t="shared" si="4"/>
        <v>2033</v>
      </c>
      <c r="V19" s="145">
        <f t="shared" si="4"/>
        <v>2034</v>
      </c>
      <c r="W19" s="145">
        <f t="shared" si="4"/>
        <v>2035</v>
      </c>
    </row>
    <row r="20" spans="1:23" s="9" customFormat="1" ht="15.75">
      <c r="A20" s="10" t="str">
        <f>A10</f>
        <v>Electric Resistance</v>
      </c>
      <c r="B20" s="128">
        <f>EXP(B10)</f>
        <v>22026.465794806718</v>
      </c>
      <c r="C20" s="128">
        <f>EXP(C10)</f>
        <v>1</v>
      </c>
      <c r="D20" s="128">
        <f t="shared" ref="D20:W24" si="5">EXP(D10)</f>
        <v>1</v>
      </c>
      <c r="E20" s="128">
        <f t="shared" si="5"/>
        <v>1</v>
      </c>
      <c r="F20" s="128">
        <f t="shared" si="5"/>
        <v>1</v>
      </c>
      <c r="G20" s="128">
        <f t="shared" si="5"/>
        <v>1</v>
      </c>
      <c r="H20" s="128">
        <f t="shared" si="5"/>
        <v>1</v>
      </c>
      <c r="I20" s="128">
        <f t="shared" si="5"/>
        <v>1</v>
      </c>
      <c r="J20" s="128">
        <f t="shared" si="5"/>
        <v>1</v>
      </c>
      <c r="K20" s="128">
        <f t="shared" si="5"/>
        <v>1</v>
      </c>
      <c r="L20" s="128">
        <f t="shared" si="5"/>
        <v>1</v>
      </c>
      <c r="M20" s="128">
        <f t="shared" si="5"/>
        <v>1</v>
      </c>
      <c r="N20" s="128">
        <f t="shared" si="5"/>
        <v>1</v>
      </c>
      <c r="O20" s="128">
        <f t="shared" si="5"/>
        <v>1</v>
      </c>
      <c r="P20" s="128">
        <f t="shared" si="5"/>
        <v>1</v>
      </c>
      <c r="Q20" s="128">
        <f t="shared" si="5"/>
        <v>1</v>
      </c>
      <c r="R20" s="128">
        <f t="shared" si="5"/>
        <v>1</v>
      </c>
      <c r="S20" s="128">
        <f t="shared" si="5"/>
        <v>1</v>
      </c>
      <c r="T20" s="128">
        <f t="shared" si="5"/>
        <v>1</v>
      </c>
      <c r="U20" s="128">
        <f t="shared" si="5"/>
        <v>1</v>
      </c>
      <c r="V20" s="128">
        <f t="shared" si="5"/>
        <v>1</v>
      </c>
      <c r="W20" s="128">
        <f t="shared" si="5"/>
        <v>1</v>
      </c>
    </row>
    <row r="21" spans="1:23" s="9" customFormat="1" ht="15.75">
      <c r="A21" s="10" t="str">
        <f>A11</f>
        <v>HPWH</v>
      </c>
      <c r="B21" s="128">
        <f>EXP(B11)</f>
        <v>4.5399929762484854E-5</v>
      </c>
      <c r="C21" s="128">
        <f t="shared" ref="C21:R24" si="6">EXP(C11)</f>
        <v>9.4870286940392634E-5</v>
      </c>
      <c r="D21" s="128">
        <f t="shared" si="6"/>
        <v>1.8776546510123642E-4</v>
      </c>
      <c r="E21" s="128">
        <f t="shared" si="6"/>
        <v>3.5338673135440333E-4</v>
      </c>
      <c r="F21" s="128">
        <f t="shared" si="6"/>
        <v>6.3481063861947802E-4</v>
      </c>
      <c r="G21" s="128">
        <f t="shared" si="6"/>
        <v>1.0921676764187808E-3</v>
      </c>
      <c r="H21" s="128">
        <f t="shared" si="6"/>
        <v>1.8053748836946277E-3</v>
      </c>
      <c r="I21" s="128">
        <f t="shared" si="6"/>
        <v>2.8757980121219356E-3</v>
      </c>
      <c r="J21" s="128">
        <f t="shared" si="6"/>
        <v>4.4263717618983544E-3</v>
      </c>
      <c r="K21" s="128">
        <f t="shared" si="6"/>
        <v>6.599851402385312E-3</v>
      </c>
      <c r="L21" s="128">
        <f t="shared" si="6"/>
        <v>9.5550835739620938E-3</v>
      </c>
      <c r="M21" s="128">
        <f t="shared" si="6"/>
        <v>1.3461430337210025E-2</v>
      </c>
      <c r="N21" s="128">
        <f t="shared" si="6"/>
        <v>1.8491714774308395E-2</v>
      </c>
      <c r="O21" s="128">
        <f t="shared" si="6"/>
        <v>2.4814239375826518E-2</v>
      </c>
      <c r="P21" s="128">
        <f t="shared" si="6"/>
        <v>3.2584533378041639E-2</v>
      </c>
      <c r="Q21" s="128">
        <f t="shared" si="6"/>
        <v>4.1937501990398925E-2</v>
      </c>
      <c r="R21" s="128">
        <f t="shared" si="6"/>
        <v>5.2980585026743042E-2</v>
      </c>
      <c r="S21" s="128">
        <f t="shared" si="5"/>
        <v>6.578840315615643E-2</v>
      </c>
      <c r="T21" s="128">
        <f t="shared" si="5"/>
        <v>8.0399202040149567E-2</v>
      </c>
      <c r="U21" s="128">
        <f t="shared" si="5"/>
        <v>9.6813224530790096E-2</v>
      </c>
      <c r="V21" s="128">
        <f t="shared" si="5"/>
        <v>0.11499297213176096</v>
      </c>
      <c r="W21" s="128">
        <f t="shared" si="5"/>
        <v>0.13486517623877975</v>
      </c>
    </row>
    <row r="22" spans="1:23" ht="15.75">
      <c r="A22" s="10" t="str">
        <f>A12</f>
        <v>Gas Tank</v>
      </c>
      <c r="B22" s="128">
        <f t="shared" ref="B22:B24" si="7">EXP(B12)</f>
        <v>0.1353352832366127</v>
      </c>
      <c r="C22" s="128">
        <f t="shared" si="6"/>
        <v>0.1353352832366127</v>
      </c>
      <c r="D22" s="128">
        <f t="shared" si="5"/>
        <v>0.1353352832366127</v>
      </c>
      <c r="E22" s="128">
        <f t="shared" si="5"/>
        <v>0.1353352832366127</v>
      </c>
      <c r="F22" s="128">
        <f t="shared" si="5"/>
        <v>0.1353352832366127</v>
      </c>
      <c r="G22" s="128">
        <f t="shared" si="5"/>
        <v>0.1353352832366127</v>
      </c>
      <c r="H22" s="128">
        <f t="shared" si="5"/>
        <v>0.1353352832366127</v>
      </c>
      <c r="I22" s="128">
        <f t="shared" si="5"/>
        <v>0.1353352832366127</v>
      </c>
      <c r="J22" s="128">
        <f t="shared" si="5"/>
        <v>0.1353352832366127</v>
      </c>
      <c r="K22" s="128">
        <f t="shared" si="5"/>
        <v>0.1353352832366127</v>
      </c>
      <c r="L22" s="128">
        <f t="shared" si="5"/>
        <v>0.1353352832366127</v>
      </c>
      <c r="M22" s="128">
        <f t="shared" si="5"/>
        <v>0.1353352832366127</v>
      </c>
      <c r="N22" s="128">
        <f t="shared" si="5"/>
        <v>0.1353352832366127</v>
      </c>
      <c r="O22" s="128">
        <f t="shared" si="5"/>
        <v>0.1353352832366127</v>
      </c>
      <c r="P22" s="128">
        <f t="shared" si="5"/>
        <v>0.1353352832366127</v>
      </c>
      <c r="Q22" s="128">
        <f t="shared" si="5"/>
        <v>0.1353352832366127</v>
      </c>
      <c r="R22" s="128">
        <f t="shared" si="5"/>
        <v>0.1353352832366127</v>
      </c>
      <c r="S22" s="128">
        <f t="shared" si="5"/>
        <v>0.1353352832366127</v>
      </c>
      <c r="T22" s="128">
        <f t="shared" si="5"/>
        <v>0.1353352832366127</v>
      </c>
      <c r="U22" s="128">
        <f t="shared" si="5"/>
        <v>0.1353352832366127</v>
      </c>
      <c r="V22" s="128">
        <f t="shared" si="5"/>
        <v>0.1353352832366127</v>
      </c>
      <c r="W22" s="128">
        <f t="shared" si="5"/>
        <v>0.1353352832366127</v>
      </c>
    </row>
    <row r="23" spans="1:23" ht="15.75">
      <c r="A23" s="10" t="str">
        <f>A13</f>
        <v>Instant Gas</v>
      </c>
      <c r="B23" s="128">
        <f t="shared" si="7"/>
        <v>4.5399929762484854E-5</v>
      </c>
      <c r="C23" s="128">
        <f t="shared" si="6"/>
        <v>9.4870286940392634E-5</v>
      </c>
      <c r="D23" s="128">
        <f t="shared" si="5"/>
        <v>1.8776546510123642E-4</v>
      </c>
      <c r="E23" s="128">
        <f t="shared" si="5"/>
        <v>3.5338673135440333E-4</v>
      </c>
      <c r="F23" s="128">
        <f t="shared" si="5"/>
        <v>6.3481063861947802E-4</v>
      </c>
      <c r="G23" s="128">
        <f t="shared" si="5"/>
        <v>1.0921676764187808E-3</v>
      </c>
      <c r="H23" s="128">
        <f t="shared" si="5"/>
        <v>1.8053748836946277E-3</v>
      </c>
      <c r="I23" s="128">
        <f t="shared" si="5"/>
        <v>2.8757980121219356E-3</v>
      </c>
      <c r="J23" s="128">
        <f t="shared" si="5"/>
        <v>4.4263717618983544E-3</v>
      </c>
      <c r="K23" s="128">
        <f t="shared" si="5"/>
        <v>6.599851402385312E-3</v>
      </c>
      <c r="L23" s="128">
        <f t="shared" si="5"/>
        <v>9.5550835739620938E-3</v>
      </c>
      <c r="M23" s="128">
        <f t="shared" si="5"/>
        <v>1.3461430337210025E-2</v>
      </c>
      <c r="N23" s="128">
        <f t="shared" si="5"/>
        <v>1.8491714774308395E-2</v>
      </c>
      <c r="O23" s="128">
        <f t="shared" si="5"/>
        <v>2.4814239375826518E-2</v>
      </c>
      <c r="P23" s="128">
        <f t="shared" si="5"/>
        <v>3.2584533378041639E-2</v>
      </c>
      <c r="Q23" s="128">
        <f t="shared" si="5"/>
        <v>4.1937501990398925E-2</v>
      </c>
      <c r="R23" s="128">
        <f t="shared" si="5"/>
        <v>5.2980585026743042E-2</v>
      </c>
      <c r="S23" s="128">
        <f t="shared" si="5"/>
        <v>6.578840315615643E-2</v>
      </c>
      <c r="T23" s="128">
        <f t="shared" si="5"/>
        <v>8.0399202040149567E-2</v>
      </c>
      <c r="U23" s="128">
        <f t="shared" si="5"/>
        <v>9.6813224530790096E-2</v>
      </c>
      <c r="V23" s="128">
        <f t="shared" si="5"/>
        <v>0.11499297213176096</v>
      </c>
      <c r="W23" s="128">
        <f t="shared" si="5"/>
        <v>0.13486517623877975</v>
      </c>
    </row>
    <row r="24" spans="1:23" ht="15.75">
      <c r="A24" s="10" t="str">
        <f>A14</f>
        <v>Condensing Gas</v>
      </c>
      <c r="B24" s="128">
        <f t="shared" si="7"/>
        <v>4.5399929762484854E-5</v>
      </c>
      <c r="C24" s="128">
        <f t="shared" si="6"/>
        <v>9.4870286940392634E-5</v>
      </c>
      <c r="D24" s="128">
        <f t="shared" si="5"/>
        <v>1.8776546510123642E-4</v>
      </c>
      <c r="E24" s="128">
        <f t="shared" si="5"/>
        <v>3.5338673135440333E-4</v>
      </c>
      <c r="F24" s="128">
        <f t="shared" si="5"/>
        <v>6.3481063861947802E-4</v>
      </c>
      <c r="G24" s="128">
        <f t="shared" si="5"/>
        <v>1.0921676764187808E-3</v>
      </c>
      <c r="H24" s="128">
        <f t="shared" si="5"/>
        <v>1.8053748836946277E-3</v>
      </c>
      <c r="I24" s="128">
        <f t="shared" si="5"/>
        <v>2.8757980121219356E-3</v>
      </c>
      <c r="J24" s="128">
        <f t="shared" si="5"/>
        <v>4.4263717618983544E-3</v>
      </c>
      <c r="K24" s="128">
        <f t="shared" si="5"/>
        <v>6.599851402385312E-3</v>
      </c>
      <c r="L24" s="128">
        <f t="shared" si="5"/>
        <v>9.5550835739620938E-3</v>
      </c>
      <c r="M24" s="128">
        <f t="shared" si="5"/>
        <v>1.3461430337210025E-2</v>
      </c>
      <c r="N24" s="128">
        <f t="shared" si="5"/>
        <v>1.8491714774308395E-2</v>
      </c>
      <c r="O24" s="128">
        <f t="shared" si="5"/>
        <v>2.4814239375826518E-2</v>
      </c>
      <c r="P24" s="128">
        <f t="shared" si="5"/>
        <v>3.2584533378041639E-2</v>
      </c>
      <c r="Q24" s="128">
        <f t="shared" si="5"/>
        <v>4.1937501990398925E-2</v>
      </c>
      <c r="R24" s="128">
        <f t="shared" si="5"/>
        <v>5.2980585026743042E-2</v>
      </c>
      <c r="S24" s="128">
        <f t="shared" si="5"/>
        <v>6.578840315615643E-2</v>
      </c>
      <c r="T24" s="128">
        <f t="shared" si="5"/>
        <v>8.0399202040149567E-2</v>
      </c>
      <c r="U24" s="128">
        <f t="shared" si="5"/>
        <v>9.6813224530790096E-2</v>
      </c>
      <c r="V24" s="128">
        <f t="shared" si="5"/>
        <v>0.11499297213176096</v>
      </c>
      <c r="W24" s="128">
        <f t="shared" si="5"/>
        <v>0.13486517623877975</v>
      </c>
    </row>
    <row r="25" spans="1:23" ht="15.75">
      <c r="A25" s="10"/>
    </row>
    <row r="26" spans="1:23" s="9" customFormat="1" ht="15.75">
      <c r="A26" s="37" t="s">
        <v>33</v>
      </c>
    </row>
    <row r="27" spans="1:23" s="9" customFormat="1" ht="15.75">
      <c r="A27" s="35" t="s">
        <v>34</v>
      </c>
    </row>
    <row r="28" spans="1:23" s="9" customFormat="1" ht="15.75">
      <c r="A28" s="35" t="s">
        <v>41</v>
      </c>
    </row>
    <row r="29" spans="1:23" s="9" customFormat="1" ht="15.75">
      <c r="A29" s="35" t="s">
        <v>35</v>
      </c>
    </row>
    <row r="30" spans="1:23" s="9" customFormat="1" ht="15.75">
      <c r="A30" s="35" t="s">
        <v>36</v>
      </c>
    </row>
    <row r="31" spans="1:23" ht="15.75">
      <c r="A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A9"/>
  <sheetViews>
    <sheetView tabSelected="1" workbookViewId="0">
      <selection activeCell="D17" sqref="D17"/>
    </sheetView>
  </sheetViews>
  <sheetFormatPr defaultColWidth="9.140625" defaultRowHeight="15.75"/>
  <cols>
    <col min="1" max="1" width="12.7109375" style="9" customWidth="1"/>
    <col min="2" max="16384" width="9.140625" style="9"/>
  </cols>
  <sheetData>
    <row r="1" spans="1:27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7" ht="26.25" customHeight="1">
      <c r="A3" s="26" t="str">
        <f>CONCATENATE('Input Assumptions'!B9," Retail Rates (2012$/mmBtu)")</f>
        <v>Washington Retail Rates (2012$/mmBtu)</v>
      </c>
    </row>
    <row r="4" spans="1:27">
      <c r="B4" s="176">
        <v>2014</v>
      </c>
      <c r="C4" s="176">
        <v>2015</v>
      </c>
      <c r="D4" s="176">
        <v>2016</v>
      </c>
      <c r="E4" s="176">
        <v>2017</v>
      </c>
      <c r="F4" s="176">
        <v>2018</v>
      </c>
      <c r="G4" s="176">
        <v>2019</v>
      </c>
      <c r="H4" s="176">
        <v>2020</v>
      </c>
      <c r="I4" s="176">
        <v>2021</v>
      </c>
      <c r="J4" s="176">
        <v>2022</v>
      </c>
      <c r="K4" s="176">
        <v>2023</v>
      </c>
      <c r="L4" s="176">
        <v>2024</v>
      </c>
      <c r="M4" s="176">
        <v>2025</v>
      </c>
      <c r="N4" s="176">
        <v>2026</v>
      </c>
      <c r="O4" s="176">
        <v>2027</v>
      </c>
      <c r="P4" s="176">
        <v>2028</v>
      </c>
      <c r="Q4" s="176">
        <v>2029</v>
      </c>
      <c r="R4" s="176">
        <v>2030</v>
      </c>
      <c r="S4" s="176">
        <v>2031</v>
      </c>
      <c r="T4" s="176">
        <v>2032</v>
      </c>
      <c r="U4" s="176">
        <v>2033</v>
      </c>
      <c r="V4" s="176">
        <v>2034</v>
      </c>
      <c r="W4" s="176">
        <v>2035</v>
      </c>
    </row>
    <row r="5" spans="1:27">
      <c r="A5" s="9" t="s">
        <v>18</v>
      </c>
      <c r="B5" s="64">
        <v>25.643963309999993</v>
      </c>
      <c r="C5" s="64">
        <v>25.977334833029989</v>
      </c>
      <c r="D5" s="64">
        <v>26.315040185859377</v>
      </c>
      <c r="E5" s="64">
        <v>26.657135708275547</v>
      </c>
      <c r="F5" s="64">
        <v>27.003678472483127</v>
      </c>
      <c r="G5" s="64">
        <v>27.354726292625404</v>
      </c>
      <c r="H5" s="64">
        <v>27.710337734429533</v>
      </c>
      <c r="I5" s="64">
        <v>28.070572124977115</v>
      </c>
      <c r="J5" s="64">
        <v>28.435489562601816</v>
      </c>
      <c r="K5" s="64">
        <v>28.805150926915637</v>
      </c>
      <c r="L5" s="64">
        <v>29.179617888965538</v>
      </c>
      <c r="M5" s="64">
        <v>29.558952921522089</v>
      </c>
      <c r="N5" s="64">
        <v>29.943219309501874</v>
      </c>
      <c r="O5" s="64">
        <v>30.332481160525397</v>
      </c>
      <c r="P5" s="64">
        <v>30.726803415612224</v>
      </c>
      <c r="Q5" s="64">
        <v>31.126251860015181</v>
      </c>
      <c r="R5" s="64">
        <v>31.530893134195374</v>
      </c>
      <c r="S5" s="64">
        <v>31.940794744939911</v>
      </c>
      <c r="T5" s="64">
        <v>32.356025076624128</v>
      </c>
      <c r="U5" s="64">
        <v>32.776653402620241</v>
      </c>
      <c r="V5" s="64">
        <v>33.2027498968543</v>
      </c>
      <c r="W5" s="64">
        <v>33.634385645513404</v>
      </c>
      <c r="X5" s="10"/>
      <c r="Y5" s="10"/>
      <c r="Z5" s="10"/>
      <c r="AA5" s="10"/>
    </row>
    <row r="6" spans="1:27">
      <c r="A6" s="9" t="s">
        <v>19</v>
      </c>
      <c r="B6" s="64">
        <v>11.878494249999996</v>
      </c>
      <c r="C6" s="64">
        <v>12.056671663749995</v>
      </c>
      <c r="D6" s="64">
        <v>12.237521738706244</v>
      </c>
      <c r="E6" s="64">
        <v>12.421084564786836</v>
      </c>
      <c r="F6" s="64">
        <v>12.607400833258637</v>
      </c>
      <c r="G6" s="64">
        <v>12.796511845757516</v>
      </c>
      <c r="H6" s="64">
        <v>12.988459523443877</v>
      </c>
      <c r="I6" s="64">
        <v>13.183286416295534</v>
      </c>
      <c r="J6" s="64">
        <v>13.381035712539965</v>
      </c>
      <c r="K6" s="64">
        <v>13.581751248228064</v>
      </c>
      <c r="L6" s="64">
        <v>13.785477516951484</v>
      </c>
      <c r="M6" s="64">
        <v>13.992259679705755</v>
      </c>
      <c r="N6" s="64">
        <v>14.20214357490134</v>
      </c>
      <c r="O6" s="64">
        <v>14.41517572852486</v>
      </c>
      <c r="P6" s="64">
        <v>14.631403364452732</v>
      </c>
      <c r="Q6" s="64">
        <v>14.850874414919522</v>
      </c>
      <c r="R6" s="64">
        <v>15.073637531143314</v>
      </c>
      <c r="S6" s="64">
        <v>15.299742094110462</v>
      </c>
      <c r="T6" s="64">
        <v>15.529238225522118</v>
      </c>
      <c r="U6" s="64">
        <v>15.762176798904948</v>
      </c>
      <c r="V6" s="64">
        <v>15.998609450888521</v>
      </c>
      <c r="W6" s="64">
        <v>16.238588592651848</v>
      </c>
      <c r="X6" s="11"/>
      <c r="Y6" s="11"/>
      <c r="Z6" s="11"/>
      <c r="AA6" s="11"/>
    </row>
    <row r="8" spans="1:27">
      <c r="A8" s="29" t="s">
        <v>72</v>
      </c>
    </row>
    <row r="9" spans="1:27">
      <c r="A9" s="77" t="s">
        <v>90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8"/>
  <sheetViews>
    <sheetView workbookViewId="0">
      <selection activeCell="D15" sqref="D15"/>
    </sheetView>
  </sheetViews>
  <sheetFormatPr defaultRowHeight="15.75"/>
  <cols>
    <col min="1" max="1" width="25.7109375" style="9" customWidth="1"/>
    <col min="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3">
      <c r="A3" s="12" t="s">
        <v>128</v>
      </c>
    </row>
    <row r="4" spans="1:23"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9">
        <v>2023</v>
      </c>
      <c r="L4" s="9">
        <v>2024</v>
      </c>
      <c r="M4" s="9">
        <v>2025</v>
      </c>
      <c r="N4" s="9">
        <v>2026</v>
      </c>
      <c r="O4" s="9">
        <v>2027</v>
      </c>
      <c r="P4" s="9">
        <v>2028</v>
      </c>
      <c r="Q4" s="9">
        <v>2029</v>
      </c>
      <c r="R4" s="9">
        <v>2030</v>
      </c>
      <c r="S4" s="9">
        <v>2031</v>
      </c>
      <c r="T4" s="9">
        <v>2032</v>
      </c>
      <c r="U4" s="9">
        <v>2033</v>
      </c>
      <c r="V4" s="9">
        <v>2034</v>
      </c>
      <c r="W4" s="9">
        <v>2035</v>
      </c>
    </row>
    <row r="5" spans="1:23">
      <c r="A5" s="9" t="s">
        <v>130</v>
      </c>
      <c r="B5" s="64">
        <v>4.3899999999999997</v>
      </c>
      <c r="C5" s="64">
        <v>4.2699999999999996</v>
      </c>
      <c r="D5" s="64">
        <v>4.2699999999999996</v>
      </c>
      <c r="E5" s="64">
        <v>4.32</v>
      </c>
      <c r="F5" s="64">
        <v>4.3899999999999997</v>
      </c>
      <c r="G5" s="64">
        <v>4.47</v>
      </c>
      <c r="H5" s="64">
        <v>4.66</v>
      </c>
      <c r="I5" s="64">
        <v>4.75</v>
      </c>
      <c r="J5" s="64">
        <v>4.8499999999999996</v>
      </c>
      <c r="K5" s="64">
        <v>4.95</v>
      </c>
      <c r="L5" s="64">
        <v>5.04</v>
      </c>
      <c r="M5" s="64">
        <v>5.27</v>
      </c>
      <c r="N5" s="64">
        <v>5.4</v>
      </c>
      <c r="O5" s="64">
        <v>5.53</v>
      </c>
      <c r="P5" s="64">
        <v>5.67</v>
      </c>
      <c r="Q5" s="64">
        <v>5.81</v>
      </c>
      <c r="R5" s="64">
        <v>6.06</v>
      </c>
      <c r="S5" s="64">
        <v>6.21</v>
      </c>
      <c r="T5" s="64">
        <v>6.36</v>
      </c>
      <c r="U5" s="64">
        <v>6.52</v>
      </c>
      <c r="V5" s="64">
        <v>6.69</v>
      </c>
      <c r="W5" s="64">
        <v>6.85</v>
      </c>
    </row>
    <row r="7" spans="1:23">
      <c r="A7" s="29" t="s">
        <v>129</v>
      </c>
    </row>
    <row r="8" spans="1:23">
      <c r="A8" s="29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Y7"/>
  <sheetViews>
    <sheetView workbookViewId="0"/>
  </sheetViews>
  <sheetFormatPr defaultColWidth="9.140625" defaultRowHeight="15.75"/>
  <cols>
    <col min="1" max="1" width="12.7109375" style="9" customWidth="1"/>
    <col min="2" max="3" width="9.140625" style="9"/>
    <col min="4" max="4" width="9.28515625" style="9" customWidth="1"/>
    <col min="5" max="16384" width="9.140625" style="9"/>
  </cols>
  <sheetData>
    <row r="1" spans="1:51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51">
      <c r="A3" s="26" t="s">
        <v>160</v>
      </c>
    </row>
    <row r="4" spans="1:51" ht="16.5" customHeight="1">
      <c r="B4" s="12">
        <v>1986</v>
      </c>
      <c r="C4" s="12">
        <v>1987</v>
      </c>
      <c r="D4" s="12">
        <v>1988</v>
      </c>
      <c r="E4" s="12">
        <v>1989</v>
      </c>
      <c r="F4" s="12">
        <v>1990</v>
      </c>
      <c r="G4" s="12">
        <v>1991</v>
      </c>
      <c r="H4" s="12">
        <v>1992</v>
      </c>
      <c r="I4" s="12">
        <v>1993</v>
      </c>
      <c r="J4" s="12">
        <v>1994</v>
      </c>
      <c r="K4" s="12">
        <v>1995</v>
      </c>
      <c r="L4" s="12">
        <v>1996</v>
      </c>
      <c r="M4" s="12">
        <v>1997</v>
      </c>
      <c r="N4" s="12">
        <v>1998</v>
      </c>
      <c r="O4" s="12">
        <v>1999</v>
      </c>
      <c r="P4" s="12">
        <v>2000</v>
      </c>
      <c r="Q4" s="12">
        <v>2001</v>
      </c>
      <c r="R4" s="12">
        <v>2002</v>
      </c>
      <c r="S4" s="12">
        <v>2003</v>
      </c>
      <c r="T4" s="12">
        <v>2004</v>
      </c>
      <c r="U4" s="12">
        <v>2005</v>
      </c>
      <c r="V4" s="12">
        <v>2006</v>
      </c>
      <c r="W4" s="12">
        <v>2007</v>
      </c>
      <c r="X4" s="12">
        <v>2008</v>
      </c>
      <c r="Y4" s="12">
        <v>2009</v>
      </c>
      <c r="Z4" s="12">
        <v>2010</v>
      </c>
      <c r="AA4" s="12">
        <v>2011</v>
      </c>
      <c r="AB4" s="12">
        <v>2012</v>
      </c>
      <c r="AC4" s="12">
        <v>2013</v>
      </c>
      <c r="AD4" s="12">
        <v>2014</v>
      </c>
      <c r="AE4" s="12">
        <v>2015</v>
      </c>
      <c r="AF4" s="12">
        <v>2016</v>
      </c>
      <c r="AG4" s="12">
        <v>2017</v>
      </c>
      <c r="AH4" s="12">
        <v>2018</v>
      </c>
      <c r="AI4" s="12">
        <v>2019</v>
      </c>
      <c r="AJ4" s="12">
        <v>2020</v>
      </c>
      <c r="AK4" s="12">
        <v>2021</v>
      </c>
      <c r="AL4" s="12">
        <v>2022</v>
      </c>
      <c r="AM4" s="12">
        <v>2023</v>
      </c>
      <c r="AN4" s="12">
        <v>2024</v>
      </c>
      <c r="AO4" s="12">
        <v>2025</v>
      </c>
      <c r="AP4" s="12">
        <v>2026</v>
      </c>
      <c r="AQ4" s="12">
        <v>2027</v>
      </c>
      <c r="AR4" s="12">
        <v>2028</v>
      </c>
      <c r="AS4" s="12">
        <v>2029</v>
      </c>
      <c r="AT4" s="12">
        <v>2030</v>
      </c>
      <c r="AU4" s="12">
        <v>2031</v>
      </c>
      <c r="AV4" s="12">
        <v>2032</v>
      </c>
      <c r="AW4" s="12">
        <v>2033</v>
      </c>
      <c r="AX4" s="12">
        <v>2034</v>
      </c>
      <c r="AY4" s="12">
        <v>2035</v>
      </c>
    </row>
    <row r="5" spans="1:51" ht="18" customHeight="1">
      <c r="A5" s="9" t="s">
        <v>65</v>
      </c>
      <c r="B5" s="100">
        <v>0.64119999999999999</v>
      </c>
      <c r="C5" s="100">
        <v>0.65359999999999996</v>
      </c>
      <c r="D5" s="100">
        <v>0.67</v>
      </c>
      <c r="E5" s="100">
        <v>0.68910000000000005</v>
      </c>
      <c r="F5" s="100">
        <v>0.71</v>
      </c>
      <c r="G5" s="100">
        <v>0.73029999999999995</v>
      </c>
      <c r="H5" s="100">
        <v>0.74450000000000005</v>
      </c>
      <c r="I5" s="100">
        <v>0.75929999999999997</v>
      </c>
      <c r="J5" s="100">
        <v>0.77359999999999995</v>
      </c>
      <c r="K5" s="100">
        <v>0.78790000000000004</v>
      </c>
      <c r="L5" s="100">
        <v>0.80169999999999997</v>
      </c>
      <c r="M5" s="100">
        <v>0.81420000000000003</v>
      </c>
      <c r="N5" s="100">
        <v>0.82279999999999998</v>
      </c>
      <c r="O5" s="100">
        <v>0.83430000000000004</v>
      </c>
      <c r="P5" s="100">
        <v>0.85209999999999997</v>
      </c>
      <c r="Q5" s="100">
        <v>0.87250000000000005</v>
      </c>
      <c r="R5" s="100">
        <v>0.8881</v>
      </c>
      <c r="S5" s="100">
        <v>0.90780000000000005</v>
      </c>
      <c r="T5" s="100">
        <v>0.93559999999999999</v>
      </c>
      <c r="U5" s="100">
        <v>0.96870000000000001</v>
      </c>
      <c r="V5" s="100">
        <v>1</v>
      </c>
      <c r="W5" s="100">
        <v>1.0289999999999999</v>
      </c>
      <c r="X5" s="100">
        <v>1.0516000000000001</v>
      </c>
      <c r="Y5" s="100">
        <v>1.0609999999999999</v>
      </c>
      <c r="Z5" s="100">
        <v>1.0751999999999999</v>
      </c>
      <c r="AA5" s="100">
        <v>1.0981000000000001</v>
      </c>
      <c r="AB5" s="100">
        <v>1.1175999999999999</v>
      </c>
      <c r="AC5" s="100">
        <v>1.1375</v>
      </c>
      <c r="AD5" s="100">
        <v>1.1549</v>
      </c>
      <c r="AE5" s="100">
        <v>1.1735</v>
      </c>
      <c r="AF5" s="100">
        <v>1.1930000000000001</v>
      </c>
      <c r="AG5" s="100">
        <v>1.2121</v>
      </c>
      <c r="AH5" s="100">
        <v>1.2324999999999999</v>
      </c>
      <c r="AI5" s="100">
        <v>1.2525999999999999</v>
      </c>
      <c r="AJ5" s="100">
        <v>1.2734000000000001</v>
      </c>
      <c r="AK5" s="100">
        <v>1.2952999999999999</v>
      </c>
      <c r="AL5" s="100">
        <v>1.3178000000000001</v>
      </c>
      <c r="AM5" s="100">
        <v>1.3408</v>
      </c>
      <c r="AN5" s="100">
        <v>1.3636999999999999</v>
      </c>
      <c r="AO5" s="100">
        <v>1.387</v>
      </c>
      <c r="AP5" s="100">
        <v>1.4109</v>
      </c>
      <c r="AQ5" s="100">
        <v>1.4353</v>
      </c>
      <c r="AR5" s="100">
        <v>1.4602999999999999</v>
      </c>
      <c r="AS5" s="100">
        <v>1.4864999999999999</v>
      </c>
      <c r="AT5" s="100">
        <v>1.5133000000000001</v>
      </c>
      <c r="AU5" s="100">
        <v>1.5411999999999999</v>
      </c>
      <c r="AV5" s="100">
        <v>1.5692999999999999</v>
      </c>
      <c r="AW5" s="100">
        <v>1.5978000000000001</v>
      </c>
      <c r="AX5" s="100">
        <v>1.627</v>
      </c>
      <c r="AY5" s="100">
        <v>1.6566000000000001</v>
      </c>
    </row>
    <row r="7" spans="1:51">
      <c r="A7" s="29" t="s">
        <v>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14"/>
  <sheetViews>
    <sheetView workbookViewId="0"/>
  </sheetViews>
  <sheetFormatPr defaultRowHeight="15.75"/>
  <cols>
    <col min="1" max="1" width="50" style="9" customWidth="1"/>
    <col min="2" max="2" width="13.5703125" style="9" customWidth="1"/>
    <col min="3" max="3" width="15" style="9" customWidth="1"/>
    <col min="4" max="4" width="12.7109375" style="9" customWidth="1"/>
    <col min="5" max="5" width="9.7109375" style="9" customWidth="1"/>
    <col min="6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2" spans="1:23">
      <c r="G2" s="131"/>
    </row>
    <row r="3" spans="1:23">
      <c r="A3" s="12" t="s">
        <v>134</v>
      </c>
      <c r="G3" s="131"/>
    </row>
    <row r="4" spans="1:23" ht="31.5">
      <c r="A4" s="66" t="s">
        <v>164</v>
      </c>
      <c r="B4" s="137" t="s">
        <v>133</v>
      </c>
    </row>
    <row r="5" spans="1:23">
      <c r="A5" s="171" t="s">
        <v>161</v>
      </c>
      <c r="B5" s="134">
        <f>'Consumer Cost'!B7</f>
        <v>92.185093927155776</v>
      </c>
    </row>
    <row r="6" spans="1:23">
      <c r="A6" s="170" t="s">
        <v>162</v>
      </c>
      <c r="B6" s="135">
        <f>'Utility Cost'!B4</f>
        <v>213.55004135649119</v>
      </c>
    </row>
    <row r="7" spans="1:23">
      <c r="A7" s="57" t="s">
        <v>163</v>
      </c>
      <c r="B7" s="135">
        <f>NPV(DiscountRate,B14:W14)</f>
        <v>305.73513528364771</v>
      </c>
    </row>
    <row r="8" spans="1:23">
      <c r="B8" s="131"/>
    </row>
    <row r="9" spans="1:23">
      <c r="B9" s="131"/>
    </row>
    <row r="10" spans="1:23">
      <c r="A10" s="12" t="s">
        <v>159</v>
      </c>
      <c r="B10" s="131"/>
    </row>
    <row r="11" spans="1:23">
      <c r="A11" s="105"/>
      <c r="B11" s="165">
        <f>'Utility Cost'!B7</f>
        <v>2014</v>
      </c>
      <c r="C11" s="165">
        <f>'Utility Cost'!C7</f>
        <v>2015</v>
      </c>
      <c r="D11" s="165">
        <f>'Utility Cost'!D7</f>
        <v>2016</v>
      </c>
      <c r="E11" s="165">
        <f>'Utility Cost'!E7</f>
        <v>2017</v>
      </c>
      <c r="F11" s="165">
        <f>'Utility Cost'!F7</f>
        <v>2018</v>
      </c>
      <c r="G11" s="165">
        <f>'Utility Cost'!G7</f>
        <v>2019</v>
      </c>
      <c r="H11" s="165">
        <f>'Utility Cost'!H7</f>
        <v>2020</v>
      </c>
      <c r="I11" s="165">
        <f>'Utility Cost'!I7</f>
        <v>2021</v>
      </c>
      <c r="J11" s="165">
        <f>'Utility Cost'!J7</f>
        <v>2022</v>
      </c>
      <c r="K11" s="165">
        <f>'Utility Cost'!K7</f>
        <v>2023</v>
      </c>
      <c r="L11" s="165">
        <f>'Utility Cost'!L7</f>
        <v>2024</v>
      </c>
      <c r="M11" s="165">
        <f>'Utility Cost'!M7</f>
        <v>2025</v>
      </c>
      <c r="N11" s="165">
        <f>'Utility Cost'!N7</f>
        <v>2026</v>
      </c>
      <c r="O11" s="165">
        <f>'Utility Cost'!O7</f>
        <v>2027</v>
      </c>
      <c r="P11" s="165">
        <f>'Utility Cost'!P7</f>
        <v>2028</v>
      </c>
      <c r="Q11" s="165">
        <f>'Utility Cost'!Q7</f>
        <v>2029</v>
      </c>
      <c r="R11" s="165">
        <f>'Utility Cost'!R7</f>
        <v>2030</v>
      </c>
      <c r="S11" s="165">
        <f>'Utility Cost'!S7</f>
        <v>2031</v>
      </c>
      <c r="T11" s="165">
        <f>'Utility Cost'!T7</f>
        <v>2032</v>
      </c>
      <c r="U11" s="165">
        <f>'Utility Cost'!U7</f>
        <v>2033</v>
      </c>
      <c r="V11" s="165">
        <f>'Utility Cost'!V7</f>
        <v>2034</v>
      </c>
      <c r="W11" s="165">
        <f>'Utility Cost'!W7</f>
        <v>2035</v>
      </c>
    </row>
    <row r="12" spans="1:23">
      <c r="A12" s="9" t="s">
        <v>157</v>
      </c>
      <c r="B12" s="159">
        <f>'Utility Cost'!B10</f>
        <v>0</v>
      </c>
      <c r="C12" s="159">
        <f>'Utility Cost'!C10</f>
        <v>2.2695066465703988</v>
      </c>
      <c r="D12" s="159">
        <f>'Utility Cost'!D10</f>
        <v>4.3763927122093316</v>
      </c>
      <c r="E12" s="159">
        <f>'Utility Cost'!E10</f>
        <v>6.4061344495257337</v>
      </c>
      <c r="F12" s="159">
        <f>'Utility Cost'!F10</f>
        <v>8.3755763096596247</v>
      </c>
      <c r="G12" s="159">
        <f>'Utility Cost'!G10</f>
        <v>10.290054319385096</v>
      </c>
      <c r="H12" s="159">
        <f>'Utility Cost'!H10</f>
        <v>12.429596698987556</v>
      </c>
      <c r="I12" s="159">
        <f>'Utility Cost'!I10</f>
        <v>14.275582786887302</v>
      </c>
      <c r="J12" s="159">
        <f>'Utility Cost'!J10</f>
        <v>16.091071368908828</v>
      </c>
      <c r="K12" s="159">
        <f>'Utility Cost'!K10</f>
        <v>17.847606332027134</v>
      </c>
      <c r="L12" s="159">
        <f>'Utility Cost'!L10</f>
        <v>19.503957708244744</v>
      </c>
      <c r="M12" s="159">
        <f>'Utility Cost'!M10</f>
        <v>21.666264761187037</v>
      </c>
      <c r="N12" s="159">
        <f>'Utility Cost'!N10</f>
        <v>23.383915844859622</v>
      </c>
      <c r="O12" s="159">
        <f>'Utility Cost'!O10</f>
        <v>23.34528442898575</v>
      </c>
      <c r="P12" s="159">
        <f>'Utility Cost'!P10</f>
        <v>23.320924885276725</v>
      </c>
      <c r="Q12" s="159">
        <f>'Utility Cost'!Q10</f>
        <v>23.260221727267943</v>
      </c>
      <c r="R12" s="159">
        <f>'Utility Cost'!R10</f>
        <v>23.584173178718455</v>
      </c>
      <c r="S12" s="159">
        <f>'Utility Cost'!S10</f>
        <v>23.455273915545916</v>
      </c>
      <c r="T12" s="159">
        <f>'Utility Cost'!T10</f>
        <v>23.268250646318762</v>
      </c>
      <c r="U12" s="159">
        <f>'Utility Cost'!U10</f>
        <v>23.054165945433876</v>
      </c>
      <c r="V12" s="159">
        <f>'Utility Cost'!V10</f>
        <v>22.806437721912125</v>
      </c>
      <c r="W12" s="159">
        <f>'Utility Cost'!W10</f>
        <v>22.454265496976994</v>
      </c>
    </row>
    <row r="13" spans="1:23">
      <c r="A13" s="42" t="s">
        <v>156</v>
      </c>
      <c r="B13" s="164">
        <f>-('Consumer Cost'!B49-'Consumer Cost'!B12)</f>
        <v>0</v>
      </c>
      <c r="C13" s="164">
        <f>-('Consumer Cost'!C49-'Consumer Cost'!C12)</f>
        <v>-1.5905207289783618</v>
      </c>
      <c r="D13" s="164">
        <f>-('Consumer Cost'!D49-'Consumer Cost'!D12)</f>
        <v>0.24639874307152354</v>
      </c>
      <c r="E13" s="164">
        <f>-('Consumer Cost'!E49-'Consumer Cost'!E12)</f>
        <v>1.9920131305079849</v>
      </c>
      <c r="F13" s="164">
        <f>-('Consumer Cost'!F49-'Consumer Cost'!F12)</f>
        <v>3.6558812585795977</v>
      </c>
      <c r="G13" s="164">
        <f>-('Consumer Cost'!G49-'Consumer Cost'!G12)</f>
        <v>5.2484810926526109</v>
      </c>
      <c r="H13" s="164">
        <f>-('Consumer Cost'!H49-'Consumer Cost'!H12)</f>
        <v>6.781328516273021</v>
      </c>
      <c r="I13" s="164">
        <f>-('Consumer Cost'!I49-'Consumer Cost'!I12)</f>
        <v>8.266914813708695</v>
      </c>
      <c r="J13" s="164">
        <f>-('Consumer Cost'!J49-'Consumer Cost'!J12)</f>
        <v>9.7183894451528658</v>
      </c>
      <c r="K13" s="164">
        <f>-('Consumer Cost'!K49-'Consumer Cost'!K12)</f>
        <v>11.14893263677078</v>
      </c>
      <c r="L13" s="164">
        <f>-('Consumer Cost'!L49-'Consumer Cost'!L12)</f>
        <v>12.570801489272924</v>
      </c>
      <c r="M13" s="164">
        <f>-('Consumer Cost'!M49-'Consumer Cost'!M12)</f>
        <v>13.994094791771033</v>
      </c>
      <c r="N13" s="164">
        <f>-('Consumer Cost'!N49-'Consumer Cost'!N12)</f>
        <v>15.425359699420511</v>
      </c>
      <c r="O13" s="164">
        <f>-('Consumer Cost'!O49-'Consumer Cost'!O12)</f>
        <v>-6.5610832098049059</v>
      </c>
      <c r="P13" s="164">
        <f>-('Consumer Cost'!P49-'Consumer Cost'!P12)</f>
        <v>-2.5712172435072489</v>
      </c>
      <c r="Q13" s="164">
        <f>-('Consumer Cost'!Q49-'Consumer Cost'!Q12)</f>
        <v>1.3226381058114498</v>
      </c>
      <c r="R13" s="164">
        <f>-('Consumer Cost'!R49-'Consumer Cost'!R12)</f>
        <v>5.1093181502140226</v>
      </c>
      <c r="S13" s="164">
        <f>-('Consumer Cost'!S49-'Consumer Cost'!S12)</f>
        <v>8.7722160559189319</v>
      </c>
      <c r="T13" s="164">
        <f>-('Consumer Cost'!T49-'Consumer Cost'!T12)</f>
        <v>12.291032111901245</v>
      </c>
      <c r="U13" s="164">
        <f>-('Consumer Cost'!U49-'Consumer Cost'!U12)</f>
        <v>15.643942403554576</v>
      </c>
      <c r="V13" s="164">
        <f>-('Consumer Cost'!V49-'Consumer Cost'!V12)</f>
        <v>18.809843962523985</v>
      </c>
      <c r="W13" s="164">
        <f>-('Consumer Cost'!W49-'Consumer Cost'!W12)</f>
        <v>21.770342862392027</v>
      </c>
    </row>
    <row r="14" spans="1:23">
      <c r="A14" s="9" t="s">
        <v>158</v>
      </c>
      <c r="B14" s="159">
        <f>B12+B13</f>
        <v>0</v>
      </c>
      <c r="C14" s="159">
        <f t="shared" ref="C14:W14" si="0">C12+C13</f>
        <v>0.67898591759203697</v>
      </c>
      <c r="D14" s="159">
        <f t="shared" si="0"/>
        <v>4.6227914552808551</v>
      </c>
      <c r="E14" s="159">
        <f t="shared" si="0"/>
        <v>8.3981475800337186</v>
      </c>
      <c r="F14" s="159">
        <f t="shared" si="0"/>
        <v>12.031457568239222</v>
      </c>
      <c r="G14" s="159">
        <f t="shared" si="0"/>
        <v>15.538535412037707</v>
      </c>
      <c r="H14" s="159">
        <f t="shared" si="0"/>
        <v>19.210925215260577</v>
      </c>
      <c r="I14" s="159">
        <f t="shared" si="0"/>
        <v>22.542497600595997</v>
      </c>
      <c r="J14" s="159">
        <f t="shared" si="0"/>
        <v>25.809460814061694</v>
      </c>
      <c r="K14" s="159">
        <f t="shared" si="0"/>
        <v>28.996538968797914</v>
      </c>
      <c r="L14" s="159">
        <f t="shared" si="0"/>
        <v>32.074759197517665</v>
      </c>
      <c r="M14" s="159">
        <f t="shared" si="0"/>
        <v>35.66035955295807</v>
      </c>
      <c r="N14" s="159">
        <f t="shared" si="0"/>
        <v>38.809275544280133</v>
      </c>
      <c r="O14" s="159">
        <f t="shared" si="0"/>
        <v>16.784201219180844</v>
      </c>
      <c r="P14" s="159">
        <f t="shared" si="0"/>
        <v>20.749707641769476</v>
      </c>
      <c r="Q14" s="159">
        <f t="shared" si="0"/>
        <v>24.582859833079393</v>
      </c>
      <c r="R14" s="159">
        <f t="shared" si="0"/>
        <v>28.693491328932478</v>
      </c>
      <c r="S14" s="159">
        <f t="shared" si="0"/>
        <v>32.227489971464848</v>
      </c>
      <c r="T14" s="159">
        <f t="shared" si="0"/>
        <v>35.559282758220007</v>
      </c>
      <c r="U14" s="159">
        <f t="shared" si="0"/>
        <v>38.698108348988455</v>
      </c>
      <c r="V14" s="159">
        <f t="shared" si="0"/>
        <v>41.61628168443611</v>
      </c>
      <c r="W14" s="159">
        <f t="shared" si="0"/>
        <v>44.224608359369022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Y10"/>
  <sheetViews>
    <sheetView workbookViewId="0"/>
  </sheetViews>
  <sheetFormatPr defaultRowHeight="15.75"/>
  <cols>
    <col min="1" max="1" width="54.7109375" style="9" customWidth="1"/>
    <col min="2" max="2" width="13.85546875" style="9" customWidth="1"/>
    <col min="3" max="5" width="12.42578125" style="9" bestFit="1" customWidth="1"/>
    <col min="6" max="23" width="14.28515625" style="9" bestFit="1" customWidth="1"/>
    <col min="24" max="16384" width="9.140625" style="9"/>
  </cols>
  <sheetData>
    <row r="1" spans="1:25">
      <c r="A1" s="148" t="str">
        <f>CONCATENATE("Segment:  ",State,", Single Family, ", SpaceHeat, ", ", TankSize,", ", StartWH, " is starting water heater")</f>
        <v>Segment:  Washington, Single Family, Gas FAF, &lt;=55 Gallons, Electric Resistance is starting water heater</v>
      </c>
    </row>
    <row r="3" spans="1:25" ht="31.5">
      <c r="A3" s="155"/>
      <c r="B3" s="137" t="s">
        <v>147</v>
      </c>
    </row>
    <row r="4" spans="1:25">
      <c r="A4" s="154" t="s">
        <v>146</v>
      </c>
      <c r="B4" s="156">
        <f>NPV(DiscountRate,B10:W10)</f>
        <v>213.55004135649119</v>
      </c>
      <c r="D4" s="45"/>
      <c r="E4" s="45"/>
      <c r="F4" s="45"/>
      <c r="G4" s="45"/>
      <c r="H4" s="124"/>
      <c r="I4" s="45"/>
      <c r="J4" s="45"/>
      <c r="K4" s="45"/>
    </row>
    <row r="6" spans="1:25">
      <c r="A6" s="12" t="s">
        <v>143</v>
      </c>
    </row>
    <row r="7" spans="1:25">
      <c r="A7" s="155"/>
      <c r="B7" s="82">
        <f>'Net Reduction in Gas'!B10</f>
        <v>2014</v>
      </c>
      <c r="C7" s="82">
        <f>'Net Reduction in Gas'!C10</f>
        <v>2015</v>
      </c>
      <c r="D7" s="82">
        <f>'Net Reduction in Gas'!D10</f>
        <v>2016</v>
      </c>
      <c r="E7" s="82">
        <f>'Net Reduction in Gas'!E10</f>
        <v>2017</v>
      </c>
      <c r="F7" s="82">
        <f>'Net Reduction in Gas'!F10</f>
        <v>2018</v>
      </c>
      <c r="G7" s="82">
        <f>'Net Reduction in Gas'!G10</f>
        <v>2019</v>
      </c>
      <c r="H7" s="82">
        <f>'Net Reduction in Gas'!H10</f>
        <v>2020</v>
      </c>
      <c r="I7" s="82">
        <f>'Net Reduction in Gas'!I10</f>
        <v>2021</v>
      </c>
      <c r="J7" s="82">
        <f>'Net Reduction in Gas'!J10</f>
        <v>2022</v>
      </c>
      <c r="K7" s="82">
        <f>'Net Reduction in Gas'!K10</f>
        <v>2023</v>
      </c>
      <c r="L7" s="82">
        <f>'Net Reduction in Gas'!L10</f>
        <v>2024</v>
      </c>
      <c r="M7" s="82">
        <f>'Net Reduction in Gas'!M10</f>
        <v>2025</v>
      </c>
      <c r="N7" s="82">
        <f>'Net Reduction in Gas'!N10</f>
        <v>2026</v>
      </c>
      <c r="O7" s="82">
        <f>'Net Reduction in Gas'!O10</f>
        <v>2027</v>
      </c>
      <c r="P7" s="82">
        <f>'Net Reduction in Gas'!P10</f>
        <v>2028</v>
      </c>
      <c r="Q7" s="82">
        <f>'Net Reduction in Gas'!Q10</f>
        <v>2029</v>
      </c>
      <c r="R7" s="82">
        <f>'Net Reduction in Gas'!R10</f>
        <v>2030</v>
      </c>
      <c r="S7" s="82">
        <f>'Net Reduction in Gas'!S10</f>
        <v>2031</v>
      </c>
      <c r="T7" s="82">
        <f>'Net Reduction in Gas'!T10</f>
        <v>2032</v>
      </c>
      <c r="U7" s="82">
        <f>'Net Reduction in Gas'!U10</f>
        <v>2033</v>
      </c>
      <c r="V7" s="82">
        <f>'Net Reduction in Gas'!V10</f>
        <v>2034</v>
      </c>
      <c r="W7" s="93">
        <f>'Net Reduction in Gas'!W10</f>
        <v>2035</v>
      </c>
    </row>
    <row r="8" spans="1:25">
      <c r="A8" s="67" t="s">
        <v>169</v>
      </c>
      <c r="B8" s="133">
        <f>'Net Reduction in Gas'!B13</f>
        <v>0</v>
      </c>
      <c r="C8" s="133">
        <f>'Net Reduction in Gas'!C13</f>
        <v>0.53150038561367663</v>
      </c>
      <c r="D8" s="133">
        <f>'Net Reduction in Gas'!D13</f>
        <v>1.0249163260443401</v>
      </c>
      <c r="E8" s="133">
        <f>'Net Reduction in Gas'!E13</f>
        <v>1.4829014929457716</v>
      </c>
      <c r="F8" s="133">
        <f>'Net Reduction in Gas'!F13</f>
        <v>1.907876152542056</v>
      </c>
      <c r="G8" s="133">
        <f>'Net Reduction in Gas'!G13</f>
        <v>2.302025574806509</v>
      </c>
      <c r="H8" s="133">
        <f>'Net Reduction in Gas'!H13</f>
        <v>2.6672954289672868</v>
      </c>
      <c r="I8" s="133">
        <f>'Net Reduction in Gas'!I13</f>
        <v>3.0053858498710109</v>
      </c>
      <c r="J8" s="133">
        <f>'Net Reduction in Gas'!J13</f>
        <v>3.3177466740018202</v>
      </c>
      <c r="K8" s="133">
        <f>'Net Reduction in Gas'!K13</f>
        <v>3.6055770367731581</v>
      </c>
      <c r="L8" s="133">
        <f>'Net Reduction in Gas'!L13</f>
        <v>3.8698328786199889</v>
      </c>
      <c r="M8" s="133">
        <f>'Net Reduction in Gas'!M13</f>
        <v>4.1112456852347323</v>
      </c>
      <c r="N8" s="133">
        <f>'Net Reduction in Gas'!N13</f>
        <v>4.330354786085115</v>
      </c>
      <c r="O8" s="133">
        <f>'Net Reduction in Gas'!O13</f>
        <v>4.2215704211547465</v>
      </c>
      <c r="P8" s="133">
        <f>'Net Reduction in Gas'!P13</f>
        <v>4.1130378986378702</v>
      </c>
      <c r="Q8" s="133">
        <f>'Net Reduction in Gas'!Q13</f>
        <v>4.0034805038326926</v>
      </c>
      <c r="R8" s="133">
        <f>'Net Reduction in Gas'!R13</f>
        <v>3.8917777522637715</v>
      </c>
      <c r="S8" s="133">
        <f>'Net Reduction in Gas'!S13</f>
        <v>3.7770167335822733</v>
      </c>
      <c r="T8" s="133">
        <f>'Net Reduction in Gas'!T13</f>
        <v>3.658529975836283</v>
      </c>
      <c r="U8" s="133">
        <f>'Net Reduction in Gas'!U13</f>
        <v>3.5359150223058093</v>
      </c>
      <c r="V8" s="133">
        <f>'Net Reduction in Gas'!V13</f>
        <v>3.4090340391497942</v>
      </c>
      <c r="W8" s="133">
        <f>'Net Reduction in Gas'!W13</f>
        <v>3.2779949630623348</v>
      </c>
      <c r="X8" s="131"/>
    </row>
    <row r="9" spans="1:25">
      <c r="A9" s="67" t="s">
        <v>144</v>
      </c>
      <c r="B9" s="45">
        <f>'Wholesale Price'!B5</f>
        <v>4.3899999999999997</v>
      </c>
      <c r="C9" s="45">
        <f>'Wholesale Price'!C5</f>
        <v>4.2699999999999996</v>
      </c>
      <c r="D9" s="45">
        <f>'Wholesale Price'!D5</f>
        <v>4.2699999999999996</v>
      </c>
      <c r="E9" s="45">
        <f>'Wholesale Price'!E5</f>
        <v>4.32</v>
      </c>
      <c r="F9" s="45">
        <f>'Wholesale Price'!F5</f>
        <v>4.3899999999999997</v>
      </c>
      <c r="G9" s="45">
        <f>'Wholesale Price'!G5</f>
        <v>4.47</v>
      </c>
      <c r="H9" s="45">
        <f>'Wholesale Price'!H5</f>
        <v>4.66</v>
      </c>
      <c r="I9" s="45">
        <f>'Wholesale Price'!I5</f>
        <v>4.75</v>
      </c>
      <c r="J9" s="45">
        <f>'Wholesale Price'!J5</f>
        <v>4.8499999999999996</v>
      </c>
      <c r="K9" s="45">
        <f>'Wholesale Price'!K5</f>
        <v>4.95</v>
      </c>
      <c r="L9" s="45">
        <f>'Wholesale Price'!L5</f>
        <v>5.04</v>
      </c>
      <c r="M9" s="45">
        <f>'Wholesale Price'!M5</f>
        <v>5.27</v>
      </c>
      <c r="N9" s="45">
        <f>'Wholesale Price'!N5</f>
        <v>5.4</v>
      </c>
      <c r="O9" s="45">
        <f>'Wholesale Price'!O5</f>
        <v>5.53</v>
      </c>
      <c r="P9" s="45">
        <f>'Wholesale Price'!P5</f>
        <v>5.67</v>
      </c>
      <c r="Q9" s="45">
        <f>'Wholesale Price'!Q5</f>
        <v>5.81</v>
      </c>
      <c r="R9" s="45">
        <f>'Wholesale Price'!R5</f>
        <v>6.06</v>
      </c>
      <c r="S9" s="45">
        <f>'Wholesale Price'!S5</f>
        <v>6.21</v>
      </c>
      <c r="T9" s="45">
        <f>'Wholesale Price'!T5</f>
        <v>6.36</v>
      </c>
      <c r="U9" s="45">
        <f>'Wholesale Price'!U5</f>
        <v>6.52</v>
      </c>
      <c r="V9" s="45">
        <f>'Wholesale Price'!V5</f>
        <v>6.69</v>
      </c>
      <c r="W9" s="45">
        <f>'Wholesale Price'!W5</f>
        <v>6.85</v>
      </c>
      <c r="X9" s="45"/>
      <c r="Y9" s="45"/>
    </row>
    <row r="10" spans="1:25">
      <c r="A10" s="57" t="s">
        <v>145</v>
      </c>
      <c r="B10" s="158">
        <f>B8*B9</f>
        <v>0</v>
      </c>
      <c r="C10" s="158">
        <f>C8*C9</f>
        <v>2.2695066465703988</v>
      </c>
      <c r="D10" s="158">
        <f t="shared" ref="D10:W10" si="0">D8*D9</f>
        <v>4.3763927122093316</v>
      </c>
      <c r="E10" s="158">
        <f t="shared" si="0"/>
        <v>6.4061344495257337</v>
      </c>
      <c r="F10" s="158">
        <f t="shared" si="0"/>
        <v>8.3755763096596247</v>
      </c>
      <c r="G10" s="158">
        <f t="shared" si="0"/>
        <v>10.290054319385096</v>
      </c>
      <c r="H10" s="158">
        <f t="shared" si="0"/>
        <v>12.429596698987556</v>
      </c>
      <c r="I10" s="158">
        <f t="shared" si="0"/>
        <v>14.275582786887302</v>
      </c>
      <c r="J10" s="158">
        <f t="shared" si="0"/>
        <v>16.091071368908828</v>
      </c>
      <c r="K10" s="158">
        <f t="shared" si="0"/>
        <v>17.847606332027134</v>
      </c>
      <c r="L10" s="158">
        <f t="shared" si="0"/>
        <v>19.503957708244744</v>
      </c>
      <c r="M10" s="158">
        <f t="shared" si="0"/>
        <v>21.666264761187037</v>
      </c>
      <c r="N10" s="158">
        <f t="shared" si="0"/>
        <v>23.383915844859622</v>
      </c>
      <c r="O10" s="158">
        <f t="shared" si="0"/>
        <v>23.34528442898575</v>
      </c>
      <c r="P10" s="158">
        <f t="shared" si="0"/>
        <v>23.320924885276725</v>
      </c>
      <c r="Q10" s="158">
        <f t="shared" si="0"/>
        <v>23.260221727267943</v>
      </c>
      <c r="R10" s="158">
        <f t="shared" si="0"/>
        <v>23.584173178718455</v>
      </c>
      <c r="S10" s="158">
        <f t="shared" si="0"/>
        <v>23.455273915545916</v>
      </c>
      <c r="T10" s="158">
        <f t="shared" si="0"/>
        <v>23.268250646318762</v>
      </c>
      <c r="U10" s="158">
        <f t="shared" si="0"/>
        <v>23.054165945433876</v>
      </c>
      <c r="V10" s="158">
        <f t="shared" si="0"/>
        <v>22.806437721912125</v>
      </c>
      <c r="W10" s="158">
        <f t="shared" si="0"/>
        <v>22.454265496976994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Summary-Charts</vt:lpstr>
      <vt:lpstr>Summary-Results</vt:lpstr>
      <vt:lpstr>Input Assumptions</vt:lpstr>
      <vt:lpstr>Non-Price Factors</vt:lpstr>
      <vt:lpstr>Retail Rates</vt:lpstr>
      <vt:lpstr>Wholesale Price</vt:lpstr>
      <vt:lpstr>Inflation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Total Allocation Weight</vt:lpstr>
      <vt:lpstr>Marginal Allocation Weight</vt:lpstr>
      <vt:lpstr>Levelized Costs</vt:lpstr>
      <vt:lpstr>Fuel Cost</vt:lpstr>
      <vt:lpstr>Device Energy Use</vt:lpstr>
      <vt:lpstr>Capital Cost</vt:lpstr>
      <vt:lpstr>O&amp;M Cost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Massoud Jourabchi</cp:lastModifiedBy>
  <dcterms:created xsi:type="dcterms:W3CDTF">2014-08-12T20:22:43Z</dcterms:created>
  <dcterms:modified xsi:type="dcterms:W3CDTF">2015-01-14T18:58:08Z</dcterms:modified>
</cp:coreProperties>
</file>