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hidePivotFieldList="1" autoCompressPictures="0" defaultThemeVersion="124226"/>
  <bookViews>
    <workbookView xWindow="-255" yWindow="975" windowWidth="15480" windowHeight="7635" tabRatio="818" activeTab="3"/>
  </bookViews>
  <sheets>
    <sheet name="Category (2014-2016)" sheetId="8" r:id="rId1"/>
    <sheet name="Category Detail (2014)" sheetId="9" r:id="rId2"/>
    <sheet name="NPCC In Kind" sheetId="6" r:id="rId3"/>
    <sheet name="Funding Shares" sheetId="10" r:id="rId4"/>
  </sheets>
  <definedNames>
    <definedName name="_xlnm.Print_Area" localSheetId="2">'NPCC In Kind'!$U$4:$AA$24</definedName>
  </definedNames>
  <calcPr calcId="125725"/>
  <extLst>
    <ext xmlns:mx="http://schemas.microsoft.com/office/mac/excel/2008/main" uri="http://schemas.microsoft.com/office/mac/excel/2008/main">
      <mx:ArchID Flags="2"/>
    </ext>
  </extLst>
</workbook>
</file>

<file path=xl/calcChain.xml><?xml version="1.0" encoding="utf-8"?>
<calcChain xmlns="http://schemas.openxmlformats.org/spreadsheetml/2006/main">
  <c r="C7" i="10"/>
  <c r="C8"/>
  <c r="C9"/>
  <c r="C10"/>
  <c r="C11"/>
  <c r="C12"/>
  <c r="G6"/>
  <c r="F6"/>
  <c r="E6"/>
  <c r="D6"/>
  <c r="G19"/>
  <c r="F30"/>
  <c r="F13" s="1"/>
  <c r="C6"/>
  <c r="D14"/>
  <c r="E19"/>
  <c r="C19"/>
  <c r="B29"/>
  <c r="B28"/>
  <c r="B26"/>
  <c r="B25"/>
  <c r="B20"/>
  <c r="B48"/>
  <c r="C46"/>
  <c r="D46" s="1"/>
  <c r="C45"/>
  <c r="D45" s="1"/>
  <c r="C44"/>
  <c r="D44" s="1"/>
  <c r="C43"/>
  <c r="D43" s="1"/>
  <c r="C42"/>
  <c r="D42" s="1"/>
  <c r="C41"/>
  <c r="D41" s="1"/>
  <c r="C40"/>
  <c r="C39"/>
  <c r="D39" s="1"/>
  <c r="C38"/>
  <c r="D38" s="1"/>
  <c r="C37"/>
  <c r="D37" s="1"/>
  <c r="C36"/>
  <c r="D36" s="1"/>
  <c r="C35"/>
  <c r="D35" s="1"/>
  <c r="C34"/>
  <c r="D34" s="1"/>
  <c r="D9" l="1"/>
  <c r="D19"/>
  <c r="D18"/>
  <c r="D8"/>
  <c r="D12"/>
  <c r="D17"/>
  <c r="D7"/>
  <c r="D11"/>
  <c r="D16"/>
  <c r="D30"/>
  <c r="D13" s="1"/>
  <c r="D10"/>
  <c r="D15"/>
  <c r="H12"/>
  <c r="E7"/>
  <c r="E9"/>
  <c r="E11"/>
  <c r="E14"/>
  <c r="E16"/>
  <c r="E18"/>
  <c r="C16"/>
  <c r="C14"/>
  <c r="C18"/>
  <c r="F7"/>
  <c r="F8"/>
  <c r="F9"/>
  <c r="F10"/>
  <c r="F11"/>
  <c r="F12"/>
  <c r="F14"/>
  <c r="F15"/>
  <c r="F16"/>
  <c r="F17"/>
  <c r="F18"/>
  <c r="F19"/>
  <c r="H19" s="1"/>
  <c r="E30"/>
  <c r="E13" s="1"/>
  <c r="C17"/>
  <c r="E8"/>
  <c r="E10"/>
  <c r="E12"/>
  <c r="E15"/>
  <c r="E17"/>
  <c r="C30"/>
  <c r="C13" s="1"/>
  <c r="G30"/>
  <c r="G13" s="1"/>
  <c r="C15"/>
  <c r="G7"/>
  <c r="G8"/>
  <c r="G9"/>
  <c r="G10"/>
  <c r="G11"/>
  <c r="G12"/>
  <c r="G14"/>
  <c r="G15"/>
  <c r="G16"/>
  <c r="G17"/>
  <c r="G18"/>
  <c r="H6"/>
  <c r="C48"/>
  <c r="D48"/>
  <c r="H15" l="1"/>
  <c r="H7"/>
  <c r="D20"/>
  <c r="H14"/>
  <c r="H11"/>
  <c r="H16"/>
  <c r="H10"/>
  <c r="H9"/>
  <c r="H17"/>
  <c r="H30"/>
  <c r="C20"/>
  <c r="E20"/>
  <c r="H18"/>
  <c r="H8"/>
  <c r="G20"/>
  <c r="F20"/>
  <c r="AM10" i="8"/>
  <c r="AM9"/>
  <c r="AM8"/>
  <c r="AM7"/>
  <c r="AM6"/>
  <c r="H13" i="10" l="1"/>
  <c r="H20" s="1"/>
  <c r="E74" i="9"/>
  <c r="C74"/>
  <c r="B74"/>
  <c r="A74"/>
  <c r="D73"/>
  <c r="D72"/>
  <c r="D71"/>
  <c r="D70"/>
  <c r="E66"/>
  <c r="C66"/>
  <c r="A66"/>
  <c r="D65"/>
  <c r="D64"/>
  <c r="D66" s="1"/>
  <c r="B64"/>
  <c r="B66" s="1"/>
  <c r="E60"/>
  <c r="C60"/>
  <c r="B60"/>
  <c r="A60"/>
  <c r="D59"/>
  <c r="D58"/>
  <c r="D57"/>
  <c r="D56"/>
  <c r="D55"/>
  <c r="D60" s="1"/>
  <c r="E51"/>
  <c r="B51"/>
  <c r="A51"/>
  <c r="C50"/>
  <c r="C51" s="1"/>
  <c r="D49"/>
  <c r="E45"/>
  <c r="C45"/>
  <c r="B45"/>
  <c r="A45"/>
  <c r="D44"/>
  <c r="E43"/>
  <c r="D43"/>
  <c r="D42"/>
  <c r="D41"/>
  <c r="D45" s="1"/>
  <c r="E37"/>
  <c r="C37"/>
  <c r="B37"/>
  <c r="A37"/>
  <c r="D36"/>
  <c r="D35"/>
  <c r="D34"/>
  <c r="D33"/>
  <c r="D32"/>
  <c r="B29"/>
  <c r="A29"/>
  <c r="D28"/>
  <c r="E27"/>
  <c r="E29" s="1"/>
  <c r="D27"/>
  <c r="B27"/>
  <c r="D26"/>
  <c r="D29" s="1"/>
  <c r="C26"/>
  <c r="C29" s="1"/>
  <c r="A22"/>
  <c r="E21"/>
  <c r="C21"/>
  <c r="D21" s="1"/>
  <c r="B21"/>
  <c r="E20"/>
  <c r="C20"/>
  <c r="B20"/>
  <c r="K19"/>
  <c r="E19"/>
  <c r="E22" s="1"/>
  <c r="C19"/>
  <c r="B19"/>
  <c r="B22" s="1"/>
  <c r="A15"/>
  <c r="H14"/>
  <c r="B14" s="1"/>
  <c r="E14"/>
  <c r="C14"/>
  <c r="E13"/>
  <c r="C13"/>
  <c r="B13"/>
  <c r="K12"/>
  <c r="E12"/>
  <c r="C12"/>
  <c r="B12"/>
  <c r="D12" s="1"/>
  <c r="E11"/>
  <c r="C11"/>
  <c r="B11"/>
  <c r="K10"/>
  <c r="E10"/>
  <c r="C10"/>
  <c r="B10"/>
  <c r="E15" l="1"/>
  <c r="D37"/>
  <c r="D14"/>
  <c r="C15"/>
  <c r="C77" s="1"/>
  <c r="D11"/>
  <c r="D13"/>
  <c r="C22"/>
  <c r="D74"/>
  <c r="E77"/>
  <c r="B15"/>
  <c r="B77" s="1"/>
  <c r="D20"/>
  <c r="D50"/>
  <c r="D51" s="1"/>
  <c r="D19"/>
  <c r="D10"/>
  <c r="D15" l="1"/>
  <c r="D22"/>
  <c r="F22" l="1"/>
  <c r="D77"/>
  <c r="D7" l="1"/>
  <c r="F74"/>
  <c r="F37"/>
  <c r="F60"/>
  <c r="F66"/>
  <c r="F45"/>
  <c r="F29"/>
  <c r="F15"/>
  <c r="F77" s="1"/>
  <c r="F51"/>
  <c r="L2" i="8" l="1"/>
  <c r="AJ2" l="1"/>
  <c r="I7"/>
  <c r="AJ3"/>
  <c r="AD3"/>
  <c r="X3"/>
  <c r="R3"/>
  <c r="J14"/>
  <c r="J6"/>
  <c r="J7" l="1"/>
  <c r="AD2"/>
  <c r="J11"/>
  <c r="J10"/>
  <c r="R2"/>
  <c r="P14" s="1"/>
  <c r="J9"/>
  <c r="J13"/>
  <c r="J8"/>
  <c r="J12"/>
  <c r="P12" s="1"/>
  <c r="X2"/>
  <c r="L14"/>
  <c r="R14" s="1"/>
  <c r="X14" s="1"/>
  <c r="AD14" s="1"/>
  <c r="AJ14" s="1"/>
  <c r="L13"/>
  <c r="R13" s="1"/>
  <c r="X13" s="1"/>
  <c r="AD13" s="1"/>
  <c r="AJ13" s="1"/>
  <c r="L12"/>
  <c r="R12" s="1"/>
  <c r="X12" s="1"/>
  <c r="AD12" s="1"/>
  <c r="AJ12" s="1"/>
  <c r="L11"/>
  <c r="R11" s="1"/>
  <c r="X11" s="1"/>
  <c r="AD11" s="1"/>
  <c r="AJ11" s="1"/>
  <c r="L10"/>
  <c r="R10" s="1"/>
  <c r="X10" s="1"/>
  <c r="AD10" s="1"/>
  <c r="AJ10" s="1"/>
  <c r="L9"/>
  <c r="R9" s="1"/>
  <c r="X9" s="1"/>
  <c r="AD9" s="1"/>
  <c r="AJ9" s="1"/>
  <c r="L8"/>
  <c r="R8" s="1"/>
  <c r="X8" s="1"/>
  <c r="AD8" s="1"/>
  <c r="AJ8" s="1"/>
  <c r="L7"/>
  <c r="R7" s="1"/>
  <c r="X7" s="1"/>
  <c r="AD7" s="1"/>
  <c r="AJ7" s="1"/>
  <c r="L6"/>
  <c r="R6" s="1"/>
  <c r="X6" s="1"/>
  <c r="AD6" s="1"/>
  <c r="AJ6" s="1"/>
  <c r="V14" l="1"/>
  <c r="AB14" s="1"/>
  <c r="AH14" s="1"/>
  <c r="V12"/>
  <c r="AB12" s="1"/>
  <c r="AH12" s="1"/>
  <c r="P10"/>
  <c r="V10" s="1"/>
  <c r="AB10" s="1"/>
  <c r="AH10" s="1"/>
  <c r="P13"/>
  <c r="V13" s="1"/>
  <c r="AB13" s="1"/>
  <c r="AH13" s="1"/>
  <c r="P9"/>
  <c r="V9" s="1"/>
  <c r="AB9" s="1"/>
  <c r="AH9" s="1"/>
  <c r="P8"/>
  <c r="V8" s="1"/>
  <c r="AB8" s="1"/>
  <c r="AH8" s="1"/>
  <c r="P7"/>
  <c r="V7" s="1"/>
  <c r="AB7" s="1"/>
  <c r="AH7" s="1"/>
  <c r="P6"/>
  <c r="V6" s="1"/>
  <c r="AB6" s="1"/>
  <c r="AH6" s="1"/>
  <c r="P11"/>
  <c r="V11" s="1"/>
  <c r="AB11" s="1"/>
  <c r="AH11" s="1"/>
  <c r="I14"/>
  <c r="O14" s="1"/>
  <c r="I13"/>
  <c r="O13" s="1"/>
  <c r="I12"/>
  <c r="O12" s="1"/>
  <c r="I11"/>
  <c r="O11" s="1"/>
  <c r="I10"/>
  <c r="O10" s="1"/>
  <c r="I9"/>
  <c r="O9" s="1"/>
  <c r="I8"/>
  <c r="O8" s="1"/>
  <c r="O7"/>
  <c r="I6"/>
  <c r="O6" s="1"/>
  <c r="B24"/>
  <c r="B23"/>
  <c r="B22"/>
  <c r="Q8" l="1"/>
  <c r="U8"/>
  <c r="Q12"/>
  <c r="U12"/>
  <c r="Q7"/>
  <c r="U7"/>
  <c r="Q11"/>
  <c r="U11"/>
  <c r="Q6"/>
  <c r="U6"/>
  <c r="Q10"/>
  <c r="U10"/>
  <c r="Q14"/>
  <c r="U14"/>
  <c r="Q9"/>
  <c r="U9"/>
  <c r="Q13"/>
  <c r="U13"/>
  <c r="K13"/>
  <c r="K6"/>
  <c r="K10"/>
  <c r="K9"/>
  <c r="K14"/>
  <c r="K8"/>
  <c r="K12"/>
  <c r="K11"/>
  <c r="K7"/>
  <c r="F25" i="6"/>
  <c r="E25"/>
  <c r="G19"/>
  <c r="F28"/>
  <c r="F26"/>
  <c r="E26"/>
  <c r="F21"/>
  <c r="F22" s="1"/>
  <c r="E21"/>
  <c r="E22" s="1"/>
  <c r="G20"/>
  <c r="G18"/>
  <c r="G17"/>
  <c r="G16"/>
  <c r="G15"/>
  <c r="G14"/>
  <c r="G13"/>
  <c r="G12"/>
  <c r="G11"/>
  <c r="G10"/>
  <c r="G9"/>
  <c r="G8"/>
  <c r="G7"/>
  <c r="W9" i="8" l="1"/>
  <c r="AA9"/>
  <c r="W10"/>
  <c r="AA10"/>
  <c r="W11"/>
  <c r="AA11"/>
  <c r="W13"/>
  <c r="AA13"/>
  <c r="W14"/>
  <c r="AA14"/>
  <c r="W6"/>
  <c r="AA6"/>
  <c r="W7"/>
  <c r="AA7"/>
  <c r="W8"/>
  <c r="AA8"/>
  <c r="W12"/>
  <c r="AA12"/>
  <c r="G25" i="6"/>
  <c r="G26" s="1"/>
  <c r="G21"/>
  <c r="G22" s="1"/>
  <c r="AG8" i="8" l="1"/>
  <c r="AI8" s="1"/>
  <c r="AC8"/>
  <c r="AG6"/>
  <c r="AI6" s="1"/>
  <c r="AC6"/>
  <c r="AC13"/>
  <c r="AG13"/>
  <c r="AI13" s="1"/>
  <c r="AG10"/>
  <c r="AI10" s="1"/>
  <c r="AC10"/>
  <c r="AG12"/>
  <c r="AI12" s="1"/>
  <c r="AC12"/>
  <c r="AG7"/>
  <c r="AI7" s="1"/>
  <c r="AC7"/>
  <c r="AG14"/>
  <c r="AI14" s="1"/>
  <c r="AC14"/>
  <c r="AG11"/>
  <c r="AI11" s="1"/>
  <c r="AC11"/>
  <c r="AC9"/>
  <c r="AG9"/>
  <c r="AI9" s="1"/>
  <c r="AN7" s="1"/>
  <c r="AO7" s="1"/>
  <c r="F4" i="6"/>
  <c r="AN9" i="8" l="1"/>
  <c r="AO9" s="1"/>
  <c r="AN8"/>
  <c r="AO8" s="1"/>
  <c r="AN6"/>
  <c r="L28" i="6"/>
  <c r="M20"/>
  <c r="L25"/>
  <c r="L26" s="1"/>
  <c r="K25"/>
  <c r="K26" s="1"/>
  <c r="R4"/>
  <c r="AN10" i="8" l="1"/>
  <c r="AO6"/>
  <c r="AO10" s="1"/>
  <c r="L21" i="6"/>
  <c r="K21"/>
  <c r="B21" i="8" l="1"/>
  <c r="V15" l="1"/>
  <c r="D16"/>
  <c r="V16" l="1"/>
  <c r="D22"/>
  <c r="F29" s="1"/>
  <c r="AJ15"/>
  <c r="AJ16" s="1"/>
  <c r="AB15"/>
  <c r="AH15"/>
  <c r="R15"/>
  <c r="R16" s="1"/>
  <c r="C36"/>
  <c r="AH16" l="1"/>
  <c r="AB16"/>
  <c r="H32"/>
  <c r="F24"/>
  <c r="H31" s="1"/>
  <c r="D23"/>
  <c r="G29" s="1"/>
  <c r="D24"/>
  <c r="H29" s="1"/>
  <c r="X15"/>
  <c r="X16" s="1"/>
  <c r="AD15"/>
  <c r="AD16" s="1"/>
  <c r="F32" l="1"/>
  <c r="F22"/>
  <c r="F31" s="1"/>
  <c r="G32"/>
  <c r="F23"/>
  <c r="G31" s="1"/>
  <c r="B20"/>
  <c r="B19"/>
  <c r="X20" i="6" l="1"/>
  <c r="X21" s="1"/>
  <c r="W20"/>
  <c r="W21" s="1"/>
  <c r="L22"/>
  <c r="K22"/>
  <c r="AH19"/>
  <c r="AF19"/>
  <c r="AE19"/>
  <c r="Y19"/>
  <c r="M19"/>
  <c r="Y18"/>
  <c r="M18"/>
  <c r="AG17"/>
  <c r="Y17"/>
  <c r="M17"/>
  <c r="AG16"/>
  <c r="Y16"/>
  <c r="M16"/>
  <c r="AG15"/>
  <c r="Y15"/>
  <c r="M15"/>
  <c r="AG14"/>
  <c r="Y14"/>
  <c r="M14"/>
  <c r="AG13"/>
  <c r="Y13"/>
  <c r="M13"/>
  <c r="AG12"/>
  <c r="Y12"/>
  <c r="M12"/>
  <c r="AG11"/>
  <c r="Y11"/>
  <c r="M11"/>
  <c r="AG10"/>
  <c r="Y10"/>
  <c r="M10"/>
  <c r="AG9"/>
  <c r="Y9"/>
  <c r="M9"/>
  <c r="AG8"/>
  <c r="Y8"/>
  <c r="M8"/>
  <c r="AG7"/>
  <c r="Y7"/>
  <c r="M7"/>
  <c r="M25" l="1"/>
  <c r="M26" s="1"/>
  <c r="M21"/>
  <c r="L4" s="1"/>
  <c r="AG19"/>
  <c r="AE20" s="1"/>
  <c r="Y20"/>
  <c r="Y21" s="1"/>
  <c r="AF20"/>
  <c r="Z4"/>
  <c r="M22" l="1"/>
  <c r="AH4"/>
  <c r="AI19"/>
  <c r="AE21" s="1"/>
  <c r="AA20"/>
  <c r="AF21"/>
  <c r="C44" i="8" l="1"/>
  <c r="C37"/>
  <c r="C45"/>
  <c r="C38"/>
  <c r="C19"/>
  <c r="C28" s="1"/>
  <c r="C43"/>
  <c r="E45" l="1"/>
  <c r="E38"/>
  <c r="E32"/>
  <c r="F21"/>
  <c r="E31" s="1"/>
  <c r="O15"/>
  <c r="C21" s="1"/>
  <c r="E28" s="1"/>
  <c r="D38"/>
  <c r="D45"/>
  <c r="L15"/>
  <c r="C46"/>
  <c r="C39"/>
  <c r="D19"/>
  <c r="C29" s="1"/>
  <c r="F19"/>
  <c r="C31" s="1"/>
  <c r="F16"/>
  <c r="C32" s="1"/>
  <c r="I15"/>
  <c r="C20" s="1"/>
  <c r="D28" s="1"/>
  <c r="E19"/>
  <c r="C30" s="1"/>
  <c r="J15"/>
  <c r="J16" l="1"/>
  <c r="L16"/>
  <c r="D32" s="1"/>
  <c r="Q15"/>
  <c r="F38"/>
  <c r="G44"/>
  <c r="F45"/>
  <c r="F44"/>
  <c r="U15"/>
  <c r="C22" s="1"/>
  <c r="F28" s="1"/>
  <c r="D37"/>
  <c r="D44"/>
  <c r="E36"/>
  <c r="E43"/>
  <c r="P15"/>
  <c r="K15"/>
  <c r="F20"/>
  <c r="D31" s="1"/>
  <c r="D43"/>
  <c r="D36"/>
  <c r="D20"/>
  <c r="D29" s="1"/>
  <c r="P16" l="1"/>
  <c r="D50"/>
  <c r="D49"/>
  <c r="E49"/>
  <c r="E50"/>
  <c r="H45"/>
  <c r="H44"/>
  <c r="F36"/>
  <c r="G45"/>
  <c r="G38"/>
  <c r="H38"/>
  <c r="E20"/>
  <c r="D30" s="1"/>
  <c r="AA15"/>
  <c r="C23" s="1"/>
  <c r="G28" s="1"/>
  <c r="F43"/>
  <c r="F46" s="1"/>
  <c r="W15"/>
  <c r="F49" s="1"/>
  <c r="H37"/>
  <c r="F37"/>
  <c r="D39"/>
  <c r="D46"/>
  <c r="E21"/>
  <c r="E30" s="1"/>
  <c r="E37"/>
  <c r="E39" s="1"/>
  <c r="E44"/>
  <c r="E46" s="1"/>
  <c r="D21"/>
  <c r="E29" s="1"/>
  <c r="F50" l="1"/>
  <c r="F39"/>
  <c r="E22"/>
  <c r="F30" s="1"/>
  <c r="G36"/>
  <c r="AG15"/>
  <c r="C24" s="1"/>
  <c r="H28" s="1"/>
  <c r="G43"/>
  <c r="G46" s="1"/>
  <c r="AC15"/>
  <c r="G49" s="1"/>
  <c r="G37"/>
  <c r="G50" l="1"/>
  <c r="E23"/>
  <c r="G30" s="1"/>
  <c r="G39"/>
  <c r="H43"/>
  <c r="H46" s="1"/>
  <c r="AI15"/>
  <c r="H49" s="1"/>
  <c r="H36"/>
  <c r="H39" s="1"/>
  <c r="H50" l="1"/>
  <c r="E24"/>
  <c r="H30" s="1"/>
</calcChain>
</file>

<file path=xl/comments1.xml><?xml version="1.0" encoding="utf-8"?>
<comments xmlns="http://schemas.openxmlformats.org/spreadsheetml/2006/main">
  <authors>
    <author>Charlie Grist</author>
  </authors>
  <commentList>
    <comment ref="C8" authorId="0">
      <text>
        <r>
          <rPr>
            <sz val="9"/>
            <color indexed="81"/>
            <rFont val="Tahoma"/>
            <family val="2"/>
          </rPr>
          <t xml:space="preserve">RTF staff costs for measure review include management of QC contractor deliverables, subcommittee staffing, bringing proposals to RTF, crafting presentations, and depositing results of RTF decisions into RTF library as appropriate. </t>
        </r>
      </text>
    </comment>
    <comment ref="J8" authorId="0">
      <text>
        <r>
          <rPr>
            <sz val="9"/>
            <color indexed="81"/>
            <rFont val="Tahoma"/>
            <family val="2"/>
          </rPr>
          <t>Does not include RTF Manager. Reduced Tom &amp; Charlie Technical Staff Work by half</t>
        </r>
      </text>
    </comment>
  </commentList>
</comments>
</file>

<file path=xl/comments2.xml><?xml version="1.0" encoding="utf-8"?>
<comments xmlns="http://schemas.openxmlformats.org/spreadsheetml/2006/main">
  <authors>
    <author>Charlie Grist</author>
  </authors>
  <commentList>
    <comment ref="E2" authorId="0">
      <text>
        <r>
          <rPr>
            <b/>
            <sz val="9"/>
            <color indexed="81"/>
            <rFont val="Tahoma"/>
            <family val="2"/>
          </rPr>
          <t>Charlie Grist:</t>
        </r>
        <r>
          <rPr>
            <sz val="9"/>
            <color indexed="81"/>
            <rFont val="Tahoma"/>
            <family val="2"/>
          </rPr>
          <t xml:space="preserve">
Updated estimate from total staff cost for CY 2014.</t>
        </r>
      </text>
    </comment>
    <comment ref="K2" authorId="0">
      <text>
        <r>
          <rPr>
            <b/>
            <sz val="9"/>
            <color indexed="81"/>
            <rFont val="Tahoma"/>
            <family val="2"/>
          </rPr>
          <t>Charlie Grist:</t>
        </r>
        <r>
          <rPr>
            <sz val="9"/>
            <color indexed="81"/>
            <rFont val="Tahoma"/>
            <family val="2"/>
          </rPr>
          <t xml:space="preserve">
Updated estimate from Terry Morlan September 2011</t>
        </r>
      </text>
    </comment>
    <comment ref="Z6" authorId="0">
      <text>
        <r>
          <rPr>
            <b/>
            <sz val="9"/>
            <color indexed="81"/>
            <rFont val="Tahoma"/>
            <family val="2"/>
          </rPr>
          <t>Charlie Grist:</t>
        </r>
        <r>
          <rPr>
            <sz val="9"/>
            <color indexed="81"/>
            <rFont val="Tahoma"/>
            <family val="2"/>
          </rPr>
          <t xml:space="preserve">
Use average staff rate times overhead multiplier of 1.4 from Sharon Ossmann</t>
        </r>
      </text>
    </comment>
    <comment ref="Z20" authorId="0">
      <text>
        <r>
          <rPr>
            <b/>
            <sz val="9"/>
            <color indexed="81"/>
            <rFont val="Tahoma"/>
            <family val="2"/>
          </rPr>
          <t>Charlie Grist:</t>
        </r>
        <r>
          <rPr>
            <sz val="9"/>
            <color indexed="81"/>
            <rFont val="Tahoma"/>
            <family val="2"/>
          </rPr>
          <t xml:space="preserve">
Use average staff rate times overhead multiplier of 1.4.</t>
        </r>
      </text>
    </comment>
  </commentList>
</comments>
</file>

<file path=xl/sharedStrings.xml><?xml version="1.0" encoding="utf-8"?>
<sst xmlns="http://schemas.openxmlformats.org/spreadsheetml/2006/main" count="445" uniqueCount="225">
  <si>
    <t>Price Forecast, Carbon, Renewables</t>
  </si>
  <si>
    <t xml:space="preserve">Jeff King </t>
  </si>
  <si>
    <t>Jo-Ann Black</t>
  </si>
  <si>
    <t>Admin/Travel</t>
  </si>
  <si>
    <t>Analytics &amp; Modeling</t>
  </si>
  <si>
    <t>Michael Osborne</t>
  </si>
  <si>
    <t>Billing</t>
  </si>
  <si>
    <t>Eric Schrepel</t>
  </si>
  <si>
    <t>Bill Hannaford</t>
  </si>
  <si>
    <t>Legal &amp; Contracts</t>
  </si>
  <si>
    <t>Sharon Ossmann</t>
  </si>
  <si>
    <t>Admin Div Director</t>
  </si>
  <si>
    <t>Sandra Hirotsu</t>
  </si>
  <si>
    <t>Terry Morlan</t>
  </si>
  <si>
    <t>Planning Div Director</t>
  </si>
  <si>
    <t>Financials &amp; Contracts</t>
  </si>
  <si>
    <t>Judi Hertz</t>
  </si>
  <si>
    <t>RTF PAC &amp; Management</t>
  </si>
  <si>
    <t>RTF Member Support &amp; Administration</t>
  </si>
  <si>
    <t>Subtotal New Work</t>
  </si>
  <si>
    <t>Research Projects &amp; Data Development</t>
  </si>
  <si>
    <t>Estimate of NPCC Staff Administration Cost for RTF (2011)</t>
  </si>
  <si>
    <t>FTE</t>
  </si>
  <si>
    <t>Estimate of NPCC Staff Administration Cost for RTF (2010)</t>
  </si>
  <si>
    <t>Name</t>
  </si>
  <si>
    <t>Admin Area</t>
  </si>
  <si>
    <t>Estimated Fraction of Time on RTF Administration</t>
  </si>
  <si>
    <t>Estimated Fraction of Time on RTF Technical Work</t>
  </si>
  <si>
    <t>Total Fraction FTE to RTF</t>
  </si>
  <si>
    <t>All-In Rate Annual</t>
  </si>
  <si>
    <t>Total In-Kind Cost</t>
  </si>
  <si>
    <t>Gillian Charles</t>
  </si>
  <si>
    <t>RTF Business Manager</t>
  </si>
  <si>
    <t>Tom Eckman</t>
  </si>
  <si>
    <t>RTF Chair</t>
  </si>
  <si>
    <t>Charlie Grist</t>
  </si>
  <si>
    <t>RTF Vice Chair</t>
  </si>
  <si>
    <t>Massoud Jourabchi</t>
  </si>
  <si>
    <t>Load Forecast Economics</t>
  </si>
  <si>
    <t>Ken Dragoon</t>
  </si>
  <si>
    <t xml:space="preserve">Website, Database support, Conservation Tracking </t>
  </si>
  <si>
    <t>Category</t>
  </si>
  <si>
    <t>Standardization of Technical Analysis</t>
  </si>
  <si>
    <t>RTF Management</t>
  </si>
  <si>
    <t>Existing Measure Review &amp; Updates</t>
  </si>
  <si>
    <t>Contracts</t>
  </si>
  <si>
    <t>Tool Development</t>
  </si>
  <si>
    <t>New Measure Development &amp; Review of Unsolicited Proposals</t>
  </si>
  <si>
    <t>Subtotal Funders</t>
  </si>
  <si>
    <t>Council Staff</t>
  </si>
  <si>
    <t>Regional Coordination</t>
  </si>
  <si>
    <t>Enter all-in staff rate</t>
  </si>
  <si>
    <t>RTF Business Manager (contracts, web, data)</t>
  </si>
  <si>
    <t>Scale Factor</t>
  </si>
  <si>
    <t>Estimate of NPCC In-Kind Costs</t>
  </si>
  <si>
    <t>Total</t>
  </si>
  <si>
    <t>Michael Schilmoeller</t>
  </si>
  <si>
    <t>Web Site, Databases</t>
  </si>
  <si>
    <t>CY 2014</t>
  </si>
  <si>
    <t>Council Staff In Kind Contribution</t>
  </si>
  <si>
    <t>Council Staff FTE</t>
  </si>
  <si>
    <t>Measure Review &amp; Technical Analysis</t>
  </si>
  <si>
    <t>Tools, Research, Data &amp; Regional Coordination</t>
  </si>
  <si>
    <t>Total Including Council</t>
  </si>
  <si>
    <t>Estimate of NPCC Staff Administration Cost for RTF (2013)</t>
  </si>
  <si>
    <t>CY 2015</t>
  </si>
  <si>
    <t>Steve Simmons/Gillian Charles</t>
  </si>
  <si>
    <t>Charlie Black</t>
  </si>
  <si>
    <t>Council Staff (In-Kind)</t>
  </si>
  <si>
    <t>Contract RFP</t>
  </si>
  <si>
    <t>Nick O'Neil</t>
  </si>
  <si>
    <t>RTF Manager</t>
  </si>
  <si>
    <t>Estimate of NPCC Staff Administration Cost for RTF (2012)</t>
  </si>
  <si>
    <t>RTF Contract Staff</t>
  </si>
  <si>
    <t>CY 2016</t>
  </si>
  <si>
    <t>With RTF Manager as part of RTF funds</t>
  </si>
  <si>
    <t>Estimate of NPCC Staff Administration Cost for RTF (2014)</t>
  </si>
  <si>
    <t>RTF Annual Report</t>
  </si>
  <si>
    <t>Melissa Shavlik</t>
  </si>
  <si>
    <t>RTF Vice Chair (RTF PAC liaison)</t>
  </si>
  <si>
    <t>Aggar Assefa</t>
  </si>
  <si>
    <t>CY 2017</t>
  </si>
  <si>
    <t>CY 2018</t>
  </si>
  <si>
    <t>CY 2019</t>
  </si>
  <si>
    <t>RTF Budget Projections for 2015-2019</t>
  </si>
  <si>
    <t>Approved Calendar 2014</t>
  </si>
  <si>
    <t>Projection Calendar 2015</t>
  </si>
  <si>
    <t>Projection Calendar 2016</t>
  </si>
  <si>
    <t>Projection Calendar 2017</t>
  </si>
  <si>
    <t>Projection Calendar 2018</t>
  </si>
  <si>
    <t>Projection Calendar 2019</t>
  </si>
  <si>
    <t>Inflation Rate:</t>
  </si>
  <si>
    <t>Annual increase from 2014 base year</t>
  </si>
  <si>
    <t>Wage + Inflation Rate:</t>
  </si>
  <si>
    <t>Budget Category Detail Worksheet for 2014</t>
  </si>
  <si>
    <t>Cells are linked to worksheet  "Category"</t>
  </si>
  <si>
    <t>Grayed out text for deferred or eliminated work</t>
  </si>
  <si>
    <t>Enter Values in these columns for UES/Protocol</t>
  </si>
  <si>
    <t>Detail by Category</t>
  </si>
  <si>
    <t xml:space="preserve">
RTF Contract Staff</t>
  </si>
  <si>
    <t>Subtotal
Funders</t>
  </si>
  <si>
    <t>Council Staff In-Kind Contribution</t>
  </si>
  <si>
    <t>Sub-section % of total</t>
  </si>
  <si>
    <t>n units</t>
  </si>
  <si>
    <t>Contract cost per unit</t>
  </si>
  <si>
    <t>RTF Staff cost per unit</t>
  </si>
  <si>
    <t>Council Staff cost per unit</t>
  </si>
  <si>
    <t>Notes</t>
  </si>
  <si>
    <t>Update Active UES Measures slated to sunset in 2014</t>
  </si>
  <si>
    <t>Update Standard Protocols currently Out Of Compliance with Guidelines</t>
  </si>
  <si>
    <t>Based on findings of increased staff time to develop with subcommittee involvement. (SIS, Compressed Air, CVR and Voltage Optimization, Behavior). Assume staff does most of the development and 3rd party contractor reviews.)</t>
  </si>
  <si>
    <t>Bring Provisional UES measures to Proven Category</t>
  </si>
  <si>
    <t>Bring Provisional Protocols to Proven Category</t>
  </si>
  <si>
    <t>Assume update to Grocery Refrigeration protocol. May require outside contract help due to 3rd party software.</t>
  </si>
  <si>
    <t>Review &amp; Develop Research Plans for Out of Compliance Measures</t>
  </si>
  <si>
    <t>Includes partial funding for Research &amp; Eval Facilitator to review research plans. Staff prepares updates and helps craft plans. (Com: Fridge Decom, RTU VFDs, Strip curtains, Vending Machine, Visi-cooler, walk-in/reach-in door, 5 placeholders for leftover 2013 OOC measures.)</t>
  </si>
  <si>
    <t>Develop New Measures for Small &amp; Rural utilities</t>
  </si>
  <si>
    <t>Review New UES Measures (Either Known or Unsolicited)</t>
  </si>
  <si>
    <t>Five expected, 3 placeholders: Cold Climate DHP, DHP (site built FAF), ASHP for MH, PTCS duct sealing for NC, Open-Loop GSHP). Assumes proposers do most development work.</t>
  </si>
  <si>
    <t>Review New Standard Protocols (Either Known or Unsolicited)</t>
  </si>
  <si>
    <t>None currently known, however placeholder for 2.</t>
  </si>
  <si>
    <t>Guidelines updates</t>
  </si>
  <si>
    <t>General task order for misc. updates to Guidelines, including possible development of training materials, presentations, and review of protocols with respect to Guidelines.</t>
  </si>
  <si>
    <t>Measure Assessment Template Standardization</t>
  </si>
  <si>
    <t>MAT cleanup and standardization to help outside users better navigate complex workbooks.</t>
  </si>
  <si>
    <t>Develop Cost-Effectiveness volume of Guidelines</t>
  </si>
  <si>
    <t>Continuation of work on new section to provide guidance on cost-effectiveness for measures.</t>
  </si>
  <si>
    <t>ProCost: Engine updates and ongoing maintenance</t>
  </si>
  <si>
    <t>Removing ProCost from measure workbooks and updating to include modifications done in 2013 for 8760 analysis.</t>
  </si>
  <si>
    <t>SEEM: Updates using RBSA data and further documentation</t>
  </si>
  <si>
    <t>Adding infiltration and foundation temp data and calibration from RBSA survey and metering results, standardize internal gains calculator, update HPWH performance curves, updated documentation and creation of users guide. Staff may take on updated user interface.</t>
  </si>
  <si>
    <t>SEEM Calibration</t>
  </si>
  <si>
    <t>Finalizing efforts of the SEEM calibration for Manufactured Homes and Multi-Family based on regression development accepted by the RTF in 2013.</t>
  </si>
  <si>
    <t>Standard Protocol Calculator template design</t>
  </si>
  <si>
    <t>Develop calculator template and borrow previously developed calculation modules for consistent design of SP calculators.</t>
  </si>
  <si>
    <t>ECAM Development and ongoing maintenance</t>
  </si>
  <si>
    <t>Ongoing maintenance to further refine ECAM for use in standard protocol calculations.</t>
  </si>
  <si>
    <t>End Use Load Data Library Development and Maintenance</t>
  </si>
  <si>
    <r>
      <t>Expect that various end-uses will be entered in to newly developed</t>
    </r>
    <r>
      <rPr>
        <sz val="12"/>
        <rFont val="Calibri"/>
        <family val="2"/>
        <scheme val="minor"/>
      </rPr>
      <t xml:space="preserve"> database, and some maintenance may be needed. Additional contract funds for incorporating channel leve data from ELCAP into current database.</t>
    </r>
  </si>
  <si>
    <t>Update Lighting and HVAC interaction Factors with CBSA data</t>
  </si>
  <si>
    <t>Using recently acquired CBSA data, update HVAC lighting interaction factors for use in lighting SP and council power plans.</t>
  </si>
  <si>
    <t>Phase II of Air Sealing Research</t>
  </si>
  <si>
    <t>Continuation of work Warren Cook was undertaking in 2013 but needed to defer until BPA implemented specifications, which is expected Q1 of 2014.</t>
  </si>
  <si>
    <t>Review Seventh Power Plan Inputs and Supply Curves</t>
  </si>
  <si>
    <t>Expect this to be part of RTF member duties to review measures applicable to the RTF and council. Convene outside review panel for non-RTF UES estimates for 7th plan</t>
  </si>
  <si>
    <t>Collect and Summarize Evaluation activity and spending by Utilities, BPA, ETO</t>
  </si>
  <si>
    <t>Purpose is to help collate regional research to aid in research plan development. Fee is task 2/2 for Eval. Facilitator.</t>
  </si>
  <si>
    <t>Coordinate annual comparison of utility/SBC administrator TRM</t>
  </si>
  <si>
    <t>TRM - Technical Resource Manuals. Comparison used as basis for determining which non-RTF measures/protocols held "in common".  Helps prioritize RTF work plan elements.</t>
  </si>
  <si>
    <t>Website: Development and Management</t>
  </si>
  <si>
    <t>Ongoing management and maintenance with website functions including measure database management.</t>
  </si>
  <si>
    <t>Website: Measure application database development</t>
  </si>
  <si>
    <t xml:space="preserve"> </t>
  </si>
  <si>
    <t>Functionality added to pull application level savings, cost, life information out of workbooks for easy sorting on website. Added funds for potential 3rd party contract help, council funds for IT time, and RTF staff help for organizing workbooks and database cleanup</t>
  </si>
  <si>
    <t>Annual Regional Conservation Tracking Report</t>
  </si>
  <si>
    <t>Assume BPA reporting tool not functional until 2015. Requires RTF and Council financial support to obtain utility level conservation reporting.</t>
  </si>
  <si>
    <t>Website: Data Request Portal Development</t>
  </si>
  <si>
    <t>Creation of web portal to allow outside entities to submit data when requested by RTF for measures and protocols.</t>
  </si>
  <si>
    <t>Website: Data Warehousing and Data Collection Portal</t>
  </si>
  <si>
    <t>Creation of web portal to allow outside entities to submit data stemming from research plans and projects not being presented at RTF otherwise.</t>
  </si>
  <si>
    <t>RTF Meetings, phone, web conference, meeting minutes</t>
  </si>
  <si>
    <t>Minutes $24K, phone/web conference $7K, Lunches $7K. Council in-kind for member support during meetings.</t>
  </si>
  <si>
    <t>RTF Members and Corresponding Members meeting and project support.</t>
  </si>
  <si>
    <t>RTF member support for meetings, travel, and specific project reviews.</t>
  </si>
  <si>
    <t xml:space="preserve">Manage RTF work flow, develop agenda &amp; procedures &amp; budgets &amp; SOWs </t>
  </si>
  <si>
    <t>RTF Manager, RTF Staff and manager time spent on improving general RTF processes.</t>
  </si>
  <si>
    <t xml:space="preserve">Manage RTF business activities, contracts, financial, bylaws, RTF PAC </t>
  </si>
  <si>
    <t>PAC materials preparation, RTF relations to Council, contract and task order development, various business activities.</t>
  </si>
  <si>
    <t>RTF Outreach and Training</t>
  </si>
  <si>
    <t>Guidelines training, webinars, presentations related to RTF matters.</t>
  </si>
  <si>
    <t>Annual Report</t>
  </si>
  <si>
    <t>Cost $2,500 in 2013 but expect more in 2014 for additional content related to 3-year roll-up.</t>
  </si>
  <si>
    <t>Total New Work 2014</t>
  </si>
  <si>
    <t>Annual increase year to year</t>
  </si>
  <si>
    <t>Total Funding Increase</t>
  </si>
  <si>
    <t>Regional Research Coordination</t>
  </si>
  <si>
    <t>RTF Base Operations</t>
  </si>
  <si>
    <t>2014 Cost</t>
  </si>
  <si>
    <t>2019 Cost</t>
  </si>
  <si>
    <t>Net Change</t>
  </si>
  <si>
    <t>Major RTF Functions</t>
  </si>
  <si>
    <t>Measure Updates and New Development</t>
  </si>
  <si>
    <t>Add staff in 2015 to assist in research design related to measure development; Funding increase in 2017 to incorporate appliance standards</t>
  </si>
  <si>
    <t>Increase for general meeting costs, management expenses (Manager wage + inflation, minutes taking, training) and updates to website and database structure</t>
  </si>
  <si>
    <t>Minor fluctuations depending on updates to SEEM (potentially incorporating EnergyPlus engine) and further modifications to Procost over time</t>
  </si>
  <si>
    <t>Add staff in 2015 to assist in research coordination and review; Expected additional function of coordinating market research efforts</t>
  </si>
  <si>
    <t>Final - Adopted by RTF on October 15, Approved by Council on November 5.</t>
  </si>
  <si>
    <t>Estimated Funding Shares</t>
  </si>
  <si>
    <t>Organization</t>
  </si>
  <si>
    <t xml:space="preserve">NEEA Funding Shares (as of January 2010) </t>
  </si>
  <si>
    <t>Share of RTF Budget</t>
  </si>
  <si>
    <t>Proposed Contribution to RTF Budget Rounded</t>
  </si>
  <si>
    <t>Bonneville Power Administration</t>
  </si>
  <si>
    <t>Energy Trust of Oregon</t>
  </si>
  <si>
    <t>Puget Sound Energy</t>
  </si>
  <si>
    <t>Idaho Power Company</t>
  </si>
  <si>
    <t>Avista Corporation, Inc</t>
  </si>
  <si>
    <t>PacifiCorp</t>
  </si>
  <si>
    <t>Northwestern Energy</t>
  </si>
  <si>
    <t>Seattle City Light</t>
  </si>
  <si>
    <t>Clark Public Utilities</t>
  </si>
  <si>
    <t>Tacoma Power</t>
  </si>
  <si>
    <t>PUD #1 of Snohomish</t>
  </si>
  <si>
    <t>Eugene Water and Electric Board</t>
  </si>
  <si>
    <t>PUD #1 of Cowlitz County</t>
  </si>
  <si>
    <t>* Northwestern's contribution fixed at $30,000.  The RTF will adjust its work plan accordingly.</t>
  </si>
  <si>
    <t>2012-2014 Funding Level</t>
  </si>
  <si>
    <t>2015-2019 Funding Level</t>
  </si>
  <si>
    <t xml:space="preserve">NEEA Funding Allocation (as of May 2014) </t>
  </si>
  <si>
    <t>PacifiCorp (Washington)</t>
  </si>
  <si>
    <t>PUD No 1 of Clark County</t>
  </si>
  <si>
    <t>Snohomish County PUD</t>
  </si>
  <si>
    <t>Eugene Water and Electric</t>
  </si>
  <si>
    <t>PUD No 1 of Cowlitz County</t>
  </si>
  <si>
    <t>Share of RTF Budget (rounded)**</t>
  </si>
  <si>
    <t>2010-2014</t>
  </si>
  <si>
    <t>** All funding shares adjusted by 100%/99.01% because Chelan county present in NEEA funding, but not RTF funding.</t>
  </si>
  <si>
    <t>Percent difference from expected</t>
  </si>
  <si>
    <t>2010-2014 Actual RTF Contribution</t>
  </si>
  <si>
    <t>2010-2014 expected RTF contribution</t>
  </si>
  <si>
    <t>NorthWestern Funding</t>
  </si>
  <si>
    <t>2015-2019 Funding Share</t>
  </si>
  <si>
    <t>2010-2014 Funding Share</t>
  </si>
  <si>
    <t>2015-2019 RTF Contribution</t>
  </si>
  <si>
    <t>* Northwestern's contribution adjusted to reflect Western MT contributin to RTF only at 52% of NEEA Funding.</t>
  </si>
</sst>
</file>

<file path=xl/styles.xml><?xml version="1.0" encoding="utf-8"?>
<styleSheet xmlns="http://schemas.openxmlformats.org/spreadsheetml/2006/main">
  <numFmts count="10">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0.0_);\(#,##0.0\)"/>
    <numFmt numFmtId="167" formatCode="&quot;$&quot;#,##0"/>
    <numFmt numFmtId="168" formatCode="_(&quot;$&quot;* #,##0.0_);_(&quot;$&quot;* \(#,##0.0\);_(&quot;$&quot;* &quot;-&quot;??_);_(@_)"/>
    <numFmt numFmtId="169" formatCode="0.0%"/>
  </numFmts>
  <fonts count="19">
    <font>
      <sz val="11"/>
      <color theme="1"/>
      <name val="Calibri"/>
      <family val="2"/>
      <scheme val="minor"/>
    </font>
    <font>
      <sz val="11"/>
      <color indexed="8"/>
      <name val="Calibri"/>
      <family val="2"/>
    </font>
    <font>
      <sz val="10"/>
      <name val="Arial"/>
      <family val="2"/>
    </font>
    <font>
      <b/>
      <sz val="9"/>
      <color indexed="81"/>
      <name val="Tahoma"/>
      <family val="2"/>
    </font>
    <font>
      <sz val="9"/>
      <color indexed="81"/>
      <name val="Tahoma"/>
      <family val="2"/>
    </font>
    <font>
      <i/>
      <sz val="11"/>
      <color theme="1"/>
      <name val="Calibri"/>
      <family val="2"/>
      <scheme val="minor"/>
    </font>
    <font>
      <sz val="8"/>
      <name val="Verdana"/>
      <family val="2"/>
    </font>
    <font>
      <sz val="11"/>
      <color theme="1"/>
      <name val="Calibri"/>
      <family val="2"/>
      <scheme val="minor"/>
    </font>
    <font>
      <b/>
      <sz val="12"/>
      <color indexed="8"/>
      <name val="Calibri"/>
      <family val="2"/>
      <scheme val="minor"/>
    </font>
    <font>
      <sz val="12"/>
      <name val="Calibri"/>
      <family val="2"/>
      <scheme val="minor"/>
    </font>
    <font>
      <sz val="12"/>
      <color indexed="8"/>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14"/>
      <color theme="1"/>
      <name val="Calibri"/>
      <family val="2"/>
      <scheme val="minor"/>
    </font>
    <font>
      <sz val="12"/>
      <color rgb="FF00B050"/>
      <name val="Calibri"/>
      <family val="2"/>
      <scheme val="minor"/>
    </font>
    <font>
      <i/>
      <sz val="12"/>
      <color theme="1"/>
      <name val="Calibri"/>
      <family val="2"/>
      <scheme val="minor"/>
    </font>
    <font>
      <sz val="12"/>
      <color indexed="11"/>
      <name val="Calibri"/>
      <family val="2"/>
      <scheme val="minor"/>
    </font>
    <font>
      <b/>
      <sz val="11"/>
      <color theme="1"/>
      <name val="Calibri"/>
      <family val="2"/>
      <scheme val="minor"/>
    </font>
  </fonts>
  <fills count="20">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indexed="41"/>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rgb="FF00B0F0"/>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1" tint="0.499984740745262"/>
        <bgColor indexed="64"/>
      </patternFill>
    </fill>
    <fill>
      <patternFill patternType="solid">
        <fgColor theme="0" tint="-0.499984740745262"/>
        <bgColor indexed="64"/>
      </patternFill>
    </fill>
  </fills>
  <borders count="3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thin">
        <color indexed="64"/>
      </bottom>
      <diagonal/>
    </border>
  </borders>
  <cellStyleXfs count="9">
    <xf numFmtId="0" fontId="0" fillId="0" borderId="0"/>
    <xf numFmtId="44" fontId="1"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cellStyleXfs>
  <cellXfs count="238">
    <xf numFmtId="0" fontId="0" fillId="0" borderId="0" xfId="0"/>
    <xf numFmtId="0" fontId="5" fillId="0" borderId="0" xfId="0" applyFont="1"/>
    <xf numFmtId="0" fontId="5" fillId="0" borderId="0" xfId="0" applyFont="1" applyFill="1"/>
    <xf numFmtId="0" fontId="11" fillId="0" borderId="0" xfId="0" applyFont="1"/>
    <xf numFmtId="0" fontId="11" fillId="0" borderId="0" xfId="0" applyFont="1" applyFill="1"/>
    <xf numFmtId="0" fontId="8" fillId="3" borderId="2" xfId="3" applyFont="1" applyFill="1" applyBorder="1"/>
    <xf numFmtId="0" fontId="8" fillId="3" borderId="2" xfId="3" applyFont="1" applyFill="1" applyBorder="1" applyAlignment="1">
      <alignment horizontal="center" wrapText="1"/>
    </xf>
    <xf numFmtId="0" fontId="8" fillId="3" borderId="3" xfId="3" applyFont="1" applyFill="1" applyBorder="1" applyAlignment="1">
      <alignment horizontal="center" wrapText="1"/>
    </xf>
    <xf numFmtId="0" fontId="8" fillId="3" borderId="6" xfId="3" applyFont="1" applyFill="1" applyBorder="1" applyAlignment="1">
      <alignment horizontal="center" wrapText="1"/>
    </xf>
    <xf numFmtId="0" fontId="8" fillId="3" borderId="1" xfId="3" applyFont="1" applyFill="1" applyBorder="1" applyAlignment="1">
      <alignment horizontal="center" wrapText="1"/>
    </xf>
    <xf numFmtId="0" fontId="10" fillId="8" borderId="3" xfId="3" applyFont="1" applyFill="1" applyBorder="1" applyAlignment="1">
      <alignment vertical="center" wrapText="1"/>
    </xf>
    <xf numFmtId="5" fontId="11" fillId="8" borderId="2" xfId="0" applyNumberFormat="1" applyFont="1" applyFill="1" applyBorder="1" applyAlignment="1">
      <alignment horizontal="center" vertical="center"/>
    </xf>
    <xf numFmtId="5" fontId="11" fillId="8" borderId="3" xfId="0" applyNumberFormat="1" applyFont="1" applyFill="1" applyBorder="1" applyAlignment="1">
      <alignment horizontal="center" vertical="center"/>
    </xf>
    <xf numFmtId="5" fontId="11" fillId="8" borderId="6" xfId="0" applyNumberFormat="1" applyFont="1" applyFill="1" applyBorder="1" applyAlignment="1">
      <alignment horizontal="center" vertical="center"/>
    </xf>
    <xf numFmtId="0" fontId="10" fillId="6" borderId="3" xfId="3" applyFont="1" applyFill="1" applyBorder="1" applyAlignment="1">
      <alignment vertical="center" wrapText="1"/>
    </xf>
    <xf numFmtId="5" fontId="11" fillId="6" borderId="2" xfId="0" applyNumberFormat="1" applyFont="1" applyFill="1" applyBorder="1" applyAlignment="1">
      <alignment horizontal="center" vertical="center"/>
    </xf>
    <xf numFmtId="5" fontId="11" fillId="6" borderId="3" xfId="0" applyNumberFormat="1" applyFont="1" applyFill="1" applyBorder="1" applyAlignment="1">
      <alignment horizontal="center" vertical="center"/>
    </xf>
    <xf numFmtId="5" fontId="11" fillId="6" borderId="6" xfId="0" applyNumberFormat="1" applyFont="1" applyFill="1" applyBorder="1" applyAlignment="1">
      <alignment horizontal="center" vertical="center"/>
    </xf>
    <xf numFmtId="0" fontId="10" fillId="5" borderId="3" xfId="3" applyFont="1" applyFill="1" applyBorder="1" applyAlignment="1">
      <alignment vertical="center" wrapText="1"/>
    </xf>
    <xf numFmtId="5" fontId="11" fillId="5" borderId="6" xfId="0" applyNumberFormat="1" applyFont="1" applyFill="1" applyBorder="1" applyAlignment="1">
      <alignment horizontal="center" vertical="center"/>
    </xf>
    <xf numFmtId="0" fontId="8" fillId="0" borderId="2" xfId="3" applyFont="1" applyBorder="1" applyAlignment="1">
      <alignment vertical="center" wrapText="1"/>
    </xf>
    <xf numFmtId="5" fontId="12" fillId="0" borderId="2" xfId="0" applyNumberFormat="1" applyFont="1" applyBorder="1" applyAlignment="1">
      <alignment horizontal="center" vertical="center"/>
    </xf>
    <xf numFmtId="5" fontId="12" fillId="0" borderId="3" xfId="0" applyNumberFormat="1" applyFont="1" applyBorder="1" applyAlignment="1">
      <alignment horizontal="center" vertical="center"/>
    </xf>
    <xf numFmtId="5" fontId="12" fillId="0" borderId="6" xfId="0" applyNumberFormat="1" applyFont="1" applyBorder="1" applyAlignment="1">
      <alignment horizontal="center" vertical="center"/>
    </xf>
    <xf numFmtId="9" fontId="11" fillId="0" borderId="2" xfId="0" applyNumberFormat="1" applyFont="1" applyBorder="1" applyAlignment="1">
      <alignment horizontal="center" vertical="center"/>
    </xf>
    <xf numFmtId="0" fontId="8" fillId="3" borderId="5" xfId="3" applyFont="1" applyFill="1" applyBorder="1" applyAlignment="1">
      <alignment horizontal="center" wrapText="1"/>
    </xf>
    <xf numFmtId="5" fontId="12" fillId="0" borderId="5" xfId="0" applyNumberFormat="1" applyFont="1" applyBorder="1" applyAlignment="1">
      <alignment horizontal="center" vertical="center"/>
    </xf>
    <xf numFmtId="0" fontId="10" fillId="0" borderId="2" xfId="3" applyFont="1" applyFill="1" applyBorder="1" applyAlignment="1">
      <alignment vertical="center" wrapText="1"/>
    </xf>
    <xf numFmtId="0" fontId="11" fillId="0" borderId="2" xfId="0" applyFont="1" applyBorder="1"/>
    <xf numFmtId="166" fontId="11" fillId="0" borderId="2" xfId="0" applyNumberFormat="1" applyFont="1" applyBorder="1" applyAlignment="1">
      <alignment horizontal="center" vertical="center"/>
    </xf>
    <xf numFmtId="0" fontId="11" fillId="0" borderId="5" xfId="0" applyFont="1" applyBorder="1"/>
    <xf numFmtId="166" fontId="11" fillId="0" borderId="1" xfId="0" applyNumberFormat="1" applyFont="1" applyBorder="1" applyAlignment="1">
      <alignment horizontal="center" vertical="center"/>
    </xf>
    <xf numFmtId="0" fontId="11" fillId="0" borderId="2" xfId="0" applyFont="1" applyBorder="1" applyAlignment="1">
      <alignment horizontal="right"/>
    </xf>
    <xf numFmtId="5" fontId="11" fillId="0" borderId="2" xfId="0" applyNumberFormat="1" applyFont="1" applyBorder="1" applyAlignment="1">
      <alignment horizontal="center"/>
    </xf>
    <xf numFmtId="5" fontId="11" fillId="0" borderId="2" xfId="0" applyNumberFormat="1" applyFont="1" applyBorder="1"/>
    <xf numFmtId="166" fontId="11" fillId="0" borderId="2" xfId="0" applyNumberFormat="1" applyFont="1" applyBorder="1"/>
    <xf numFmtId="0" fontId="12" fillId="3" borderId="2" xfId="0" applyFont="1" applyFill="1" applyBorder="1" applyAlignment="1">
      <alignment horizontal="right"/>
    </xf>
    <xf numFmtId="0" fontId="9" fillId="8" borderId="2" xfId="0" applyFont="1" applyFill="1" applyBorder="1" applyAlignment="1">
      <alignment horizontal="right"/>
    </xf>
    <xf numFmtId="5" fontId="11" fillId="8" borderId="2" xfId="0" applyNumberFormat="1" applyFont="1" applyFill="1" applyBorder="1"/>
    <xf numFmtId="0" fontId="9" fillId="6" borderId="2" xfId="0" applyFont="1" applyFill="1" applyBorder="1" applyAlignment="1">
      <alignment horizontal="right"/>
    </xf>
    <xf numFmtId="5" fontId="11" fillId="6" borderId="2" xfId="0" applyNumberFormat="1" applyFont="1" applyFill="1" applyBorder="1"/>
    <xf numFmtId="0" fontId="9" fillId="5" borderId="2" xfId="0" applyFont="1" applyFill="1" applyBorder="1" applyAlignment="1">
      <alignment horizontal="right"/>
    </xf>
    <xf numFmtId="5" fontId="11" fillId="5" borderId="2" xfId="0" applyNumberFormat="1" applyFont="1" applyFill="1" applyBorder="1"/>
    <xf numFmtId="0" fontId="12" fillId="0" borderId="2" xfId="0" applyFont="1" applyBorder="1" applyAlignment="1">
      <alignment horizontal="right"/>
    </xf>
    <xf numFmtId="5" fontId="12" fillId="0" borderId="2" xfId="0" applyNumberFormat="1" applyFont="1" applyBorder="1"/>
    <xf numFmtId="0" fontId="9" fillId="0" borderId="0" xfId="3" applyFont="1"/>
    <xf numFmtId="0" fontId="9" fillId="6" borderId="0" xfId="3" applyFont="1" applyFill="1"/>
    <xf numFmtId="164" fontId="11" fillId="6" borderId="0" xfId="2" applyNumberFormat="1" applyFont="1" applyFill="1"/>
    <xf numFmtId="0" fontId="13" fillId="0" borderId="0" xfId="3" applyFont="1"/>
    <xf numFmtId="165" fontId="11" fillId="7" borderId="3" xfId="6" applyNumberFormat="1" applyFont="1" applyFill="1" applyBorder="1"/>
    <xf numFmtId="0" fontId="9" fillId="7" borderId="1" xfId="3" applyFont="1" applyFill="1" applyBorder="1"/>
    <xf numFmtId="165" fontId="11" fillId="7" borderId="0" xfId="6" applyNumberFormat="1" applyFont="1" applyFill="1"/>
    <xf numFmtId="0" fontId="9" fillId="7" borderId="0" xfId="3" applyFont="1" applyFill="1"/>
    <xf numFmtId="0" fontId="13" fillId="9" borderId="2" xfId="3" applyFont="1" applyFill="1" applyBorder="1" applyAlignment="1">
      <alignment wrapText="1"/>
    </xf>
    <xf numFmtId="0" fontId="9" fillId="0" borderId="2" xfId="3" applyFont="1" applyBorder="1"/>
    <xf numFmtId="9" fontId="9" fillId="2" borderId="2" xfId="3" applyNumberFormat="1" applyFont="1" applyFill="1" applyBorder="1"/>
    <xf numFmtId="9" fontId="9" fillId="0" borderId="2" xfId="3" applyNumberFormat="1" applyFont="1" applyBorder="1"/>
    <xf numFmtId="0" fontId="9" fillId="0" borderId="2" xfId="3" applyFont="1" applyFill="1" applyBorder="1"/>
    <xf numFmtId="9" fontId="9" fillId="0" borderId="2" xfId="4" applyFont="1" applyBorder="1"/>
    <xf numFmtId="9" fontId="9" fillId="0" borderId="0" xfId="3" applyNumberFormat="1" applyFont="1"/>
    <xf numFmtId="164" fontId="9" fillId="0" borderId="0" xfId="2" applyNumberFormat="1" applyFont="1"/>
    <xf numFmtId="0" fontId="9" fillId="10" borderId="2" xfId="3" applyFont="1" applyFill="1" applyBorder="1"/>
    <xf numFmtId="9" fontId="9" fillId="10" borderId="2" xfId="3" applyNumberFormat="1" applyFont="1" applyFill="1" applyBorder="1"/>
    <xf numFmtId="0" fontId="13" fillId="4" borderId="2" xfId="3" applyFont="1" applyFill="1" applyBorder="1"/>
    <xf numFmtId="165" fontId="13" fillId="4" borderId="2" xfId="6" applyNumberFormat="1" applyFont="1" applyFill="1" applyBorder="1"/>
    <xf numFmtId="0" fontId="13" fillId="4" borderId="0" xfId="3" applyFont="1" applyFill="1" applyBorder="1"/>
    <xf numFmtId="165" fontId="13" fillId="4" borderId="0" xfId="6" applyNumberFormat="1" applyFont="1" applyFill="1" applyBorder="1"/>
    <xf numFmtId="164" fontId="13" fillId="4" borderId="0" xfId="3" applyNumberFormat="1" applyFont="1" applyFill="1"/>
    <xf numFmtId="9" fontId="9" fillId="0" borderId="0" xfId="3" applyNumberFormat="1" applyFont="1" applyFill="1"/>
    <xf numFmtId="0" fontId="13" fillId="4" borderId="7" xfId="3" applyFont="1" applyFill="1" applyBorder="1"/>
    <xf numFmtId="164" fontId="9" fillId="0" borderId="0" xfId="1" applyNumberFormat="1" applyFont="1"/>
    <xf numFmtId="164" fontId="9" fillId="0" borderId="0" xfId="3" applyNumberFormat="1" applyFont="1"/>
    <xf numFmtId="0" fontId="14" fillId="0" borderId="0" xfId="0" applyFont="1"/>
    <xf numFmtId="0" fontId="11" fillId="11" borderId="0" xfId="0" applyFont="1" applyFill="1" applyAlignment="1">
      <alignment horizontal="right"/>
    </xf>
    <xf numFmtId="10" fontId="11" fillId="11" borderId="0" xfId="0" applyNumberFormat="1" applyFont="1" applyFill="1"/>
    <xf numFmtId="5" fontId="11" fillId="5" borderId="2" xfId="0" applyNumberFormat="1" applyFont="1" applyFill="1" applyBorder="1" applyAlignment="1">
      <alignment horizontal="center" vertical="center"/>
    </xf>
    <xf numFmtId="5" fontId="11" fillId="5" borderId="3" xfId="0" applyNumberFormat="1" applyFont="1" applyFill="1" applyBorder="1" applyAlignment="1">
      <alignment horizontal="center" vertical="center"/>
    </xf>
    <xf numFmtId="9" fontId="11" fillId="0" borderId="2" xfId="0" applyNumberFormat="1" applyFont="1" applyBorder="1" applyAlignment="1">
      <alignment horizontal="right"/>
    </xf>
    <xf numFmtId="5" fontId="11" fillId="0" borderId="5" xfId="0" applyNumberFormat="1" applyFont="1" applyBorder="1"/>
    <xf numFmtId="0" fontId="11" fillId="0" borderId="0" xfId="0" applyFont="1" applyAlignment="1">
      <alignment horizontal="center" vertical="center"/>
    </xf>
    <xf numFmtId="5" fontId="11" fillId="12" borderId="2" xfId="0" applyNumberFormat="1" applyFont="1" applyFill="1" applyBorder="1" applyAlignment="1">
      <alignment horizontal="right"/>
    </xf>
    <xf numFmtId="9" fontId="11" fillId="0" borderId="0" xfId="0" applyNumberFormat="1" applyFont="1"/>
    <xf numFmtId="5" fontId="11" fillId="0" borderId="0" xfId="0" applyNumberFormat="1" applyFont="1"/>
    <xf numFmtId="9" fontId="11" fillId="0" borderId="2" xfId="8" applyFont="1" applyBorder="1" applyAlignment="1">
      <alignment horizontal="center" vertical="center"/>
    </xf>
    <xf numFmtId="0" fontId="15" fillId="0" borderId="0" xfId="0" applyFont="1"/>
    <xf numFmtId="0" fontId="16" fillId="0" borderId="0" xfId="0" applyFont="1"/>
    <xf numFmtId="5" fontId="0" fillId="13" borderId="2" xfId="0" applyNumberFormat="1" applyFont="1" applyFill="1" applyBorder="1" applyAlignment="1">
      <alignment horizontal="center" vertical="center"/>
    </xf>
    <xf numFmtId="5" fontId="0" fillId="0" borderId="2" xfId="0" applyNumberFormat="1" applyFont="1" applyFill="1" applyBorder="1" applyAlignment="1">
      <alignment horizontal="center" vertical="center"/>
    </xf>
    <xf numFmtId="5" fontId="0" fillId="0" borderId="2" xfId="0" applyNumberFormat="1" applyFont="1" applyFill="1" applyBorder="1" applyAlignment="1">
      <alignment horizontal="left" vertical="center"/>
    </xf>
    <xf numFmtId="0" fontId="8" fillId="0" borderId="2" xfId="0" applyFont="1" applyBorder="1" applyAlignment="1">
      <alignment horizontal="left" wrapText="1"/>
    </xf>
    <xf numFmtId="0" fontId="8" fillId="0" borderId="2" xfId="0" applyFont="1" applyBorder="1" applyAlignment="1">
      <alignment horizontal="center" wrapText="1"/>
    </xf>
    <xf numFmtId="0" fontId="11" fillId="3" borderId="2" xfId="0" applyFont="1" applyFill="1" applyBorder="1" applyAlignment="1">
      <alignment wrapText="1"/>
    </xf>
    <xf numFmtId="0" fontId="8" fillId="0" borderId="0" xfId="0" applyFont="1" applyAlignment="1">
      <alignment wrapText="1"/>
    </xf>
    <xf numFmtId="0" fontId="15" fillId="0" borderId="0" xfId="0" applyFont="1" applyAlignment="1">
      <alignment wrapText="1"/>
    </xf>
    <xf numFmtId="0" fontId="11" fillId="0" borderId="0" xfId="0" applyFont="1" applyAlignment="1">
      <alignment wrapText="1"/>
    </xf>
    <xf numFmtId="0" fontId="8" fillId="14" borderId="0" xfId="0" applyFont="1" applyFill="1"/>
    <xf numFmtId="0" fontId="8" fillId="14" borderId="0" xfId="0" applyFont="1" applyFill="1" applyAlignment="1">
      <alignment wrapText="1"/>
    </xf>
    <xf numFmtId="0" fontId="11" fillId="14" borderId="0" xfId="0" applyFont="1" applyFill="1" applyAlignment="1">
      <alignment wrapText="1"/>
    </xf>
    <xf numFmtId="164" fontId="9" fillId="14" borderId="0" xfId="1" applyNumberFormat="1" applyFont="1" applyFill="1" applyAlignment="1">
      <alignment wrapText="1"/>
    </xf>
    <xf numFmtId="0" fontId="15" fillId="14" borderId="0" xfId="0" applyFont="1" applyFill="1" applyAlignment="1">
      <alignment wrapText="1"/>
    </xf>
    <xf numFmtId="0" fontId="9" fillId="14" borderId="0" xfId="0" applyFont="1" applyFill="1"/>
    <xf numFmtId="5" fontId="9" fillId="14" borderId="0" xfId="1" applyNumberFormat="1" applyFont="1" applyFill="1" applyAlignment="1">
      <alignment horizontal="center" vertical="center"/>
    </xf>
    <xf numFmtId="9" fontId="9" fillId="14" borderId="0" xfId="8" applyFont="1" applyFill="1" applyAlignment="1">
      <alignment wrapText="1"/>
    </xf>
    <xf numFmtId="0" fontId="9" fillId="14" borderId="0" xfId="0" applyFont="1" applyFill="1" applyAlignment="1">
      <alignment wrapText="1"/>
    </xf>
    <xf numFmtId="164" fontId="11" fillId="14" borderId="0" xfId="1" applyNumberFormat="1" applyFont="1" applyFill="1" applyAlignment="1">
      <alignment wrapText="1"/>
    </xf>
    <xf numFmtId="0" fontId="10" fillId="14" borderId="0" xfId="0" applyFont="1" applyFill="1"/>
    <xf numFmtId="167" fontId="9" fillId="14" borderId="0" xfId="7" applyNumberFormat="1" applyFont="1" applyFill="1" applyAlignment="1">
      <alignment wrapText="1"/>
    </xf>
    <xf numFmtId="164" fontId="15" fillId="14" borderId="0" xfId="1" applyNumberFormat="1" applyFont="1" applyFill="1" applyAlignment="1"/>
    <xf numFmtId="5" fontId="13" fillId="14" borderId="0" xfId="1" applyNumberFormat="1" applyFont="1" applyFill="1" applyAlignment="1">
      <alignment horizontal="center" vertical="center"/>
    </xf>
    <xf numFmtId="9" fontId="13" fillId="14" borderId="0" xfId="8" applyFont="1" applyFill="1" applyAlignment="1">
      <alignment wrapText="1"/>
    </xf>
    <xf numFmtId="168" fontId="11" fillId="14" borderId="0" xfId="1" applyNumberFormat="1" applyFont="1" applyFill="1" applyAlignment="1">
      <alignment wrapText="1"/>
    </xf>
    <xf numFmtId="0" fontId="13" fillId="14" borderId="0" xfId="0" applyFont="1" applyFill="1" applyAlignment="1">
      <alignment wrapText="1"/>
    </xf>
    <xf numFmtId="44" fontId="11" fillId="14" borderId="0" xfId="1" applyNumberFormat="1" applyFont="1" applyFill="1" applyAlignment="1">
      <alignment wrapText="1"/>
    </xf>
    <xf numFmtId="0" fontId="15" fillId="14" borderId="0" xfId="0" applyFont="1" applyFill="1"/>
    <xf numFmtId="0" fontId="11" fillId="14" borderId="0" xfId="0" applyFont="1" applyFill="1"/>
    <xf numFmtId="5" fontId="9" fillId="0" borderId="0" xfId="1" applyNumberFormat="1" applyFont="1" applyAlignment="1">
      <alignment horizontal="center" vertical="center"/>
    </xf>
    <xf numFmtId="7" fontId="9" fillId="0" borderId="0" xfId="0" applyNumberFormat="1" applyFont="1"/>
    <xf numFmtId="0" fontId="9" fillId="0" borderId="0" xfId="0" applyFont="1"/>
    <xf numFmtId="0" fontId="10" fillId="0" borderId="0" xfId="0" applyFont="1"/>
    <xf numFmtId="0" fontId="8" fillId="6" borderId="0" xfId="0" applyFont="1" applyFill="1"/>
    <xf numFmtId="5" fontId="9" fillId="6" borderId="0" xfId="1" applyNumberFormat="1" applyFont="1" applyFill="1" applyAlignment="1">
      <alignment horizontal="center" vertical="center"/>
    </xf>
    <xf numFmtId="0" fontId="9" fillId="6" borderId="0" xfId="0" applyFont="1" applyFill="1"/>
    <xf numFmtId="0" fontId="11" fillId="6" borderId="0" xfId="0" applyFont="1" applyFill="1"/>
    <xf numFmtId="0" fontId="10" fillId="6" borderId="0" xfId="0" applyFont="1" applyFill="1"/>
    <xf numFmtId="0" fontId="15" fillId="6" borderId="0" xfId="0" applyFont="1" applyFill="1"/>
    <xf numFmtId="0" fontId="9" fillId="6" borderId="0" xfId="0" applyFont="1" applyFill="1" applyAlignment="1"/>
    <xf numFmtId="0" fontId="15" fillId="6" borderId="0" xfId="0" applyFont="1" applyFill="1" applyAlignment="1"/>
    <xf numFmtId="5" fontId="13" fillId="6" borderId="0" xfId="1" applyNumberFormat="1" applyFont="1" applyFill="1" applyAlignment="1">
      <alignment horizontal="center" vertical="center"/>
    </xf>
    <xf numFmtId="9" fontId="13" fillId="6" borderId="0" xfId="8" applyFont="1" applyFill="1"/>
    <xf numFmtId="5" fontId="9" fillId="6" borderId="0" xfId="0" applyNumberFormat="1" applyFont="1" applyFill="1" applyAlignment="1">
      <alignment horizontal="center"/>
    </xf>
    <xf numFmtId="0" fontId="17" fillId="6" borderId="0" xfId="0" applyFont="1" applyFill="1"/>
    <xf numFmtId="0" fontId="8" fillId="5" borderId="0" xfId="0" applyFont="1" applyFill="1"/>
    <xf numFmtId="5" fontId="9" fillId="5" borderId="0" xfId="1" applyNumberFormat="1" applyFont="1" applyFill="1" applyAlignment="1">
      <alignment horizontal="center" vertical="center"/>
    </xf>
    <xf numFmtId="0" fontId="9" fillId="5" borderId="0" xfId="0" applyFont="1" applyFill="1"/>
    <xf numFmtId="0" fontId="11" fillId="5" borderId="0" xfId="0" applyFont="1" applyFill="1"/>
    <xf numFmtId="0" fontId="10" fillId="5" borderId="0" xfId="0" applyFont="1" applyFill="1"/>
    <xf numFmtId="0" fontId="15" fillId="5" borderId="0" xfId="0" applyFont="1" applyFill="1"/>
    <xf numFmtId="5" fontId="13" fillId="5" borderId="0" xfId="1" applyNumberFormat="1" applyFont="1" applyFill="1" applyAlignment="1">
      <alignment horizontal="center" vertical="center"/>
    </xf>
    <xf numFmtId="9" fontId="13" fillId="5" borderId="0" xfId="8" applyNumberFormat="1" applyFont="1" applyFill="1"/>
    <xf numFmtId="7" fontId="9" fillId="5" borderId="0" xfId="0" applyNumberFormat="1" applyFont="1" applyFill="1"/>
    <xf numFmtId="5" fontId="9" fillId="5" borderId="0" xfId="0" applyNumberFormat="1" applyFont="1" applyFill="1"/>
    <xf numFmtId="7" fontId="11" fillId="5" borderId="0" xfId="0" applyNumberFormat="1" applyFont="1" applyFill="1"/>
    <xf numFmtId="0" fontId="8" fillId="3" borderId="0" xfId="0" applyFont="1" applyFill="1"/>
    <xf numFmtId="5" fontId="12" fillId="3" borderId="0" xfId="0" applyNumberFormat="1" applyFont="1" applyFill="1" applyAlignment="1">
      <alignment horizontal="center"/>
    </xf>
    <xf numFmtId="9" fontId="12" fillId="3" borderId="0" xfId="8" applyFont="1" applyFill="1"/>
    <xf numFmtId="0" fontId="11" fillId="3" borderId="0" xfId="0" applyFont="1" applyFill="1"/>
    <xf numFmtId="0" fontId="15" fillId="3" borderId="0" xfId="0" applyFont="1" applyFill="1"/>
    <xf numFmtId="7" fontId="11" fillId="0" borderId="0" xfId="0" applyNumberFormat="1" applyFont="1"/>
    <xf numFmtId="0" fontId="9" fillId="0" borderId="2" xfId="0" applyFont="1" applyFill="1" applyBorder="1" applyAlignment="1">
      <alignment horizontal="right"/>
    </xf>
    <xf numFmtId="5" fontId="11" fillId="0" borderId="2" xfId="0" applyNumberFormat="1" applyFont="1" applyFill="1" applyBorder="1"/>
    <xf numFmtId="0" fontId="10" fillId="0" borderId="3" xfId="3" applyFont="1" applyFill="1" applyBorder="1" applyAlignment="1">
      <alignment vertical="center" wrapText="1"/>
    </xf>
    <xf numFmtId="5" fontId="11" fillId="0" borderId="2" xfId="0" applyNumberFormat="1" applyFont="1" applyFill="1" applyBorder="1" applyAlignment="1">
      <alignment horizontal="center" vertical="center"/>
    </xf>
    <xf numFmtId="0" fontId="10" fillId="15" borderId="3" xfId="3" applyFont="1" applyFill="1" applyBorder="1" applyAlignment="1">
      <alignment vertical="center" wrapText="1"/>
    </xf>
    <xf numFmtId="5" fontId="11" fillId="15" borderId="2" xfId="0" applyNumberFormat="1" applyFont="1" applyFill="1" applyBorder="1" applyAlignment="1">
      <alignment horizontal="center" vertical="center"/>
    </xf>
    <xf numFmtId="167" fontId="11" fillId="0" borderId="0" xfId="0" applyNumberFormat="1" applyFont="1"/>
    <xf numFmtId="0" fontId="0" fillId="0" borderId="0" xfId="0" applyFill="1"/>
    <xf numFmtId="0" fontId="12" fillId="16" borderId="8" xfId="0" applyFont="1" applyFill="1" applyBorder="1" applyAlignment="1">
      <alignment wrapText="1"/>
    </xf>
    <xf numFmtId="0" fontId="12" fillId="16" borderId="9" xfId="0" applyFont="1" applyFill="1" applyBorder="1" applyAlignment="1">
      <alignment wrapText="1"/>
    </xf>
    <xf numFmtId="0" fontId="12" fillId="16" borderId="10" xfId="0" applyFont="1" applyFill="1" applyBorder="1" applyAlignment="1">
      <alignment wrapText="1"/>
    </xf>
    <xf numFmtId="0" fontId="18" fillId="0" borderId="0" xfId="0" applyFont="1" applyFill="1" applyBorder="1" applyAlignment="1">
      <alignment wrapText="1"/>
    </xf>
    <xf numFmtId="0" fontId="11" fillId="0" borderId="11" xfId="0" applyFont="1" applyBorder="1"/>
    <xf numFmtId="164" fontId="11" fillId="0" borderId="0" xfId="0" applyNumberFormat="1" applyFont="1" applyBorder="1"/>
    <xf numFmtId="164" fontId="11" fillId="0" borderId="12" xfId="0" applyNumberFormat="1" applyFont="1" applyBorder="1"/>
    <xf numFmtId="164" fontId="0" fillId="0" borderId="0" xfId="0" applyNumberFormat="1" applyBorder="1"/>
    <xf numFmtId="0" fontId="11" fillId="0" borderId="0" xfId="0" applyFont="1" applyBorder="1"/>
    <xf numFmtId="0" fontId="11" fillId="0" borderId="12" xfId="0" applyFont="1" applyBorder="1"/>
    <xf numFmtId="0" fontId="0" fillId="0" borderId="0" xfId="0" applyBorder="1"/>
    <xf numFmtId="0" fontId="12" fillId="0" borderId="13" xfId="0" applyFont="1" applyBorder="1"/>
    <xf numFmtId="169" fontId="12" fillId="0" borderId="14" xfId="0" applyNumberFormat="1" applyFont="1" applyBorder="1"/>
    <xf numFmtId="164" fontId="12" fillId="0" borderId="14" xfId="0" applyNumberFormat="1" applyFont="1" applyBorder="1"/>
    <xf numFmtId="164" fontId="12" fillId="0" borderId="15" xfId="0" applyNumberFormat="1" applyFont="1" applyBorder="1"/>
    <xf numFmtId="0" fontId="0" fillId="0" borderId="11" xfId="0" applyFill="1" applyBorder="1"/>
    <xf numFmtId="169" fontId="0" fillId="0" borderId="0" xfId="0" applyNumberFormat="1"/>
    <xf numFmtId="10" fontId="11" fillId="0" borderId="0" xfId="5" applyNumberFormat="1" applyFont="1" applyBorder="1"/>
    <xf numFmtId="0" fontId="12" fillId="7" borderId="16" xfId="0" applyFont="1" applyFill="1" applyBorder="1" applyAlignment="1">
      <alignment horizontal="center" vertical="center" wrapText="1"/>
    </xf>
    <xf numFmtId="5" fontId="12" fillId="16" borderId="16" xfId="0" applyNumberFormat="1" applyFont="1" applyFill="1" applyBorder="1" applyAlignment="1">
      <alignment wrapText="1"/>
    </xf>
    <xf numFmtId="0" fontId="11" fillId="0" borderId="18" xfId="0" applyFont="1" applyBorder="1"/>
    <xf numFmtId="0" fontId="12" fillId="15" borderId="0" xfId="0" applyFont="1" applyFill="1"/>
    <xf numFmtId="0" fontId="0" fillId="15" borderId="0" xfId="0" applyFill="1"/>
    <xf numFmtId="164" fontId="12" fillId="15" borderId="0" xfId="1" applyNumberFormat="1" applyFont="1" applyFill="1"/>
    <xf numFmtId="0" fontId="0" fillId="17" borderId="11" xfId="0" applyFill="1" applyBorder="1"/>
    <xf numFmtId="0" fontId="0" fillId="17" borderId="0" xfId="0" applyFill="1"/>
    <xf numFmtId="0" fontId="11" fillId="0" borderId="13" xfId="0" applyFont="1" applyBorder="1"/>
    <xf numFmtId="0" fontId="11" fillId="0" borderId="11" xfId="0" applyFont="1" applyFill="1" applyBorder="1"/>
    <xf numFmtId="0" fontId="12" fillId="7" borderId="19" xfId="0" applyFont="1" applyFill="1" applyBorder="1" applyAlignment="1">
      <alignment horizontal="center" vertical="center" wrapText="1"/>
    </xf>
    <xf numFmtId="10" fontId="11" fillId="0" borderId="23" xfId="5" applyNumberFormat="1" applyFont="1" applyBorder="1"/>
    <xf numFmtId="10" fontId="11" fillId="0" borderId="24" xfId="5" applyNumberFormat="1" applyFont="1" applyBorder="1"/>
    <xf numFmtId="10" fontId="11" fillId="0" borderId="25" xfId="5" applyNumberFormat="1" applyFont="1" applyBorder="1"/>
    <xf numFmtId="10" fontId="12" fillId="0" borderId="25" xfId="0" applyNumberFormat="1" applyFont="1" applyBorder="1"/>
    <xf numFmtId="164" fontId="11" fillId="17" borderId="21" xfId="0" applyNumberFormat="1" applyFont="1" applyFill="1" applyBorder="1"/>
    <xf numFmtId="5" fontId="12" fillId="11" borderId="19" xfId="0" applyNumberFormat="1" applyFont="1" applyFill="1" applyBorder="1" applyAlignment="1">
      <alignment wrapText="1"/>
    </xf>
    <xf numFmtId="164" fontId="11" fillId="11" borderId="20" xfId="0" applyNumberFormat="1" applyFont="1" applyFill="1" applyBorder="1"/>
    <xf numFmtId="164" fontId="11" fillId="11" borderId="21" xfId="0" applyNumberFormat="1" applyFont="1" applyFill="1" applyBorder="1"/>
    <xf numFmtId="164" fontId="11" fillId="11" borderId="22" xfId="0" applyNumberFormat="1" applyFont="1" applyFill="1" applyBorder="1"/>
    <xf numFmtId="164" fontId="12" fillId="11" borderId="22" xfId="0" applyNumberFormat="1" applyFont="1" applyFill="1" applyBorder="1"/>
    <xf numFmtId="10" fontId="0" fillId="0" borderId="0" xfId="0" applyNumberFormat="1"/>
    <xf numFmtId="167" fontId="0" fillId="0" borderId="0" xfId="0" applyNumberFormat="1"/>
    <xf numFmtId="164" fontId="11" fillId="0" borderId="26" xfId="0" applyNumberFormat="1" applyFont="1" applyBorder="1"/>
    <xf numFmtId="164" fontId="11" fillId="0" borderId="27" xfId="0" applyNumberFormat="1" applyFont="1" applyBorder="1"/>
    <xf numFmtId="164" fontId="11" fillId="0" borderId="23" xfId="0" applyNumberFormat="1" applyFont="1" applyBorder="1"/>
    <xf numFmtId="164" fontId="11" fillId="0" borderId="24" xfId="0" applyNumberFormat="1" applyFont="1" applyBorder="1"/>
    <xf numFmtId="164" fontId="11" fillId="0" borderId="28" xfId="0" applyNumberFormat="1" applyFont="1" applyBorder="1"/>
    <xf numFmtId="164" fontId="11" fillId="0" borderId="25" xfId="0" applyNumberFormat="1" applyFont="1" applyBorder="1"/>
    <xf numFmtId="164" fontId="11" fillId="17" borderId="27" xfId="0" applyNumberFormat="1" applyFont="1" applyFill="1" applyBorder="1"/>
    <xf numFmtId="164" fontId="0" fillId="0" borderId="0" xfId="8" applyNumberFormat="1" applyFont="1"/>
    <xf numFmtId="0" fontId="18" fillId="0" borderId="29" xfId="0" applyFont="1" applyBorder="1"/>
    <xf numFmtId="0" fontId="18" fillId="0" borderId="29" xfId="0" applyFont="1" applyBorder="1" applyAlignment="1">
      <alignment horizontal="center"/>
    </xf>
    <xf numFmtId="10" fontId="0" fillId="0" borderId="0" xfId="8" applyNumberFormat="1" applyFont="1"/>
    <xf numFmtId="0" fontId="0" fillId="18" borderId="0" xfId="0" applyFill="1"/>
    <xf numFmtId="164" fontId="0" fillId="0" borderId="0" xfId="7" applyNumberFormat="1" applyFont="1"/>
    <xf numFmtId="164" fontId="0" fillId="0" borderId="0" xfId="0" applyNumberFormat="1"/>
    <xf numFmtId="10" fontId="0" fillId="19" borderId="0" xfId="0" applyNumberFormat="1" applyFill="1"/>
    <xf numFmtId="167" fontId="0" fillId="19" borderId="0" xfId="0" applyNumberFormat="1" applyFill="1"/>
    <xf numFmtId="0" fontId="0" fillId="19" borderId="0" xfId="0" applyFill="1"/>
    <xf numFmtId="43" fontId="0" fillId="19" borderId="0" xfId="7" applyFont="1" applyFill="1"/>
    <xf numFmtId="9" fontId="0" fillId="0" borderId="0" xfId="8" applyNumberFormat="1" applyFont="1"/>
    <xf numFmtId="5" fontId="11" fillId="0" borderId="3" xfId="0" applyNumberFormat="1" applyFont="1" applyFill="1" applyBorder="1" applyAlignment="1">
      <alignment horizontal="left" vertical="center" wrapText="1"/>
    </xf>
    <xf numFmtId="5" fontId="11" fillId="0" borderId="4" xfId="0" applyNumberFormat="1" applyFont="1" applyFill="1" applyBorder="1" applyAlignment="1">
      <alignment horizontal="left" vertical="center" wrapText="1"/>
    </xf>
    <xf numFmtId="5" fontId="11" fillId="0" borderId="1" xfId="0" applyNumberFormat="1" applyFont="1" applyFill="1" applyBorder="1" applyAlignment="1">
      <alignment horizontal="left" vertical="center" wrapText="1"/>
    </xf>
    <xf numFmtId="5" fontId="11" fillId="15" borderId="3" xfId="0" applyNumberFormat="1" applyFont="1" applyFill="1" applyBorder="1" applyAlignment="1">
      <alignment horizontal="center" vertical="center"/>
    </xf>
    <xf numFmtId="5" fontId="11" fillId="15" borderId="4" xfId="0" applyNumberFormat="1" applyFont="1" applyFill="1" applyBorder="1" applyAlignment="1">
      <alignment horizontal="center" vertical="center"/>
    </xf>
    <xf numFmtId="5" fontId="11" fillId="15" borderId="1" xfId="0" applyNumberFormat="1" applyFont="1" applyFill="1" applyBorder="1" applyAlignment="1">
      <alignment horizontal="center" vertical="center"/>
    </xf>
    <xf numFmtId="0" fontId="8" fillId="3" borderId="2" xfId="3" applyFont="1" applyFill="1" applyBorder="1" applyAlignment="1">
      <alignment horizontal="center" wrapText="1"/>
    </xf>
    <xf numFmtId="0" fontId="12" fillId="3" borderId="2" xfId="0" applyFont="1" applyFill="1" applyBorder="1" applyAlignment="1">
      <alignment horizontal="center"/>
    </xf>
    <xf numFmtId="0" fontId="12" fillId="3" borderId="3" xfId="0" applyFont="1" applyFill="1" applyBorder="1" applyAlignment="1">
      <alignment horizontal="center"/>
    </xf>
    <xf numFmtId="0" fontId="12" fillId="3" borderId="4" xfId="0" applyFont="1" applyFill="1" applyBorder="1" applyAlignment="1">
      <alignment horizontal="center"/>
    </xf>
    <xf numFmtId="0" fontId="12" fillId="3" borderId="1" xfId="0" applyFont="1" applyFill="1" applyBorder="1" applyAlignment="1">
      <alignment horizontal="center"/>
    </xf>
    <xf numFmtId="0" fontId="12" fillId="3" borderId="3" xfId="0" applyFont="1" applyFill="1" applyBorder="1" applyAlignment="1">
      <alignment horizontal="center" wrapText="1"/>
    </xf>
    <xf numFmtId="0" fontId="12" fillId="3" borderId="4" xfId="0" applyFont="1" applyFill="1" applyBorder="1" applyAlignment="1">
      <alignment horizontal="center" wrapText="1"/>
    </xf>
    <xf numFmtId="0" fontId="12" fillId="3" borderId="1" xfId="0" applyFont="1" applyFill="1" applyBorder="1" applyAlignment="1">
      <alignment horizontal="center" wrapText="1"/>
    </xf>
    <xf numFmtId="0" fontId="12" fillId="16" borderId="18" xfId="0" applyFont="1" applyFill="1" applyBorder="1" applyAlignment="1">
      <alignment horizontal="center" vertical="center" wrapText="1"/>
    </xf>
    <xf numFmtId="0" fontId="12" fillId="16" borderId="11" xfId="0" applyFont="1" applyFill="1" applyBorder="1" applyAlignment="1">
      <alignment horizontal="center" vertical="center" wrapText="1"/>
    </xf>
    <xf numFmtId="0" fontId="12" fillId="16" borderId="13" xfId="0" applyFont="1" applyFill="1" applyBorder="1" applyAlignment="1">
      <alignment horizontal="center" vertical="center" wrapText="1"/>
    </xf>
    <xf numFmtId="0" fontId="12" fillId="16" borderId="23" xfId="0" applyFont="1" applyFill="1" applyBorder="1" applyAlignment="1">
      <alignment horizontal="center" vertical="center" wrapText="1"/>
    </xf>
    <xf numFmtId="0" fontId="12" fillId="16" borderId="24" xfId="0" applyFont="1" applyFill="1" applyBorder="1" applyAlignment="1">
      <alignment horizontal="center" vertical="center" wrapText="1"/>
    </xf>
    <xf numFmtId="0" fontId="12" fillId="16" borderId="25" xfId="0" applyFont="1" applyFill="1" applyBorder="1" applyAlignment="1">
      <alignment horizontal="center" vertical="center" wrapText="1"/>
    </xf>
    <xf numFmtId="0" fontId="12" fillId="16" borderId="16" xfId="0" applyFont="1" applyFill="1" applyBorder="1" applyAlignment="1">
      <alignment horizontal="center" vertical="center" wrapText="1"/>
    </xf>
    <xf numFmtId="0" fontId="12" fillId="16" borderId="17" xfId="0" applyFont="1" applyFill="1" applyBorder="1" applyAlignment="1">
      <alignment horizontal="center" vertical="center" wrapText="1"/>
    </xf>
  </cellXfs>
  <cellStyles count="9">
    <cellStyle name="Comma" xfId="7" builtinId="3"/>
    <cellStyle name="Comma 2" xfId="6"/>
    <cellStyle name="Currency" xfId="1" builtinId="4"/>
    <cellStyle name="Currency 2" xfId="2"/>
    <cellStyle name="Normal" xfId="0" builtinId="0"/>
    <cellStyle name="Normal 2" xfId="3"/>
    <cellStyle name="Percent" xfId="8" builtinId="5"/>
    <cellStyle name="Percent 2" xfId="4"/>
    <cellStyle name="Percent 3" xfId="5"/>
  </cellStyles>
  <dxfs count="0"/>
  <tableStyles count="0" defaultTableStyle="TableStyleMedium9"/>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0"/>
  <c:chart>
    <c:title>
      <c:tx>
        <c:rich>
          <a:bodyPr/>
          <a:lstStyle/>
          <a:p>
            <a:pPr>
              <a:defRPr/>
            </a:pPr>
            <a:r>
              <a:rPr lang="en-US"/>
              <a:t>2015-2019 Outlook: Funding </a:t>
            </a:r>
          </a:p>
          <a:p>
            <a:pPr>
              <a:defRPr/>
            </a:pPr>
            <a:r>
              <a:rPr lang="en-US"/>
              <a:t>(Including Council)</a:t>
            </a:r>
          </a:p>
        </c:rich>
      </c:tx>
    </c:title>
    <c:plotArea>
      <c:layout>
        <c:manualLayout>
          <c:layoutTarget val="inner"/>
          <c:xMode val="edge"/>
          <c:yMode val="edge"/>
          <c:x val="0.14567199718591878"/>
          <c:y val="0.27372871660273235"/>
          <c:w val="0.50148839642467369"/>
          <c:h val="0.5097120468637073"/>
        </c:manualLayout>
      </c:layout>
      <c:barChart>
        <c:barDir val="col"/>
        <c:grouping val="stacked"/>
        <c:ser>
          <c:idx val="0"/>
          <c:order val="0"/>
          <c:tx>
            <c:strRef>
              <c:f>'Category (2014-2016)'!$C$18</c:f>
              <c:strCache>
                <c:ptCount val="1"/>
                <c:pt idx="0">
                  <c:v>Contract RFP</c:v>
                </c:pt>
              </c:strCache>
            </c:strRef>
          </c:tx>
          <c:dPt>
            <c:idx val="0"/>
            <c:spPr>
              <a:solidFill>
                <a:prstClr val="white">
                  <a:lumMod val="85000"/>
                </a:prstClr>
              </a:solidFill>
            </c:spPr>
          </c:dPt>
          <c:cat>
            <c:strRef>
              <c:f>'Category (2014-2016)'!$B$19:$B$24</c:f>
              <c:strCache>
                <c:ptCount val="6"/>
                <c:pt idx="0">
                  <c:v>Approved Calendar 2014</c:v>
                </c:pt>
                <c:pt idx="1">
                  <c:v>Projection Calendar 2015</c:v>
                </c:pt>
                <c:pt idx="2">
                  <c:v>Projection Calendar 2016</c:v>
                </c:pt>
                <c:pt idx="3">
                  <c:v>Projection Calendar 2017</c:v>
                </c:pt>
                <c:pt idx="4">
                  <c:v>Projection Calendar 2018</c:v>
                </c:pt>
                <c:pt idx="5">
                  <c:v>Projection Calendar 2019</c:v>
                </c:pt>
              </c:strCache>
            </c:strRef>
          </c:cat>
          <c:val>
            <c:numRef>
              <c:f>'Category (2014-2016)'!$C$19:$C$24</c:f>
              <c:numCache>
                <c:formatCode>"$"#,##0_);\("$"#,##0\)</c:formatCode>
                <c:ptCount val="6"/>
                <c:pt idx="0">
                  <c:v>482000</c:v>
                </c:pt>
                <c:pt idx="1">
                  <c:v>544674.375</c:v>
                </c:pt>
                <c:pt idx="2">
                  <c:v>564827.29515624978</c:v>
                </c:pt>
                <c:pt idx="3">
                  <c:v>602524.45451789047</c:v>
                </c:pt>
                <c:pt idx="4">
                  <c:v>623355.16491426411</c:v>
                </c:pt>
                <c:pt idx="5">
                  <c:v>639071.04405573662</c:v>
                </c:pt>
              </c:numCache>
            </c:numRef>
          </c:val>
        </c:ser>
        <c:ser>
          <c:idx val="1"/>
          <c:order val="1"/>
          <c:tx>
            <c:strRef>
              <c:f>'Category (2014-2016)'!$D$18</c:f>
              <c:strCache>
                <c:ptCount val="1"/>
                <c:pt idx="0">
                  <c:v>RTF Contract Staff</c:v>
                </c:pt>
              </c:strCache>
            </c:strRef>
          </c:tx>
          <c:dPt>
            <c:idx val="0"/>
            <c:spPr>
              <a:solidFill>
                <a:schemeClr val="bg1">
                  <a:lumMod val="50000"/>
                </a:schemeClr>
              </a:solidFill>
            </c:spPr>
          </c:dPt>
          <c:cat>
            <c:strRef>
              <c:f>'Category (2014-2016)'!$B$19:$B$24</c:f>
              <c:strCache>
                <c:ptCount val="6"/>
                <c:pt idx="0">
                  <c:v>Approved Calendar 2014</c:v>
                </c:pt>
                <c:pt idx="1">
                  <c:v>Projection Calendar 2015</c:v>
                </c:pt>
                <c:pt idx="2">
                  <c:v>Projection Calendar 2016</c:v>
                </c:pt>
                <c:pt idx="3">
                  <c:v>Projection Calendar 2017</c:v>
                </c:pt>
                <c:pt idx="4">
                  <c:v>Projection Calendar 2018</c:v>
                </c:pt>
                <c:pt idx="5">
                  <c:v>Projection Calendar 2019</c:v>
                </c:pt>
              </c:strCache>
            </c:strRef>
          </c:cat>
          <c:val>
            <c:numRef>
              <c:f>'Category (2014-2016)'!$D$19:$D$24</c:f>
              <c:numCache>
                <c:formatCode>"$"#,##0_);\("$"#,##0\)</c:formatCode>
                <c:ptCount val="6"/>
                <c:pt idx="0">
                  <c:v>991000</c:v>
                </c:pt>
                <c:pt idx="1">
                  <c:v>1125039.9999999998</c:v>
                </c:pt>
                <c:pt idx="2">
                  <c:v>1131433.8218749999</c:v>
                </c:pt>
                <c:pt idx="3">
                  <c:v>1222560.0045078122</c:v>
                </c:pt>
                <c:pt idx="4">
                  <c:v>1246754.4799304779</c:v>
                </c:pt>
                <c:pt idx="5">
                  <c:v>1273232.3495240826</c:v>
                </c:pt>
              </c:numCache>
            </c:numRef>
          </c:val>
        </c:ser>
        <c:ser>
          <c:idx val="2"/>
          <c:order val="2"/>
          <c:tx>
            <c:strRef>
              <c:f>'Category (2014-2016)'!$F$18</c:f>
              <c:strCache>
                <c:ptCount val="1"/>
                <c:pt idx="0">
                  <c:v>Council Staff (In-Kind)</c:v>
                </c:pt>
              </c:strCache>
            </c:strRef>
          </c:tx>
          <c:dPt>
            <c:idx val="0"/>
            <c:spPr>
              <a:solidFill>
                <a:schemeClr val="bg1">
                  <a:lumMod val="75000"/>
                </a:schemeClr>
              </a:solidFill>
            </c:spPr>
          </c:dPt>
          <c:cat>
            <c:strRef>
              <c:f>'Category (2014-2016)'!$B$19:$B$24</c:f>
              <c:strCache>
                <c:ptCount val="6"/>
                <c:pt idx="0">
                  <c:v>Approved Calendar 2014</c:v>
                </c:pt>
                <c:pt idx="1">
                  <c:v>Projection Calendar 2015</c:v>
                </c:pt>
                <c:pt idx="2">
                  <c:v>Projection Calendar 2016</c:v>
                </c:pt>
                <c:pt idx="3">
                  <c:v>Projection Calendar 2017</c:v>
                </c:pt>
                <c:pt idx="4">
                  <c:v>Projection Calendar 2018</c:v>
                </c:pt>
                <c:pt idx="5">
                  <c:v>Projection Calendar 2019</c:v>
                </c:pt>
              </c:strCache>
            </c:strRef>
          </c:cat>
          <c:val>
            <c:numRef>
              <c:f>'Category (2014-2016)'!$F$19:$F$24</c:f>
              <c:numCache>
                <c:formatCode>"$"#,##0_);\("$"#,##0\)</c:formatCode>
                <c:ptCount val="6"/>
                <c:pt idx="0">
                  <c:v>277100</c:v>
                </c:pt>
                <c:pt idx="1">
                  <c:v>282540.47499999998</c:v>
                </c:pt>
                <c:pt idx="2">
                  <c:v>296779.23375624995</c:v>
                </c:pt>
                <c:pt idx="3">
                  <c:v>304138.19570664677</c:v>
                </c:pt>
                <c:pt idx="4">
                  <c:v>317377.34419413941</c:v>
                </c:pt>
                <c:pt idx="5">
                  <c:v>324686.61396876373</c:v>
                </c:pt>
              </c:numCache>
            </c:numRef>
          </c:val>
        </c:ser>
        <c:gapWidth val="55"/>
        <c:overlap val="100"/>
        <c:axId val="137006080"/>
        <c:axId val="137020160"/>
      </c:barChart>
      <c:catAx>
        <c:axId val="137006080"/>
        <c:scaling>
          <c:orientation val="minMax"/>
        </c:scaling>
        <c:axPos val="b"/>
        <c:majorTickMark val="none"/>
        <c:tickLblPos val="nextTo"/>
        <c:txPr>
          <a:bodyPr rot="-5400000" vert="horz"/>
          <a:lstStyle/>
          <a:p>
            <a:pPr>
              <a:defRPr/>
            </a:pPr>
            <a:endParaRPr lang="en-US"/>
          </a:p>
        </c:txPr>
        <c:crossAx val="137020160"/>
        <c:crosses val="autoZero"/>
        <c:auto val="1"/>
        <c:lblAlgn val="ctr"/>
        <c:lblOffset val="100"/>
      </c:catAx>
      <c:valAx>
        <c:axId val="137020160"/>
        <c:scaling>
          <c:orientation val="minMax"/>
        </c:scaling>
        <c:axPos val="l"/>
        <c:majorGridlines/>
        <c:numFmt formatCode="&quot;$&quot;#,##0_);\(&quot;$&quot;#,##0\)" sourceLinked="1"/>
        <c:majorTickMark val="none"/>
        <c:tickLblPos val="nextTo"/>
        <c:crossAx val="137006080"/>
        <c:crosses val="autoZero"/>
        <c:crossBetween val="between"/>
      </c:valAx>
    </c:plotArea>
    <c:legend>
      <c:legendPos val="r"/>
      <c:layout>
        <c:manualLayout>
          <c:xMode val="edge"/>
          <c:yMode val="edge"/>
          <c:x val="0.71588895867366764"/>
          <c:y val="0.33105379943449215"/>
          <c:w val="0.24135407464310862"/>
          <c:h val="0.34530726212415358"/>
        </c:manualLayout>
      </c:layout>
    </c:legend>
    <c:plotVisOnly val="1"/>
  </c:chart>
  <c:printSettings>
    <c:headerFooter/>
    <c:pageMargins b="0.75000000000001066" l="0.70000000000000062" r="0.70000000000000062" t="0.750000000000010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10"/>
  <c:chart>
    <c:title>
      <c:tx>
        <c:rich>
          <a:bodyPr/>
          <a:lstStyle/>
          <a:p>
            <a:pPr>
              <a:defRPr/>
            </a:pPr>
            <a:r>
              <a:rPr lang="en-US"/>
              <a:t>2015-2019 Outlook: Category</a:t>
            </a:r>
          </a:p>
          <a:p>
            <a:pPr>
              <a:defRPr/>
            </a:pPr>
            <a:r>
              <a:rPr lang="en-US"/>
              <a:t>(Not including Council)</a:t>
            </a:r>
          </a:p>
        </c:rich>
      </c:tx>
    </c:title>
    <c:plotArea>
      <c:layout/>
      <c:barChart>
        <c:barDir val="col"/>
        <c:grouping val="stacked"/>
        <c:ser>
          <c:idx val="2"/>
          <c:order val="0"/>
          <c:tx>
            <c:strRef>
              <c:f>'Category (2014-2016)'!$B$38</c:f>
              <c:strCache>
                <c:ptCount val="1"/>
                <c:pt idx="0">
                  <c:v>RTF Management</c:v>
                </c:pt>
              </c:strCache>
            </c:strRef>
          </c:tx>
          <c:dPt>
            <c:idx val="0"/>
            <c:spPr>
              <a:solidFill>
                <a:schemeClr val="bg1">
                  <a:lumMod val="85000"/>
                </a:schemeClr>
              </a:solidFill>
            </c:spPr>
          </c:dPt>
          <c:cat>
            <c:strRef>
              <c:f>'Category (2014-2016)'!$C$35:$H$35</c:f>
              <c:strCache>
                <c:ptCount val="6"/>
                <c:pt idx="0">
                  <c:v>CY 2014</c:v>
                </c:pt>
                <c:pt idx="1">
                  <c:v>CY 2015</c:v>
                </c:pt>
                <c:pt idx="2">
                  <c:v>CY 2016</c:v>
                </c:pt>
                <c:pt idx="3">
                  <c:v>CY 2017</c:v>
                </c:pt>
                <c:pt idx="4">
                  <c:v>CY 2018</c:v>
                </c:pt>
                <c:pt idx="5">
                  <c:v>CY 2019</c:v>
                </c:pt>
              </c:strCache>
            </c:strRef>
          </c:cat>
          <c:val>
            <c:numRef>
              <c:f>'Category (2014-2016)'!$C$38:$H$38</c:f>
              <c:numCache>
                <c:formatCode>"$"#,##0_);\("$"#,##0\)</c:formatCode>
                <c:ptCount val="6"/>
                <c:pt idx="0">
                  <c:v>410000</c:v>
                </c:pt>
                <c:pt idx="1">
                  <c:v>411872.5</c:v>
                </c:pt>
                <c:pt idx="2">
                  <c:v>424830.50124999997</c:v>
                </c:pt>
                <c:pt idx="3">
                  <c:v>441286.71573749988</c:v>
                </c:pt>
                <c:pt idx="4">
                  <c:v>450471.16994231235</c:v>
                </c:pt>
                <c:pt idx="5">
                  <c:v>468058.34427648556</c:v>
                </c:pt>
              </c:numCache>
            </c:numRef>
          </c:val>
        </c:ser>
        <c:ser>
          <c:idx val="1"/>
          <c:order val="1"/>
          <c:tx>
            <c:strRef>
              <c:f>'Category (2014-2016)'!$B$37</c:f>
              <c:strCache>
                <c:ptCount val="1"/>
                <c:pt idx="0">
                  <c:v>Tools, Research, Data &amp; Regional Coordination</c:v>
                </c:pt>
              </c:strCache>
            </c:strRef>
          </c:tx>
          <c:dPt>
            <c:idx val="0"/>
            <c:spPr>
              <a:solidFill>
                <a:schemeClr val="bg1">
                  <a:lumMod val="50000"/>
                </a:schemeClr>
              </a:solidFill>
            </c:spPr>
          </c:dPt>
          <c:cat>
            <c:strRef>
              <c:f>'Category (2014-2016)'!$C$35:$H$35</c:f>
              <c:strCache>
                <c:ptCount val="6"/>
                <c:pt idx="0">
                  <c:v>CY 2014</c:v>
                </c:pt>
                <c:pt idx="1">
                  <c:v>CY 2015</c:v>
                </c:pt>
                <c:pt idx="2">
                  <c:v>CY 2016</c:v>
                </c:pt>
                <c:pt idx="3">
                  <c:v>CY 2017</c:v>
                </c:pt>
                <c:pt idx="4">
                  <c:v>CY 2018</c:v>
                </c:pt>
                <c:pt idx="5">
                  <c:v>CY 2019</c:v>
                </c:pt>
              </c:strCache>
            </c:strRef>
          </c:cat>
          <c:val>
            <c:numRef>
              <c:f>'Category (2014-2016)'!$C$37:$H$37</c:f>
              <c:numCache>
                <c:formatCode>"$"#,##0_);\("$"#,##0\)</c:formatCode>
                <c:ptCount val="6"/>
                <c:pt idx="0">
                  <c:v>323500</c:v>
                </c:pt>
                <c:pt idx="1">
                  <c:v>350460.625</c:v>
                </c:pt>
                <c:pt idx="2">
                  <c:v>405060.83796874993</c:v>
                </c:pt>
                <c:pt idx="3">
                  <c:v>419408.11423679674</c:v>
                </c:pt>
                <c:pt idx="4">
                  <c:v>462489.4386296923</c:v>
                </c:pt>
                <c:pt idx="5">
                  <c:v>471814.20882357843</c:v>
                </c:pt>
              </c:numCache>
            </c:numRef>
          </c:val>
        </c:ser>
        <c:ser>
          <c:idx val="0"/>
          <c:order val="2"/>
          <c:tx>
            <c:strRef>
              <c:f>'Category (2014-2016)'!$B$36</c:f>
              <c:strCache>
                <c:ptCount val="1"/>
                <c:pt idx="0">
                  <c:v>Measure Review &amp; Technical Analysis</c:v>
                </c:pt>
              </c:strCache>
            </c:strRef>
          </c:tx>
          <c:dPt>
            <c:idx val="0"/>
            <c:spPr>
              <a:solidFill>
                <a:schemeClr val="bg1">
                  <a:lumMod val="65000"/>
                </a:schemeClr>
              </a:solidFill>
            </c:spPr>
          </c:dPt>
          <c:cat>
            <c:strRef>
              <c:f>'Category (2014-2016)'!$C$35:$H$35</c:f>
              <c:strCache>
                <c:ptCount val="6"/>
                <c:pt idx="0">
                  <c:v>CY 2014</c:v>
                </c:pt>
                <c:pt idx="1">
                  <c:v>CY 2015</c:v>
                </c:pt>
                <c:pt idx="2">
                  <c:v>CY 2016</c:v>
                </c:pt>
                <c:pt idx="3">
                  <c:v>CY 2017</c:v>
                </c:pt>
                <c:pt idx="4">
                  <c:v>CY 2018</c:v>
                </c:pt>
                <c:pt idx="5">
                  <c:v>CY 2019</c:v>
                </c:pt>
              </c:strCache>
            </c:strRef>
          </c:cat>
          <c:val>
            <c:numRef>
              <c:f>'Category (2014-2016)'!$C$36:$H$36</c:f>
              <c:numCache>
                <c:formatCode>"$"#,##0_);\("$"#,##0\)</c:formatCode>
                <c:ptCount val="6"/>
                <c:pt idx="0">
                  <c:v>739500</c:v>
                </c:pt>
                <c:pt idx="1">
                  <c:v>907381.24999999988</c:v>
                </c:pt>
                <c:pt idx="2">
                  <c:v>866369.77781249979</c:v>
                </c:pt>
                <c:pt idx="3">
                  <c:v>964389.62905140594</c:v>
                </c:pt>
                <c:pt idx="4">
                  <c:v>957149.03627273755</c:v>
                </c:pt>
                <c:pt idx="5">
                  <c:v>972430.84047975508</c:v>
                </c:pt>
              </c:numCache>
            </c:numRef>
          </c:val>
        </c:ser>
        <c:overlap val="100"/>
        <c:axId val="138635904"/>
        <c:axId val="138641792"/>
      </c:barChart>
      <c:catAx>
        <c:axId val="138635904"/>
        <c:scaling>
          <c:orientation val="minMax"/>
        </c:scaling>
        <c:axPos val="b"/>
        <c:tickLblPos val="nextTo"/>
        <c:crossAx val="138641792"/>
        <c:crosses val="autoZero"/>
        <c:auto val="1"/>
        <c:lblAlgn val="ctr"/>
        <c:lblOffset val="100"/>
      </c:catAx>
      <c:valAx>
        <c:axId val="138641792"/>
        <c:scaling>
          <c:orientation val="minMax"/>
        </c:scaling>
        <c:axPos val="l"/>
        <c:majorGridlines/>
        <c:numFmt formatCode="&quot;$&quot;#,##0_);\(&quot;$&quot;#,##0\)" sourceLinked="1"/>
        <c:tickLblPos val="nextTo"/>
        <c:crossAx val="138635904"/>
        <c:crosses val="autoZero"/>
        <c:crossBetween val="between"/>
      </c:valAx>
    </c:plotArea>
    <c:legend>
      <c:legendPos val="r"/>
      <c:layout>
        <c:manualLayout>
          <c:xMode val="edge"/>
          <c:yMode val="edge"/>
          <c:x val="0.66851531058619285"/>
          <c:y val="0.36263201793653344"/>
          <c:w val="0.31481802274716425"/>
          <c:h val="0.43651645585118187"/>
        </c:manualLayout>
      </c:layout>
    </c:legend>
    <c:plotVisOnly val="1"/>
  </c:chart>
  <c:printSettings>
    <c:headerFooter/>
    <c:pageMargins b="0.75000000000001033" l="0.70000000000000062" r="0.70000000000000062" t="0.750000000000010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style val="10"/>
  <c:chart>
    <c:title>
      <c:tx>
        <c:rich>
          <a:bodyPr/>
          <a:lstStyle/>
          <a:p>
            <a:pPr>
              <a:defRPr/>
            </a:pPr>
            <a:r>
              <a:rPr lang="en-US"/>
              <a:t>2015-2019 Outlook: Category</a:t>
            </a:r>
          </a:p>
          <a:p>
            <a:pPr>
              <a:defRPr/>
            </a:pPr>
            <a:r>
              <a:rPr lang="en-US"/>
              <a:t>(Including Council)</a:t>
            </a:r>
          </a:p>
        </c:rich>
      </c:tx>
    </c:title>
    <c:plotArea>
      <c:layout/>
      <c:barChart>
        <c:barDir val="col"/>
        <c:grouping val="stacked"/>
        <c:ser>
          <c:idx val="0"/>
          <c:order val="0"/>
          <c:tx>
            <c:strRef>
              <c:f>'Category (2014-2016)'!$B$45</c:f>
              <c:strCache>
                <c:ptCount val="1"/>
                <c:pt idx="0">
                  <c:v>RTF Management</c:v>
                </c:pt>
              </c:strCache>
            </c:strRef>
          </c:tx>
          <c:spPr>
            <a:solidFill>
              <a:schemeClr val="accent3"/>
            </a:solidFill>
          </c:spPr>
          <c:dPt>
            <c:idx val="0"/>
            <c:spPr>
              <a:solidFill>
                <a:schemeClr val="bg1">
                  <a:lumMod val="85000"/>
                </a:schemeClr>
              </a:solidFill>
            </c:spPr>
          </c:dPt>
          <c:cat>
            <c:strRef>
              <c:f>'Category (2014-2016)'!$C$42:$H$42</c:f>
              <c:strCache>
                <c:ptCount val="6"/>
                <c:pt idx="0">
                  <c:v>CY 2014</c:v>
                </c:pt>
                <c:pt idx="1">
                  <c:v>CY 2015</c:v>
                </c:pt>
                <c:pt idx="2">
                  <c:v>CY 2016</c:v>
                </c:pt>
                <c:pt idx="3">
                  <c:v>CY 2017</c:v>
                </c:pt>
                <c:pt idx="4">
                  <c:v>CY 2018</c:v>
                </c:pt>
                <c:pt idx="5">
                  <c:v>CY 2019</c:v>
                </c:pt>
              </c:strCache>
            </c:strRef>
          </c:cat>
          <c:val>
            <c:numRef>
              <c:f>'Category (2014-2016)'!$C$45:$H$45</c:f>
              <c:numCache>
                <c:formatCode>"$"#,##0_);\("$"#,##0\)</c:formatCode>
                <c:ptCount val="6"/>
                <c:pt idx="0">
                  <c:v>602000</c:v>
                </c:pt>
                <c:pt idx="1">
                  <c:v>599140</c:v>
                </c:pt>
                <c:pt idx="2">
                  <c:v>613722.25499999989</c:v>
                </c:pt>
                <c:pt idx="3">
                  <c:v>633273.26538749982</c:v>
                </c:pt>
                <c:pt idx="4">
                  <c:v>645337.51783706225</c:v>
                </c:pt>
                <c:pt idx="5">
                  <c:v>666130.47444067639</c:v>
                </c:pt>
              </c:numCache>
            </c:numRef>
          </c:val>
        </c:ser>
        <c:ser>
          <c:idx val="1"/>
          <c:order val="1"/>
          <c:tx>
            <c:strRef>
              <c:f>'Category (2014-2016)'!$B$44</c:f>
              <c:strCache>
                <c:ptCount val="1"/>
                <c:pt idx="0">
                  <c:v>Tools, Research, Data &amp; Regional Coordination</c:v>
                </c:pt>
              </c:strCache>
            </c:strRef>
          </c:tx>
          <c:dPt>
            <c:idx val="0"/>
            <c:spPr>
              <a:solidFill>
                <a:schemeClr val="bg1">
                  <a:lumMod val="50000"/>
                </a:schemeClr>
              </a:solidFill>
            </c:spPr>
          </c:dPt>
          <c:cat>
            <c:strRef>
              <c:f>'Category (2014-2016)'!$C$42:$H$42</c:f>
              <c:strCache>
                <c:ptCount val="6"/>
                <c:pt idx="0">
                  <c:v>CY 2014</c:v>
                </c:pt>
                <c:pt idx="1">
                  <c:v>CY 2015</c:v>
                </c:pt>
                <c:pt idx="2">
                  <c:v>CY 2016</c:v>
                </c:pt>
                <c:pt idx="3">
                  <c:v>CY 2017</c:v>
                </c:pt>
                <c:pt idx="4">
                  <c:v>CY 2018</c:v>
                </c:pt>
                <c:pt idx="5">
                  <c:v>CY 2019</c:v>
                </c:pt>
              </c:strCache>
            </c:strRef>
          </c:cat>
          <c:val>
            <c:numRef>
              <c:f>'Category (2014-2016)'!$C$44:$H$44</c:f>
              <c:numCache>
                <c:formatCode>"$"#,##0_);\("$"#,##0\)</c:formatCode>
                <c:ptCount val="6"/>
                <c:pt idx="0">
                  <c:v>397000</c:v>
                </c:pt>
                <c:pt idx="1">
                  <c:v>431787.5</c:v>
                </c:pt>
                <c:pt idx="2">
                  <c:v>499783.5878124999</c:v>
                </c:pt>
                <c:pt idx="3">
                  <c:v>517047.67895343737</c:v>
                </c:pt>
                <c:pt idx="4">
                  <c:v>570727.92370703793</c:v>
                </c:pt>
                <c:pt idx="5">
                  <c:v>584058.71673354344</c:v>
                </c:pt>
              </c:numCache>
            </c:numRef>
          </c:val>
        </c:ser>
        <c:ser>
          <c:idx val="2"/>
          <c:order val="2"/>
          <c:tx>
            <c:strRef>
              <c:f>'Category (2014-2016)'!$B$43</c:f>
              <c:strCache>
                <c:ptCount val="1"/>
                <c:pt idx="0">
                  <c:v>Measure Review &amp; Technical Analysis</c:v>
                </c:pt>
              </c:strCache>
            </c:strRef>
          </c:tx>
          <c:spPr>
            <a:solidFill>
              <a:schemeClr val="accent1"/>
            </a:solidFill>
          </c:spPr>
          <c:dPt>
            <c:idx val="0"/>
            <c:spPr>
              <a:solidFill>
                <a:schemeClr val="bg1">
                  <a:lumMod val="65000"/>
                </a:schemeClr>
              </a:solidFill>
            </c:spPr>
          </c:dPt>
          <c:cat>
            <c:strRef>
              <c:f>'Category (2014-2016)'!$C$42:$H$42</c:f>
              <c:strCache>
                <c:ptCount val="6"/>
                <c:pt idx="0">
                  <c:v>CY 2014</c:v>
                </c:pt>
                <c:pt idx="1">
                  <c:v>CY 2015</c:v>
                </c:pt>
                <c:pt idx="2">
                  <c:v>CY 2016</c:v>
                </c:pt>
                <c:pt idx="3">
                  <c:v>CY 2017</c:v>
                </c:pt>
                <c:pt idx="4">
                  <c:v>CY 2018</c:v>
                </c:pt>
                <c:pt idx="5">
                  <c:v>CY 2019</c:v>
                </c:pt>
              </c:strCache>
            </c:strRef>
          </c:cat>
          <c:val>
            <c:numRef>
              <c:f>'Category (2014-2016)'!$C$43:$H$43</c:f>
              <c:numCache>
                <c:formatCode>"$"#,##0_);\("$"#,##0\)</c:formatCode>
                <c:ptCount val="6"/>
                <c:pt idx="0">
                  <c:v>751100</c:v>
                </c:pt>
                <c:pt idx="1">
                  <c:v>921327.34999999986</c:v>
                </c:pt>
                <c:pt idx="2">
                  <c:v>879534.50797499972</c:v>
                </c:pt>
                <c:pt idx="3">
                  <c:v>978901.71039141237</c:v>
                </c:pt>
                <c:pt idx="4">
                  <c:v>971421.54749478132</c:v>
                </c:pt>
                <c:pt idx="5">
                  <c:v>986800.81637436303</c:v>
                </c:pt>
              </c:numCache>
            </c:numRef>
          </c:val>
        </c:ser>
        <c:overlap val="100"/>
        <c:axId val="138672768"/>
        <c:axId val="152904064"/>
      </c:barChart>
      <c:catAx>
        <c:axId val="138672768"/>
        <c:scaling>
          <c:orientation val="minMax"/>
        </c:scaling>
        <c:axPos val="b"/>
        <c:numFmt formatCode="&quot;$&quot;#,##0_);\(&quot;$&quot;#,##0\)" sourceLinked="1"/>
        <c:tickLblPos val="nextTo"/>
        <c:crossAx val="152904064"/>
        <c:crosses val="autoZero"/>
        <c:auto val="1"/>
        <c:lblAlgn val="ctr"/>
        <c:lblOffset val="100"/>
      </c:catAx>
      <c:valAx>
        <c:axId val="152904064"/>
        <c:scaling>
          <c:orientation val="minMax"/>
        </c:scaling>
        <c:axPos val="l"/>
        <c:majorGridlines/>
        <c:numFmt formatCode="&quot;$&quot;#,##0_);\(&quot;$&quot;#,##0\)" sourceLinked="1"/>
        <c:tickLblPos val="nextTo"/>
        <c:crossAx val="138672768"/>
        <c:crosses val="autoZero"/>
        <c:crossBetween val="between"/>
      </c:valAx>
    </c:plotArea>
    <c:legend>
      <c:legendPos val="r"/>
      <c:layout>
        <c:manualLayout>
          <c:xMode val="edge"/>
          <c:yMode val="edge"/>
          <c:x val="0.66851531058619318"/>
          <c:y val="0.39761744067706167"/>
          <c:w val="0.31481802274716442"/>
          <c:h val="0.44429099423796531"/>
        </c:manualLayout>
      </c:layout>
    </c:legend>
    <c:plotVisOnly val="1"/>
  </c:chart>
  <c:printSettings>
    <c:headerFooter/>
    <c:pageMargins b="0.75000000000001055" l="0.70000000000000062" r="0.70000000000000062" t="0.750000000000010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autoTitleDeleted val="1"/>
    <c:plotArea>
      <c:layout/>
      <c:pieChart>
        <c:varyColors val="1"/>
        <c:ser>
          <c:idx val="0"/>
          <c:order val="0"/>
          <c:dLbls>
            <c:showVal val="1"/>
            <c:showCatName val="1"/>
            <c:showLeaderLines val="1"/>
          </c:dLbls>
          <c:cat>
            <c:strRef>
              <c:f>'Funding Shares'!$A$34:$A$46</c:f>
              <c:strCache>
                <c:ptCount val="13"/>
                <c:pt idx="0">
                  <c:v>Bonneville Power Administration</c:v>
                </c:pt>
                <c:pt idx="1">
                  <c:v>Energy Trust of Oregon</c:v>
                </c:pt>
                <c:pt idx="2">
                  <c:v>Puget Sound Energy</c:v>
                </c:pt>
                <c:pt idx="3">
                  <c:v>Idaho Power Company</c:v>
                </c:pt>
                <c:pt idx="4">
                  <c:v>Avista Corporation, Inc</c:v>
                </c:pt>
                <c:pt idx="5">
                  <c:v>PacifiCorp</c:v>
                </c:pt>
                <c:pt idx="6">
                  <c:v>Northwestern Energy</c:v>
                </c:pt>
                <c:pt idx="7">
                  <c:v>Seattle City Light</c:v>
                </c:pt>
                <c:pt idx="8">
                  <c:v>Clark Public Utilities</c:v>
                </c:pt>
                <c:pt idx="9">
                  <c:v>Tacoma Power</c:v>
                </c:pt>
                <c:pt idx="10">
                  <c:v>PUD #1 of Snohomish</c:v>
                </c:pt>
                <c:pt idx="11">
                  <c:v>Eugene Water and Electric Board</c:v>
                </c:pt>
                <c:pt idx="12">
                  <c:v>PUD #1 of Cowlitz County</c:v>
                </c:pt>
              </c:strCache>
            </c:strRef>
          </c:cat>
          <c:val>
            <c:numRef>
              <c:f>'Funding Shares'!$B$34:$B$46</c:f>
              <c:numCache>
                <c:formatCode>0.00%</c:formatCode>
                <c:ptCount val="13"/>
                <c:pt idx="0">
                  <c:v>0.35491098436645985</c:v>
                </c:pt>
                <c:pt idx="1">
                  <c:v>0.20525957851608623</c:v>
                </c:pt>
                <c:pt idx="2">
                  <c:v>0.13718045536284248</c:v>
                </c:pt>
                <c:pt idx="3">
                  <c:v>8.6172223450727434E-2</c:v>
                </c:pt>
                <c:pt idx="4">
                  <c:v>5.5301509948806102E-2</c:v>
                </c:pt>
                <c:pt idx="5">
                  <c:v>4.5079419385255989E-2</c:v>
                </c:pt>
                <c:pt idx="6">
                  <c:v>3.8128397802041913E-2</c:v>
                </c:pt>
                <c:pt idx="7">
                  <c:v>3.7208409651322404E-2</c:v>
                </c:pt>
                <c:pt idx="8">
                  <c:v>1.3596423519987317E-2</c:v>
                </c:pt>
                <c:pt idx="9">
                  <c:v>1.1244299619905123E-2</c:v>
                </c:pt>
                <c:pt idx="10">
                  <c:v>7.8710097339335858E-3</c:v>
                </c:pt>
                <c:pt idx="11">
                  <c:v>5.1851032848375103E-3</c:v>
                </c:pt>
                <c:pt idx="12">
                  <c:v>2.8621853577940311E-3</c:v>
                </c:pt>
              </c:numCache>
            </c:numRef>
          </c:val>
        </c:ser>
        <c:dLbls>
          <c:showVal val="1"/>
          <c:showCatName val="1"/>
        </c:dLbls>
        <c:firstSliceAng val="0"/>
      </c:pieChart>
    </c:plotArea>
    <c:plotVisOnly val="1"/>
  </c:chart>
  <c:printSettings>
    <c:headerFooter/>
    <c:pageMargins b="0.75000000000000555" l="0.70000000000000062" r="0.70000000000000062" t="0.750000000000005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autoTitleDeleted val="1"/>
    <c:plotArea>
      <c:layout/>
      <c:pieChart>
        <c:varyColors val="1"/>
        <c:ser>
          <c:idx val="0"/>
          <c:order val="0"/>
          <c:dLbls>
            <c:showVal val="1"/>
            <c:showCatName val="1"/>
            <c:showLeaderLines val="1"/>
          </c:dLbls>
          <c:cat>
            <c:strRef>
              <c:f>'Funding Shares'!$A$7:$A$19</c:f>
              <c:strCache>
                <c:ptCount val="13"/>
                <c:pt idx="0">
                  <c:v>Bonneville Power Administration</c:v>
                </c:pt>
                <c:pt idx="1">
                  <c:v>Energy Trust of Oregon</c:v>
                </c:pt>
                <c:pt idx="2">
                  <c:v>Puget Sound Energy</c:v>
                </c:pt>
                <c:pt idx="3">
                  <c:v>Idaho Power Company</c:v>
                </c:pt>
                <c:pt idx="4">
                  <c:v>Avista Corporation, Inc</c:v>
                </c:pt>
                <c:pt idx="5">
                  <c:v>PacifiCorp (Washington)</c:v>
                </c:pt>
                <c:pt idx="6">
                  <c:v>Northwestern Energy</c:v>
                </c:pt>
                <c:pt idx="7">
                  <c:v>Seattle City Light</c:v>
                </c:pt>
                <c:pt idx="8">
                  <c:v>PUD No 1 of Clark County</c:v>
                </c:pt>
                <c:pt idx="9">
                  <c:v>Tacoma Power</c:v>
                </c:pt>
                <c:pt idx="10">
                  <c:v>Snohomish County PUD</c:v>
                </c:pt>
                <c:pt idx="11">
                  <c:v>Eugene Water and Electric</c:v>
                </c:pt>
                <c:pt idx="12">
                  <c:v>PUD No 1 of Cowlitz County</c:v>
                </c:pt>
              </c:strCache>
            </c:strRef>
          </c:cat>
          <c:val>
            <c:numRef>
              <c:f>'Funding Shares'!$B$7:$B$19</c:f>
              <c:numCache>
                <c:formatCode>0.00%</c:formatCode>
                <c:ptCount val="13"/>
                <c:pt idx="0">
                  <c:v>0.36030000000000001</c:v>
                </c:pt>
                <c:pt idx="1">
                  <c:v>0.2021</c:v>
                </c:pt>
                <c:pt idx="2">
                  <c:v>0.14169999999999999</c:v>
                </c:pt>
                <c:pt idx="3">
                  <c:v>0.09</c:v>
                </c:pt>
                <c:pt idx="4">
                  <c:v>5.7599999999999998E-2</c:v>
                </c:pt>
                <c:pt idx="5">
                  <c:v>2.5499999999999998E-2</c:v>
                </c:pt>
                <c:pt idx="6">
                  <c:v>4.0399999999999998E-2</c:v>
                </c:pt>
                <c:pt idx="7">
                  <c:v>3.6499999999999998E-2</c:v>
                </c:pt>
                <c:pt idx="8">
                  <c:v>1.3100000000000001E-2</c:v>
                </c:pt>
                <c:pt idx="9">
                  <c:v>1.09E-2</c:v>
                </c:pt>
                <c:pt idx="10">
                  <c:v>5.1000000000000004E-3</c:v>
                </c:pt>
                <c:pt idx="11">
                  <c:v>3.0999999999999999E-3</c:v>
                </c:pt>
                <c:pt idx="12">
                  <c:v>3.8E-3</c:v>
                </c:pt>
              </c:numCache>
            </c:numRef>
          </c:val>
        </c:ser>
        <c:dLbls>
          <c:showVal val="1"/>
          <c:showCatName val="1"/>
        </c:dLbls>
        <c:firstSliceAng val="0"/>
      </c:pieChart>
    </c:plotArea>
    <c:plotVisOnly val="1"/>
  </c:chart>
  <c:printSettings>
    <c:headerFooter/>
    <c:pageMargins b="0.75000000000000577" l="0.70000000000000062" r="0.70000000000000062" t="0.75000000000000577"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9</xdr:col>
      <xdr:colOff>276225</xdr:colOff>
      <xdr:row>18</xdr:row>
      <xdr:rowOff>95250</xdr:rowOff>
    </xdr:from>
    <xdr:to>
      <xdr:col>16</xdr:col>
      <xdr:colOff>590550</xdr:colOff>
      <xdr:row>38</xdr:row>
      <xdr:rowOff>38100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257172</xdr:colOff>
      <xdr:row>38</xdr:row>
      <xdr:rowOff>142874</xdr:rowOff>
    </xdr:from>
    <xdr:to>
      <xdr:col>16</xdr:col>
      <xdr:colOff>609600</xdr:colOff>
      <xdr:row>55</xdr:row>
      <xdr:rowOff>171449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266699</xdr:colOff>
      <xdr:row>57</xdr:row>
      <xdr:rowOff>76200</xdr:rowOff>
    </xdr:from>
    <xdr:to>
      <xdr:col>16</xdr:col>
      <xdr:colOff>619124</xdr:colOff>
      <xdr:row>74</xdr:row>
      <xdr:rowOff>104775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190499</xdr:colOff>
      <xdr:row>5</xdr:row>
      <xdr:rowOff>742950</xdr:rowOff>
    </xdr:from>
    <xdr:to>
      <xdr:col>1</xdr:col>
      <xdr:colOff>942974</xdr:colOff>
      <xdr:row>14</xdr:row>
      <xdr:rowOff>95250</xdr:rowOff>
    </xdr:to>
    <xdr:sp macro="" textlink="">
      <xdr:nvSpPr>
        <xdr:cNvPr id="3" name="Rounded Rectangular Callout 2" descr="5bb34e46-69ca-42c4-967c-2f067a52e970"/>
        <xdr:cNvSpPr/>
      </xdr:nvSpPr>
      <xdr:spPr>
        <a:xfrm>
          <a:off x="190499" y="1781175"/>
          <a:ext cx="2028825" cy="1771650"/>
        </a:xfrm>
        <a:prstGeom prst="wedgeRoundRectCallout">
          <a:avLst>
            <a:gd name="adj1" fmla="val 65009"/>
            <a:gd name="adj2" fmla="val -2610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100"/>
            <a:t>Revised from</a:t>
          </a:r>
          <a:r>
            <a:rPr lang="en-US" sz="1100" baseline="0"/>
            <a:t> 2012 to reflect less of  Tom, Charlie &amp; Gillian's management after addition of Nick O'Neil as RTF manager.  </a:t>
          </a:r>
        </a:p>
        <a:p>
          <a:pPr algn="l"/>
          <a:endParaRPr lang="en-US" sz="1100"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161925</xdr:colOff>
      <xdr:row>32</xdr:row>
      <xdr:rowOff>19050</xdr:rowOff>
    </xdr:from>
    <xdr:to>
      <xdr:col>23</xdr:col>
      <xdr:colOff>257175</xdr:colOff>
      <xdr:row>60</xdr:row>
      <xdr:rowOff>104774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133350</xdr:colOff>
      <xdr:row>2</xdr:row>
      <xdr:rowOff>28575</xdr:rowOff>
    </xdr:from>
    <xdr:to>
      <xdr:col>23</xdr:col>
      <xdr:colOff>228600</xdr:colOff>
      <xdr:row>29</xdr:row>
      <xdr:rowOff>95249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4"/>
  <dimension ref="B1:AS50"/>
  <sheetViews>
    <sheetView topLeftCell="A10" zoomScaleNormal="100" workbookViewId="0">
      <pane xSplit="2" topLeftCell="C1" activePane="topRight" state="frozen"/>
      <selection pane="topRight" activeCell="H39" sqref="H39"/>
    </sheetView>
  </sheetViews>
  <sheetFormatPr defaultColWidth="8.85546875" defaultRowHeight="15.75"/>
  <cols>
    <col min="1" max="1" width="8.85546875" style="3"/>
    <col min="2" max="2" width="51" style="3" bestFit="1" customWidth="1"/>
    <col min="3" max="3" width="12" style="3" bestFit="1" customWidth="1"/>
    <col min="4" max="4" width="13.7109375" style="3" customWidth="1"/>
    <col min="5" max="5" width="12.7109375" style="3" customWidth="1"/>
    <col min="6" max="6" width="13.5703125" style="3" customWidth="1"/>
    <col min="7" max="7" width="12.7109375" style="3" customWidth="1"/>
    <col min="8" max="8" width="12" style="3" bestFit="1" customWidth="1"/>
    <col min="9" max="9" width="10.28515625" style="3" bestFit="1" customWidth="1"/>
    <col min="10" max="10" width="14.28515625" style="3" bestFit="1" customWidth="1"/>
    <col min="11" max="11" width="15.5703125" style="3" bestFit="1" customWidth="1"/>
    <col min="12" max="12" width="13.42578125" style="3" customWidth="1"/>
    <col min="13" max="13" width="8.85546875" style="3"/>
    <col min="14" max="14" width="7.140625" style="3" bestFit="1" customWidth="1"/>
    <col min="15" max="15" width="10.28515625" style="3" bestFit="1" customWidth="1"/>
    <col min="16" max="16" width="13.5703125" style="3" bestFit="1" customWidth="1"/>
    <col min="17" max="17" width="15.5703125" style="3" bestFit="1" customWidth="1"/>
    <col min="18" max="18" width="13.7109375" style="3" customWidth="1"/>
    <col min="19" max="19" width="8.85546875" style="3"/>
    <col min="20" max="20" width="7.140625" style="3" bestFit="1" customWidth="1"/>
    <col min="21" max="21" width="10.28515625" style="3" bestFit="1" customWidth="1"/>
    <col min="22" max="22" width="13.5703125" style="3" bestFit="1" customWidth="1"/>
    <col min="23" max="23" width="15" style="3" customWidth="1"/>
    <col min="24" max="24" width="13.7109375" style="3" customWidth="1"/>
    <col min="25" max="25" width="8.85546875" style="3"/>
    <col min="26" max="26" width="7.140625" style="3" bestFit="1" customWidth="1"/>
    <col min="27" max="27" width="10.28515625" style="3" bestFit="1" customWidth="1"/>
    <col min="28" max="28" width="13.5703125" style="3" bestFit="1" customWidth="1"/>
    <col min="29" max="29" width="15.28515625" style="3" customWidth="1"/>
    <col min="30" max="30" width="13.7109375" style="3" customWidth="1"/>
    <col min="31" max="31" width="8.85546875" style="3"/>
    <col min="32" max="32" width="7.140625" style="3" bestFit="1" customWidth="1"/>
    <col min="33" max="33" width="10.28515625" style="3" bestFit="1" customWidth="1"/>
    <col min="34" max="34" width="13.5703125" style="3" bestFit="1" customWidth="1"/>
    <col min="35" max="35" width="15.42578125" style="3" customWidth="1"/>
    <col min="36" max="36" width="13.7109375" style="3" customWidth="1"/>
    <col min="37" max="37" width="10.28515625" style="3" bestFit="1" customWidth="1"/>
    <col min="38" max="38" width="21.85546875" style="3" bestFit="1" customWidth="1"/>
    <col min="39" max="40" width="12" style="3" bestFit="1" customWidth="1"/>
    <col min="41" max="41" width="10.28515625" style="3" bestFit="1" customWidth="1"/>
    <col min="42" max="45" width="20.140625" style="3" customWidth="1"/>
    <col min="46" max="16384" width="8.85546875" style="3"/>
  </cols>
  <sheetData>
    <row r="1" spans="2:45" ht="18.75">
      <c r="B1" s="72" t="s">
        <v>84</v>
      </c>
    </row>
    <row r="2" spans="2:45">
      <c r="B2" s="2"/>
      <c r="J2" s="73"/>
      <c r="K2" s="73" t="s">
        <v>93</v>
      </c>
      <c r="L2" s="74">
        <f>L3+0.01</f>
        <v>2.5000000000000001E-2</v>
      </c>
      <c r="P2" s="73"/>
      <c r="Q2" s="73" t="s">
        <v>93</v>
      </c>
      <c r="R2" s="74">
        <f>$L$2</f>
        <v>2.5000000000000001E-2</v>
      </c>
      <c r="V2" s="73"/>
      <c r="W2" s="73" t="s">
        <v>93</v>
      </c>
      <c r="X2" s="74">
        <f>$L$2</f>
        <v>2.5000000000000001E-2</v>
      </c>
      <c r="AB2" s="73"/>
      <c r="AC2" s="73" t="s">
        <v>93</v>
      </c>
      <c r="AD2" s="74">
        <f>$L$2</f>
        <v>2.5000000000000001E-2</v>
      </c>
      <c r="AH2" s="73"/>
      <c r="AI2" s="73" t="s">
        <v>93</v>
      </c>
      <c r="AJ2" s="74">
        <f>$L$2</f>
        <v>2.5000000000000001E-2</v>
      </c>
    </row>
    <row r="3" spans="2:45">
      <c r="B3"/>
      <c r="J3" s="73"/>
      <c r="K3" s="73" t="s">
        <v>91</v>
      </c>
      <c r="L3" s="74">
        <v>1.4999999999999999E-2</v>
      </c>
      <c r="P3" s="73"/>
      <c r="Q3" s="73" t="s">
        <v>91</v>
      </c>
      <c r="R3" s="74">
        <f>$L$3</f>
        <v>1.4999999999999999E-2</v>
      </c>
      <c r="V3" s="73"/>
      <c r="W3" s="73" t="s">
        <v>91</v>
      </c>
      <c r="X3" s="74">
        <f>$L$3</f>
        <v>1.4999999999999999E-2</v>
      </c>
      <c r="AB3" s="73"/>
      <c r="AC3" s="73" t="s">
        <v>91</v>
      </c>
      <c r="AD3" s="74">
        <f>$L$3</f>
        <v>1.4999999999999999E-2</v>
      </c>
      <c r="AH3" s="73"/>
      <c r="AI3" s="73" t="s">
        <v>91</v>
      </c>
      <c r="AJ3" s="74">
        <f>$L$3</f>
        <v>1.4999999999999999E-2</v>
      </c>
    </row>
    <row r="4" spans="2:45">
      <c r="C4" s="223" t="s">
        <v>85</v>
      </c>
      <c r="D4" s="223"/>
      <c r="E4" s="223"/>
      <c r="F4" s="223"/>
      <c r="I4" s="223" t="s">
        <v>86</v>
      </c>
      <c r="J4" s="223"/>
      <c r="K4" s="223"/>
      <c r="L4" s="223"/>
      <c r="O4" s="224" t="s">
        <v>87</v>
      </c>
      <c r="P4" s="225"/>
      <c r="Q4" s="225"/>
      <c r="R4" s="226"/>
      <c r="U4" s="224" t="s">
        <v>88</v>
      </c>
      <c r="V4" s="225"/>
      <c r="W4" s="225"/>
      <c r="X4" s="226"/>
      <c r="AA4" s="223" t="s">
        <v>89</v>
      </c>
      <c r="AB4" s="223"/>
      <c r="AC4" s="223"/>
      <c r="AD4" s="223"/>
      <c r="AG4" s="223" t="s">
        <v>90</v>
      </c>
      <c r="AH4" s="223"/>
      <c r="AI4" s="223"/>
      <c r="AJ4" s="223"/>
    </row>
    <row r="5" spans="2:45" ht="63">
      <c r="B5" s="5" t="s">
        <v>41</v>
      </c>
      <c r="C5" s="6" t="s">
        <v>69</v>
      </c>
      <c r="D5" s="6" t="s">
        <v>73</v>
      </c>
      <c r="E5" s="25" t="s">
        <v>48</v>
      </c>
      <c r="F5" s="9" t="s">
        <v>59</v>
      </c>
      <c r="H5" s="6" t="s">
        <v>53</v>
      </c>
      <c r="I5" s="6" t="s">
        <v>69</v>
      </c>
      <c r="J5" s="6" t="s">
        <v>73</v>
      </c>
      <c r="K5" s="7" t="s">
        <v>48</v>
      </c>
      <c r="L5" s="8" t="s">
        <v>59</v>
      </c>
      <c r="N5" s="6" t="s">
        <v>53</v>
      </c>
      <c r="O5" s="6" t="s">
        <v>69</v>
      </c>
      <c r="P5" s="6" t="s">
        <v>73</v>
      </c>
      <c r="Q5" s="25" t="s">
        <v>48</v>
      </c>
      <c r="R5" s="9" t="s">
        <v>59</v>
      </c>
      <c r="T5" s="6" t="s">
        <v>53</v>
      </c>
      <c r="U5" s="6" t="s">
        <v>69</v>
      </c>
      <c r="V5" s="6" t="s">
        <v>73</v>
      </c>
      <c r="W5" s="25" t="s">
        <v>48</v>
      </c>
      <c r="X5" s="9" t="s">
        <v>59</v>
      </c>
      <c r="Z5" s="6" t="s">
        <v>53</v>
      </c>
      <c r="AA5" s="6" t="s">
        <v>69</v>
      </c>
      <c r="AB5" s="6" t="s">
        <v>73</v>
      </c>
      <c r="AC5" s="25" t="s">
        <v>48</v>
      </c>
      <c r="AD5" s="9" t="s">
        <v>59</v>
      </c>
      <c r="AF5" s="6" t="s">
        <v>53</v>
      </c>
      <c r="AG5" s="6" t="s">
        <v>69</v>
      </c>
      <c r="AH5" s="6" t="s">
        <v>73</v>
      </c>
      <c r="AI5" s="25" t="s">
        <v>48</v>
      </c>
      <c r="AJ5" s="9" t="s">
        <v>59</v>
      </c>
      <c r="AL5" s="5" t="s">
        <v>180</v>
      </c>
      <c r="AM5" s="6" t="s">
        <v>177</v>
      </c>
      <c r="AN5" s="6" t="s">
        <v>178</v>
      </c>
      <c r="AO5" s="6" t="s">
        <v>179</v>
      </c>
      <c r="AP5" s="222" t="s">
        <v>107</v>
      </c>
      <c r="AQ5" s="222"/>
      <c r="AR5" s="222"/>
      <c r="AS5" s="222"/>
    </row>
    <row r="6" spans="2:45" ht="38.25" customHeight="1">
      <c r="B6" s="10" t="s">
        <v>44</v>
      </c>
      <c r="C6" s="11">
        <v>65500</v>
      </c>
      <c r="D6" s="11">
        <v>410000</v>
      </c>
      <c r="E6" s="12">
        <v>475500</v>
      </c>
      <c r="F6" s="13">
        <v>7500</v>
      </c>
      <c r="H6" s="83">
        <v>1</v>
      </c>
      <c r="I6" s="11">
        <f>C6*H6*(1+L$3)</f>
        <v>66482.5</v>
      </c>
      <c r="J6" s="11">
        <f t="shared" ref="J6:J14" si="0">D6*H6*(1+L$2)</f>
        <v>420249.99999999994</v>
      </c>
      <c r="K6" s="12">
        <f>SUM(I6:J6)</f>
        <v>486732.49999999994</v>
      </c>
      <c r="L6" s="13">
        <f t="shared" ref="L6:L14" si="1">F6*H6*(1+$L$3)</f>
        <v>7612.4999999999991</v>
      </c>
      <c r="N6" s="24">
        <v>0.85</v>
      </c>
      <c r="O6" s="11">
        <f>I6*N6*(1+R$3)</f>
        <v>57357.776874999996</v>
      </c>
      <c r="P6" s="11">
        <f t="shared" ref="P6:P14" si="2">J6*N6*(1+R$2)</f>
        <v>366142.81249999988</v>
      </c>
      <c r="Q6" s="12">
        <f>SUM(O6:P6)</f>
        <v>423500.58937499986</v>
      </c>
      <c r="R6" s="13">
        <f t="shared" ref="R6:R14" si="3">L6*N6*(1+$L$3)</f>
        <v>6567.684374999998</v>
      </c>
      <c r="T6" s="24">
        <v>1.1000000000000001</v>
      </c>
      <c r="U6" s="11">
        <f>O6*T6*(1+X$3)</f>
        <v>64039.957880937494</v>
      </c>
      <c r="V6" s="11">
        <f t="shared" ref="V6:V14" si="4">P6*T6*(1+X$2)</f>
        <v>412826.02109374985</v>
      </c>
      <c r="W6" s="12">
        <f>SUM(U6:V6)</f>
        <v>476865.97897468734</v>
      </c>
      <c r="X6" s="13">
        <f t="shared" ref="X6:X14" si="5">R6*T6*(1+$L$3)</f>
        <v>7332.8196046874982</v>
      </c>
      <c r="Z6" s="24">
        <v>0.95</v>
      </c>
      <c r="AA6" s="11">
        <f>U6*Z6*(1+AD$3)</f>
        <v>61750.529386693968</v>
      </c>
      <c r="AB6" s="11">
        <f t="shared" ref="AB6:AB14" si="6">V6*Z6*(1+AD$2)</f>
        <v>401989.33804003883</v>
      </c>
      <c r="AC6" s="12">
        <f>SUM(AA6:AB6)</f>
        <v>463739.86742673279</v>
      </c>
      <c r="AD6" s="13">
        <f t="shared" ref="AD6:AD14" si="7">X6*Z6*(1+$L$3)</f>
        <v>7070.6713038199196</v>
      </c>
      <c r="AF6" s="24">
        <v>1</v>
      </c>
      <c r="AG6" s="11">
        <f>AA6*AF6*(1+AJ$3)</f>
        <v>62676.78732749437</v>
      </c>
      <c r="AH6" s="11">
        <f t="shared" ref="AH6:AH14" si="8">AB6*AF6*(1+AJ$2)</f>
        <v>412039.07149103977</v>
      </c>
      <c r="AI6" s="12">
        <f>SUM(AG6:AH6)</f>
        <v>474715.85881853412</v>
      </c>
      <c r="AJ6" s="13">
        <f t="shared" ref="AJ6:AJ14" si="9">AD6*AF6*(1+$L$3)</f>
        <v>7176.731373377218</v>
      </c>
      <c r="AL6" s="150" t="s">
        <v>181</v>
      </c>
      <c r="AM6" s="151">
        <f>SUM(E6:E8)</f>
        <v>739500</v>
      </c>
      <c r="AN6" s="151">
        <f>SUM(AI6:AI8)</f>
        <v>972430.84047975508</v>
      </c>
      <c r="AO6" s="151">
        <f>AN6-AM6</f>
        <v>232930.84047975508</v>
      </c>
      <c r="AP6" s="216" t="s">
        <v>182</v>
      </c>
      <c r="AQ6" s="217"/>
      <c r="AR6" s="217"/>
      <c r="AS6" s="218"/>
    </row>
    <row r="7" spans="2:45" ht="38.25" customHeight="1">
      <c r="B7" s="10" t="s">
        <v>47</v>
      </c>
      <c r="C7" s="11">
        <v>65000</v>
      </c>
      <c r="D7" s="11">
        <v>140000</v>
      </c>
      <c r="E7" s="12">
        <v>205000</v>
      </c>
      <c r="F7" s="13">
        <v>3000</v>
      </c>
      <c r="H7" s="83">
        <v>1.75</v>
      </c>
      <c r="I7" s="11">
        <f>C7*H7*(1+L$3)</f>
        <v>115456.24999999999</v>
      </c>
      <c r="J7" s="11">
        <f t="shared" si="0"/>
        <v>251124.99999999997</v>
      </c>
      <c r="K7" s="12">
        <f t="shared" ref="K7:K14" si="10">SUM(I7:J7)</f>
        <v>366581.24999999994</v>
      </c>
      <c r="L7" s="13">
        <f t="shared" si="1"/>
        <v>5328.7499999999991</v>
      </c>
      <c r="N7" s="24">
        <v>1.05</v>
      </c>
      <c r="O7" s="11">
        <f t="shared" ref="O7:O14" si="11">I7*N7*(1+R$3)</f>
        <v>123047.49843749998</v>
      </c>
      <c r="P7" s="11">
        <f t="shared" si="2"/>
        <v>270273.28125</v>
      </c>
      <c r="Q7" s="12">
        <f t="shared" ref="Q7:Q14" si="12">SUM(O7:P7)</f>
        <v>393320.77968749998</v>
      </c>
      <c r="R7" s="13">
        <f t="shared" si="3"/>
        <v>5679.1153124999983</v>
      </c>
      <c r="T7" s="24">
        <v>1.1000000000000001</v>
      </c>
      <c r="U7" s="11">
        <f t="shared" ref="U7:U14" si="13">O7*T7*(1+X$3)</f>
        <v>137382.5320054687</v>
      </c>
      <c r="V7" s="11">
        <f t="shared" si="4"/>
        <v>304733.12460937497</v>
      </c>
      <c r="W7" s="12">
        <f t="shared" ref="W7:W14" si="14">SUM(U7:V7)</f>
        <v>442115.65661484364</v>
      </c>
      <c r="X7" s="13">
        <f t="shared" si="5"/>
        <v>6340.7322464062481</v>
      </c>
      <c r="Z7" s="24">
        <v>1</v>
      </c>
      <c r="AA7" s="11">
        <f t="shared" ref="AA7:AA14" si="15">U7*Z7*(1+AD$3)</f>
        <v>139443.26998555072</v>
      </c>
      <c r="AB7" s="11">
        <f t="shared" si="6"/>
        <v>312351.45272460929</v>
      </c>
      <c r="AC7" s="12">
        <f t="shared" ref="AC7:AC14" si="16">SUM(AA7:AB7)</f>
        <v>451794.72271016001</v>
      </c>
      <c r="AD7" s="13">
        <f t="shared" si="7"/>
        <v>6435.8432301023413</v>
      </c>
      <c r="AF7" s="24">
        <v>1</v>
      </c>
      <c r="AG7" s="11">
        <f t="shared" ref="AG7:AG14" si="17">AA7*AF7*(1+AJ$3)</f>
        <v>141534.91903533397</v>
      </c>
      <c r="AH7" s="11">
        <f t="shared" si="8"/>
        <v>320160.23904272448</v>
      </c>
      <c r="AI7" s="12">
        <f t="shared" ref="AI7:AI14" si="18">SUM(AG7:AH7)</f>
        <v>461695.15807805845</v>
      </c>
      <c r="AJ7" s="13">
        <f t="shared" si="9"/>
        <v>6532.3808785538758</v>
      </c>
      <c r="AL7" s="150" t="s">
        <v>46</v>
      </c>
      <c r="AM7" s="151">
        <f>E9</f>
        <v>185000</v>
      </c>
      <c r="AN7" s="151">
        <f>AI9</f>
        <v>225805.76115334698</v>
      </c>
      <c r="AO7" s="151">
        <f t="shared" ref="AO7:AO9" si="19">AN7-AM7</f>
        <v>40805.761153346975</v>
      </c>
      <c r="AP7" s="216" t="s">
        <v>184</v>
      </c>
      <c r="AQ7" s="217"/>
      <c r="AR7" s="217"/>
      <c r="AS7" s="218"/>
    </row>
    <row r="8" spans="2:45" ht="38.25" customHeight="1">
      <c r="B8" s="10" t="s">
        <v>42</v>
      </c>
      <c r="C8" s="11">
        <v>40000</v>
      </c>
      <c r="D8" s="11">
        <v>19000</v>
      </c>
      <c r="E8" s="12">
        <v>59000</v>
      </c>
      <c r="F8" s="13">
        <v>1100</v>
      </c>
      <c r="H8" s="83">
        <v>0.9</v>
      </c>
      <c r="I8" s="11">
        <f t="shared" ref="I8:I14" si="20">C8*H8*(1+L$3)</f>
        <v>36540</v>
      </c>
      <c r="J8" s="11">
        <f t="shared" si="0"/>
        <v>17527.5</v>
      </c>
      <c r="K8" s="12">
        <f t="shared" si="10"/>
        <v>54067.5</v>
      </c>
      <c r="L8" s="13">
        <f t="shared" si="1"/>
        <v>1004.8499999999999</v>
      </c>
      <c r="N8" s="24">
        <v>0.9</v>
      </c>
      <c r="O8" s="11">
        <f t="shared" si="11"/>
        <v>33379.289999999994</v>
      </c>
      <c r="P8" s="11">
        <f t="shared" si="2"/>
        <v>16169.118749999998</v>
      </c>
      <c r="Q8" s="12">
        <f t="shared" si="12"/>
        <v>49548.408749999988</v>
      </c>
      <c r="R8" s="13">
        <f t="shared" si="3"/>
        <v>917.93047499999977</v>
      </c>
      <c r="T8" s="24">
        <v>0.9</v>
      </c>
      <c r="U8" s="11">
        <f t="shared" si="13"/>
        <v>30491.981414999991</v>
      </c>
      <c r="V8" s="11">
        <f t="shared" si="4"/>
        <v>14916.012046874997</v>
      </c>
      <c r="W8" s="12">
        <f t="shared" si="14"/>
        <v>45407.99346187499</v>
      </c>
      <c r="X8" s="13">
        <f t="shared" si="5"/>
        <v>838.5294889124998</v>
      </c>
      <c r="Z8" s="24">
        <v>0.9</v>
      </c>
      <c r="AA8" s="11">
        <f t="shared" si="15"/>
        <v>27854.425022602492</v>
      </c>
      <c r="AB8" s="11">
        <f t="shared" si="6"/>
        <v>13760.021113242183</v>
      </c>
      <c r="AC8" s="12">
        <f t="shared" si="16"/>
        <v>41614.446135844672</v>
      </c>
      <c r="AD8" s="13">
        <f t="shared" si="7"/>
        <v>765.99668812156847</v>
      </c>
      <c r="AF8" s="24">
        <v>0.85</v>
      </c>
      <c r="AG8" s="11">
        <f t="shared" si="17"/>
        <v>24031.405188250297</v>
      </c>
      <c r="AH8" s="11">
        <f t="shared" si="8"/>
        <v>11988.418394912251</v>
      </c>
      <c r="AI8" s="12">
        <f t="shared" si="18"/>
        <v>36019.82358316255</v>
      </c>
      <c r="AJ8" s="13">
        <f t="shared" si="9"/>
        <v>660.86364267688316</v>
      </c>
      <c r="AK8" s="82"/>
      <c r="AL8" s="150" t="s">
        <v>175</v>
      </c>
      <c r="AM8" s="151">
        <f>SUM(E10:E11)</f>
        <v>138500</v>
      </c>
      <c r="AN8" s="151">
        <f>SUM(AI10:AI11)</f>
        <v>246008.44767023146</v>
      </c>
      <c r="AO8" s="151">
        <f t="shared" si="19"/>
        <v>107508.44767023146</v>
      </c>
      <c r="AP8" s="216" t="s">
        <v>185</v>
      </c>
      <c r="AQ8" s="217"/>
      <c r="AR8" s="217"/>
      <c r="AS8" s="218"/>
    </row>
    <row r="9" spans="2:45" ht="38.25" customHeight="1">
      <c r="B9" s="14" t="s">
        <v>46</v>
      </c>
      <c r="C9" s="15">
        <v>65000</v>
      </c>
      <c r="D9" s="15">
        <v>120000</v>
      </c>
      <c r="E9" s="16">
        <v>185000</v>
      </c>
      <c r="F9" s="17">
        <v>25000</v>
      </c>
      <c r="H9" s="83">
        <v>1</v>
      </c>
      <c r="I9" s="15">
        <f t="shared" si="20"/>
        <v>65975</v>
      </c>
      <c r="J9" s="15">
        <f t="shared" si="0"/>
        <v>122999.99999999999</v>
      </c>
      <c r="K9" s="16">
        <f t="shared" si="10"/>
        <v>188975</v>
      </c>
      <c r="L9" s="17">
        <f t="shared" si="1"/>
        <v>25374.999999999996</v>
      </c>
      <c r="N9" s="24">
        <v>1.1000000000000001</v>
      </c>
      <c r="O9" s="15">
        <f t="shared" si="11"/>
        <v>73661.087499999994</v>
      </c>
      <c r="P9" s="15">
        <f t="shared" si="2"/>
        <v>138682.5</v>
      </c>
      <c r="Q9" s="16">
        <f t="shared" si="12"/>
        <v>212343.58749999999</v>
      </c>
      <c r="R9" s="17">
        <f t="shared" si="3"/>
        <v>28331.187499999996</v>
      </c>
      <c r="T9" s="24">
        <v>1</v>
      </c>
      <c r="U9" s="15">
        <f t="shared" si="13"/>
        <v>74766.003812499985</v>
      </c>
      <c r="V9" s="15">
        <f t="shared" si="4"/>
        <v>142149.5625</v>
      </c>
      <c r="W9" s="16">
        <f t="shared" si="14"/>
        <v>216915.56631249998</v>
      </c>
      <c r="X9" s="17">
        <f t="shared" si="5"/>
        <v>28756.155312499992</v>
      </c>
      <c r="Z9" s="24">
        <v>1.05</v>
      </c>
      <c r="AA9" s="15">
        <f t="shared" si="15"/>
        <v>79681.868563171854</v>
      </c>
      <c r="AB9" s="15">
        <f t="shared" si="6"/>
        <v>152988.46664062497</v>
      </c>
      <c r="AC9" s="16">
        <f t="shared" si="16"/>
        <v>232670.33520379683</v>
      </c>
      <c r="AD9" s="17">
        <f t="shared" si="7"/>
        <v>30646.872524296865</v>
      </c>
      <c r="AF9" s="24">
        <v>0.95</v>
      </c>
      <c r="AG9" s="15">
        <f t="shared" si="17"/>
        <v>76833.241762038451</v>
      </c>
      <c r="AH9" s="15">
        <f t="shared" si="8"/>
        <v>148972.51939130854</v>
      </c>
      <c r="AI9" s="16">
        <f t="shared" si="18"/>
        <v>225805.76115334698</v>
      </c>
      <c r="AJ9" s="17">
        <f t="shared" si="9"/>
        <v>29551.246831553246</v>
      </c>
      <c r="AK9" s="82"/>
      <c r="AL9" s="150" t="s">
        <v>176</v>
      </c>
      <c r="AM9" s="151">
        <f>SUM(E12:E14)</f>
        <v>410000</v>
      </c>
      <c r="AN9" s="151">
        <f>SUM(AI12:AI14)</f>
        <v>468058.34427648556</v>
      </c>
      <c r="AO9" s="151">
        <f t="shared" si="19"/>
        <v>58058.344276485557</v>
      </c>
      <c r="AP9" s="216" t="s">
        <v>183</v>
      </c>
      <c r="AQ9" s="217"/>
      <c r="AR9" s="217"/>
      <c r="AS9" s="218"/>
    </row>
    <row r="10" spans="2:45" ht="38.25" customHeight="1">
      <c r="B10" s="14" t="s">
        <v>20</v>
      </c>
      <c r="C10" s="15">
        <v>60000</v>
      </c>
      <c r="D10" s="15">
        <v>60000</v>
      </c>
      <c r="E10" s="16">
        <v>120000</v>
      </c>
      <c r="F10" s="17">
        <v>42500</v>
      </c>
      <c r="H10" s="83">
        <v>1.05</v>
      </c>
      <c r="I10" s="15">
        <f t="shared" si="20"/>
        <v>63944.999999999993</v>
      </c>
      <c r="J10" s="15">
        <f t="shared" si="0"/>
        <v>64574.999999999993</v>
      </c>
      <c r="K10" s="16">
        <f t="shared" si="10"/>
        <v>128519.99999999999</v>
      </c>
      <c r="L10" s="17">
        <f t="shared" si="1"/>
        <v>45294.374999999993</v>
      </c>
      <c r="N10" s="24">
        <v>1.1499999999999999</v>
      </c>
      <c r="O10" s="15">
        <f t="shared" si="11"/>
        <v>74639.801249999975</v>
      </c>
      <c r="P10" s="15">
        <f t="shared" si="2"/>
        <v>76117.781249999985</v>
      </c>
      <c r="Q10" s="16">
        <f t="shared" si="12"/>
        <v>150757.58249999996</v>
      </c>
      <c r="R10" s="17">
        <f t="shared" si="3"/>
        <v>52869.859218749982</v>
      </c>
      <c r="T10" s="24">
        <v>0.9</v>
      </c>
      <c r="U10" s="15">
        <f t="shared" si="13"/>
        <v>68183.458441874973</v>
      </c>
      <c r="V10" s="15">
        <f t="shared" si="4"/>
        <v>70218.653203124981</v>
      </c>
      <c r="W10" s="16">
        <f t="shared" si="14"/>
        <v>138402.11164499994</v>
      </c>
      <c r="X10" s="17">
        <f t="shared" si="5"/>
        <v>48296.6163963281</v>
      </c>
      <c r="Z10" s="24">
        <v>1.05</v>
      </c>
      <c r="AA10" s="15">
        <f t="shared" si="15"/>
        <v>72666.520834428258</v>
      </c>
      <c r="AB10" s="15">
        <f t="shared" si="6"/>
        <v>75572.825509863251</v>
      </c>
      <c r="AC10" s="16">
        <f t="shared" si="16"/>
        <v>148239.34634429152</v>
      </c>
      <c r="AD10" s="17">
        <f t="shared" si="7"/>
        <v>51472.118924386668</v>
      </c>
      <c r="AF10" s="24">
        <v>1.05</v>
      </c>
      <c r="AG10" s="15">
        <f t="shared" si="17"/>
        <v>77444.344579291908</v>
      </c>
      <c r="AH10" s="15">
        <f t="shared" si="8"/>
        <v>81335.253454990321</v>
      </c>
      <c r="AI10" s="16">
        <f t="shared" si="18"/>
        <v>158779.59803428221</v>
      </c>
      <c r="AJ10" s="17">
        <f t="shared" si="9"/>
        <v>54856.410743665088</v>
      </c>
      <c r="AK10" s="82"/>
      <c r="AL10" s="152" t="s">
        <v>55</v>
      </c>
      <c r="AM10" s="153">
        <f t="shared" ref="AM10:AN10" si="21">SUM(AM6:AM9)</f>
        <v>1473000</v>
      </c>
      <c r="AN10" s="153">
        <f t="shared" si="21"/>
        <v>1912303.3935798192</v>
      </c>
      <c r="AO10" s="153">
        <f>SUM(AO6:AO9)</f>
        <v>439303.39357981907</v>
      </c>
      <c r="AP10" s="219"/>
      <c r="AQ10" s="220"/>
      <c r="AR10" s="220"/>
      <c r="AS10" s="221"/>
    </row>
    <row r="11" spans="2:45" ht="38.25" customHeight="1">
      <c r="B11" s="14" t="s">
        <v>50</v>
      </c>
      <c r="C11" s="15">
        <v>12500</v>
      </c>
      <c r="D11" s="15">
        <v>6000</v>
      </c>
      <c r="E11" s="16">
        <v>18500</v>
      </c>
      <c r="F11" s="17">
        <v>6000</v>
      </c>
      <c r="H11" s="83">
        <v>1.75</v>
      </c>
      <c r="I11" s="15">
        <f t="shared" si="20"/>
        <v>22203.124999999996</v>
      </c>
      <c r="J11" s="15">
        <f t="shared" si="0"/>
        <v>10762.499999999998</v>
      </c>
      <c r="K11" s="16">
        <f t="shared" si="10"/>
        <v>32965.624999999993</v>
      </c>
      <c r="L11" s="17">
        <f t="shared" si="1"/>
        <v>10657.499999999998</v>
      </c>
      <c r="N11" s="24">
        <v>1.25</v>
      </c>
      <c r="O11" s="15">
        <f t="shared" si="11"/>
        <v>28170.214843749993</v>
      </c>
      <c r="P11" s="15">
        <f t="shared" si="2"/>
        <v>13789.453124999996</v>
      </c>
      <c r="Q11" s="16">
        <f t="shared" si="12"/>
        <v>41959.667968749985</v>
      </c>
      <c r="R11" s="17">
        <f t="shared" si="3"/>
        <v>13521.703124999996</v>
      </c>
      <c r="T11" s="24">
        <v>1.5</v>
      </c>
      <c r="U11" s="15">
        <f t="shared" si="13"/>
        <v>42889.152099609353</v>
      </c>
      <c r="V11" s="15">
        <f t="shared" si="4"/>
        <v>21201.284179687489</v>
      </c>
      <c r="W11" s="16">
        <f t="shared" si="14"/>
        <v>64090.436279296846</v>
      </c>
      <c r="X11" s="17">
        <f t="shared" si="5"/>
        <v>20586.793007812492</v>
      </c>
      <c r="Z11" s="24">
        <v>1.25</v>
      </c>
      <c r="AA11" s="15">
        <f t="shared" si="15"/>
        <v>54415.611726379357</v>
      </c>
      <c r="AB11" s="15">
        <f t="shared" si="6"/>
        <v>27164.145355224591</v>
      </c>
      <c r="AC11" s="16">
        <f t="shared" si="16"/>
        <v>81579.757081603952</v>
      </c>
      <c r="AD11" s="17">
        <f t="shared" si="7"/>
        <v>26119.493628662098</v>
      </c>
      <c r="AF11" s="24">
        <v>1.05</v>
      </c>
      <c r="AG11" s="15">
        <f t="shared" si="17"/>
        <v>57993.438197388794</v>
      </c>
      <c r="AH11" s="15">
        <f t="shared" si="8"/>
        <v>29235.411438560466</v>
      </c>
      <c r="AI11" s="16">
        <f t="shared" si="18"/>
        <v>87228.849635949256</v>
      </c>
      <c r="AJ11" s="17">
        <f t="shared" si="9"/>
        <v>27836.850334746629</v>
      </c>
      <c r="AK11" s="82"/>
      <c r="AL11" s="82"/>
      <c r="AM11" s="82"/>
    </row>
    <row r="12" spans="2:45" ht="38.25" customHeight="1">
      <c r="B12" s="18" t="s">
        <v>40</v>
      </c>
      <c r="C12" s="75">
        <v>25000</v>
      </c>
      <c r="D12" s="75">
        <v>40000</v>
      </c>
      <c r="E12" s="76">
        <v>65000</v>
      </c>
      <c r="F12" s="19">
        <v>75000</v>
      </c>
      <c r="H12" s="83">
        <v>0.9</v>
      </c>
      <c r="I12" s="75">
        <f t="shared" si="20"/>
        <v>22837.499999999996</v>
      </c>
      <c r="J12" s="75">
        <f t="shared" si="0"/>
        <v>36900</v>
      </c>
      <c r="K12" s="76">
        <f t="shared" si="10"/>
        <v>59737.5</v>
      </c>
      <c r="L12" s="19">
        <f t="shared" si="1"/>
        <v>68512.5</v>
      </c>
      <c r="N12" s="24">
        <v>0.9</v>
      </c>
      <c r="O12" s="75">
        <f t="shared" si="11"/>
        <v>20862.056249999994</v>
      </c>
      <c r="P12" s="75">
        <f t="shared" si="2"/>
        <v>34040.25</v>
      </c>
      <c r="Q12" s="76">
        <f t="shared" si="12"/>
        <v>54902.306249999994</v>
      </c>
      <c r="R12" s="19">
        <f t="shared" si="3"/>
        <v>62586.168749999997</v>
      </c>
      <c r="T12" s="24">
        <v>1</v>
      </c>
      <c r="U12" s="75">
        <f t="shared" si="13"/>
        <v>21174.987093749991</v>
      </c>
      <c r="V12" s="75">
        <f t="shared" si="4"/>
        <v>34891.256249999999</v>
      </c>
      <c r="W12" s="76">
        <f t="shared" si="14"/>
        <v>56066.243343749986</v>
      </c>
      <c r="X12" s="19">
        <f t="shared" si="5"/>
        <v>63524.961281249991</v>
      </c>
      <c r="Z12" s="24">
        <v>1</v>
      </c>
      <c r="AA12" s="75">
        <f t="shared" si="15"/>
        <v>21492.61190015624</v>
      </c>
      <c r="AB12" s="75">
        <f t="shared" si="6"/>
        <v>35763.537656249995</v>
      </c>
      <c r="AC12" s="76">
        <f t="shared" si="16"/>
        <v>57256.149556406235</v>
      </c>
      <c r="AD12" s="19">
        <f t="shared" si="7"/>
        <v>64477.835700468735</v>
      </c>
      <c r="AF12" s="24">
        <v>1</v>
      </c>
      <c r="AG12" s="75">
        <f t="shared" si="17"/>
        <v>21815.001078658581</v>
      </c>
      <c r="AH12" s="75">
        <f t="shared" si="8"/>
        <v>36657.626097656241</v>
      </c>
      <c r="AI12" s="76">
        <f t="shared" si="18"/>
        <v>58472.627176314825</v>
      </c>
      <c r="AJ12" s="19">
        <f t="shared" si="9"/>
        <v>65445.003235975761</v>
      </c>
      <c r="AL12" s="81"/>
    </row>
    <row r="13" spans="2:45" ht="38.25" customHeight="1">
      <c r="B13" s="18" t="s">
        <v>18</v>
      </c>
      <c r="C13" s="75">
        <v>145000</v>
      </c>
      <c r="D13" s="75">
        <v>0</v>
      </c>
      <c r="E13" s="76">
        <v>145000</v>
      </c>
      <c r="F13" s="19">
        <v>5000</v>
      </c>
      <c r="H13" s="83">
        <v>1</v>
      </c>
      <c r="I13" s="75">
        <f t="shared" si="20"/>
        <v>147175</v>
      </c>
      <c r="J13" s="75">
        <f t="shared" si="0"/>
        <v>0</v>
      </c>
      <c r="K13" s="76">
        <f t="shared" si="10"/>
        <v>147175</v>
      </c>
      <c r="L13" s="19">
        <f t="shared" si="1"/>
        <v>5074.9999999999991</v>
      </c>
      <c r="N13" s="24">
        <v>1</v>
      </c>
      <c r="O13" s="75">
        <f t="shared" si="11"/>
        <v>149382.625</v>
      </c>
      <c r="P13" s="75">
        <f t="shared" si="2"/>
        <v>0</v>
      </c>
      <c r="Q13" s="76">
        <f t="shared" si="12"/>
        <v>149382.625</v>
      </c>
      <c r="R13" s="19">
        <f t="shared" si="3"/>
        <v>5151.1249999999982</v>
      </c>
      <c r="T13" s="24">
        <v>1.05</v>
      </c>
      <c r="U13" s="75">
        <f t="shared" si="13"/>
        <v>159204.53259374999</v>
      </c>
      <c r="V13" s="75">
        <f t="shared" si="4"/>
        <v>0</v>
      </c>
      <c r="W13" s="76">
        <f t="shared" si="14"/>
        <v>159204.53259374999</v>
      </c>
      <c r="X13" s="19">
        <f t="shared" si="5"/>
        <v>5489.8114687499983</v>
      </c>
      <c r="Z13" s="24">
        <v>1</v>
      </c>
      <c r="AA13" s="75">
        <f t="shared" si="15"/>
        <v>161592.60058265622</v>
      </c>
      <c r="AB13" s="75">
        <f t="shared" si="6"/>
        <v>0</v>
      </c>
      <c r="AC13" s="76">
        <f t="shared" si="16"/>
        <v>161592.60058265622</v>
      </c>
      <c r="AD13" s="19">
        <f t="shared" si="7"/>
        <v>5572.1586407812474</v>
      </c>
      <c r="AF13" s="24">
        <v>1.05</v>
      </c>
      <c r="AG13" s="75">
        <f t="shared" si="17"/>
        <v>172217.31407096586</v>
      </c>
      <c r="AH13" s="75">
        <f t="shared" si="8"/>
        <v>0</v>
      </c>
      <c r="AI13" s="76">
        <f t="shared" si="18"/>
        <v>172217.31407096586</v>
      </c>
      <c r="AJ13" s="19">
        <f t="shared" si="9"/>
        <v>5938.5280714126138</v>
      </c>
      <c r="AL13" s="81"/>
    </row>
    <row r="14" spans="2:45" ht="38.25" customHeight="1">
      <c r="B14" s="18" t="s">
        <v>43</v>
      </c>
      <c r="C14" s="75">
        <v>4000</v>
      </c>
      <c r="D14" s="75">
        <v>196000</v>
      </c>
      <c r="E14" s="76">
        <v>200000</v>
      </c>
      <c r="F14" s="19">
        <v>112000</v>
      </c>
      <c r="H14" s="83">
        <v>1</v>
      </c>
      <c r="I14" s="75">
        <f t="shared" si="20"/>
        <v>4059.9999999999995</v>
      </c>
      <c r="J14" s="75">
        <f t="shared" si="0"/>
        <v>200899.99999999997</v>
      </c>
      <c r="K14" s="76">
        <f t="shared" si="10"/>
        <v>204959.99999999997</v>
      </c>
      <c r="L14" s="19">
        <f t="shared" si="1"/>
        <v>113679.99999999999</v>
      </c>
      <c r="N14" s="24">
        <v>1.05</v>
      </c>
      <c r="O14" s="75">
        <f t="shared" si="11"/>
        <v>4326.9449999999997</v>
      </c>
      <c r="P14" s="75">
        <f t="shared" si="2"/>
        <v>216218.62499999994</v>
      </c>
      <c r="Q14" s="76">
        <f t="shared" si="12"/>
        <v>220545.56999999995</v>
      </c>
      <c r="R14" s="19">
        <f t="shared" si="3"/>
        <v>121154.45999999998</v>
      </c>
      <c r="T14" s="24">
        <v>1</v>
      </c>
      <c r="U14" s="75">
        <f t="shared" si="13"/>
        <v>4391.8491749999994</v>
      </c>
      <c r="V14" s="75">
        <f t="shared" si="4"/>
        <v>221624.09062499992</v>
      </c>
      <c r="W14" s="76">
        <f t="shared" si="14"/>
        <v>226015.93979999993</v>
      </c>
      <c r="X14" s="19">
        <f t="shared" si="5"/>
        <v>122971.77689999997</v>
      </c>
      <c r="Z14" s="24">
        <v>1</v>
      </c>
      <c r="AA14" s="75">
        <f t="shared" si="15"/>
        <v>4457.7269126249994</v>
      </c>
      <c r="AB14" s="75">
        <f t="shared" si="6"/>
        <v>227164.69289062489</v>
      </c>
      <c r="AC14" s="76">
        <f t="shared" si="16"/>
        <v>231622.41980324988</v>
      </c>
      <c r="AD14" s="19">
        <f t="shared" si="7"/>
        <v>124816.35355349995</v>
      </c>
      <c r="AF14" s="24">
        <v>1</v>
      </c>
      <c r="AG14" s="75">
        <f t="shared" si="17"/>
        <v>4524.5928163143735</v>
      </c>
      <c r="AH14" s="75">
        <f t="shared" si="8"/>
        <v>232843.8102128905</v>
      </c>
      <c r="AI14" s="76">
        <f t="shared" si="18"/>
        <v>237368.40302920487</v>
      </c>
      <c r="AJ14" s="19">
        <f t="shared" si="9"/>
        <v>126688.59885680245</v>
      </c>
      <c r="AL14" s="81"/>
    </row>
    <row r="15" spans="2:45" ht="38.25" customHeight="1">
      <c r="B15" s="20" t="s">
        <v>19</v>
      </c>
      <c r="C15" s="21">
        <v>482000</v>
      </c>
      <c r="D15" s="21">
        <v>991000</v>
      </c>
      <c r="E15" s="22">
        <v>1473000</v>
      </c>
      <c r="F15" s="23">
        <v>277100</v>
      </c>
      <c r="I15" s="21">
        <f>SUM(I6:I14)</f>
        <v>544674.375</v>
      </c>
      <c r="J15" s="21">
        <f t="shared" ref="J15:L15" si="22">SUM(J6:J14)</f>
        <v>1125039.9999999998</v>
      </c>
      <c r="K15" s="26">
        <f t="shared" si="22"/>
        <v>1669714.375</v>
      </c>
      <c r="L15" s="21">
        <f t="shared" si="22"/>
        <v>282540.47499999998</v>
      </c>
      <c r="O15" s="21">
        <f>SUM(O6:O14)</f>
        <v>564827.29515624978</v>
      </c>
      <c r="P15" s="21">
        <f t="shared" ref="P15:R15" si="23">SUM(P6:P14)</f>
        <v>1131433.8218749999</v>
      </c>
      <c r="Q15" s="26">
        <f t="shared" si="23"/>
        <v>1696261.1170312497</v>
      </c>
      <c r="R15" s="21">
        <f t="shared" si="23"/>
        <v>296779.23375624995</v>
      </c>
      <c r="U15" s="21">
        <f>SUM(U6:U14)</f>
        <v>602524.45451789047</v>
      </c>
      <c r="V15" s="21">
        <f t="shared" ref="V15:X15" si="24">SUM(V6:V14)</f>
        <v>1222560.0045078122</v>
      </c>
      <c r="W15" s="26">
        <f t="shared" si="24"/>
        <v>1825084.4590257024</v>
      </c>
      <c r="X15" s="21">
        <f t="shared" si="24"/>
        <v>304138.19570664677</v>
      </c>
      <c r="AA15" s="21">
        <f>SUM(AA6:AA14)</f>
        <v>623355.16491426411</v>
      </c>
      <c r="AB15" s="21">
        <f t="shared" ref="AB15:AD15" si="25">SUM(AB6:AB14)</f>
        <v>1246754.4799304779</v>
      </c>
      <c r="AC15" s="26">
        <f t="shared" si="25"/>
        <v>1870109.644844742</v>
      </c>
      <c r="AD15" s="21">
        <f t="shared" si="25"/>
        <v>317377.34419413941</v>
      </c>
      <c r="AG15" s="21">
        <f>SUM(AG6:AG14)</f>
        <v>639071.04405573662</v>
      </c>
      <c r="AH15" s="21">
        <f t="shared" ref="AH15:AJ15" si="26">SUM(AH6:AH14)</f>
        <v>1273232.3495240826</v>
      </c>
      <c r="AI15" s="26">
        <f t="shared" ref="AI15" si="27">SUM(AI6:AI14)</f>
        <v>1912303.3935798192</v>
      </c>
      <c r="AJ15" s="21">
        <f t="shared" si="26"/>
        <v>324686.61396876373</v>
      </c>
    </row>
    <row r="16" spans="2:45">
      <c r="B16" s="27" t="s">
        <v>22</v>
      </c>
      <c r="C16" s="28"/>
      <c r="D16" s="29">
        <f>D15/('NPCC In Kind'!K2)</f>
        <v>6.1937499999999996</v>
      </c>
      <c r="E16" s="30"/>
      <c r="F16" s="31">
        <f>F15/'NPCC In Kind'!$K$2</f>
        <v>1.7318750000000001</v>
      </c>
      <c r="I16" s="27" t="s">
        <v>22</v>
      </c>
      <c r="J16" s="29">
        <f>J15/('NPCC In Kind'!$K$2*(1+L2))</f>
        <v>6.8599999999999985</v>
      </c>
      <c r="K16" s="78"/>
      <c r="L16" s="29">
        <f>L15/('NPCC In Kind'!$K$2*(1+N2))</f>
        <v>1.7658779687499999</v>
      </c>
      <c r="O16" s="27" t="s">
        <v>22</v>
      </c>
      <c r="P16" s="29">
        <f>P15/('NPCC In Kind'!$K$2*(1+R2))</f>
        <v>6.8989867187499998</v>
      </c>
      <c r="Q16" s="78"/>
      <c r="R16" s="29">
        <f>R15/('NPCC In Kind'!$K$2*(1+T2))</f>
        <v>1.8548702109765622</v>
      </c>
      <c r="U16" s="27" t="s">
        <v>22</v>
      </c>
      <c r="V16" s="29">
        <f>V15/('NPCC In Kind'!$K$2*(1+X2))</f>
        <v>7.454634173828123</v>
      </c>
      <c r="W16" s="78"/>
      <c r="X16" s="29">
        <f>X15/('NPCC In Kind'!$K$2*(1+Z2))</f>
        <v>1.9008637231665424</v>
      </c>
      <c r="AA16" s="27" t="s">
        <v>22</v>
      </c>
      <c r="AB16" s="29">
        <f>AB15/('NPCC In Kind'!$K$2*(1+AD2))</f>
        <v>7.6021614629907193</v>
      </c>
      <c r="AC16" s="78"/>
      <c r="AD16" s="29">
        <f>AD15/('NPCC In Kind'!$K$2*(1+AF2))</f>
        <v>1.9836084012133712</v>
      </c>
      <c r="AG16" s="27" t="s">
        <v>22</v>
      </c>
      <c r="AH16" s="29">
        <f>AH15/('NPCC In Kind'!$K$2*(1+AJ2))</f>
        <v>7.7636118873419671</v>
      </c>
      <c r="AI16" s="78"/>
      <c r="AJ16" s="29">
        <f>AJ15/('NPCC In Kind'!$K$2*(1+AK2))</f>
        <v>2.0292913373047732</v>
      </c>
    </row>
    <row r="17" spans="2:35">
      <c r="J17" s="154"/>
      <c r="K17" s="79"/>
      <c r="P17" s="154"/>
      <c r="Q17" s="79"/>
      <c r="V17" s="154"/>
      <c r="W17" s="79"/>
      <c r="AB17" s="154"/>
      <c r="AC17" s="79"/>
      <c r="AH17" s="154"/>
      <c r="AI17" s="79"/>
    </row>
    <row r="18" spans="2:35" ht="31.5">
      <c r="C18" s="6" t="s">
        <v>69</v>
      </c>
      <c r="D18" s="6" t="s">
        <v>73</v>
      </c>
      <c r="E18" s="6" t="s">
        <v>48</v>
      </c>
      <c r="F18" s="6" t="s">
        <v>68</v>
      </c>
      <c r="J18" s="82"/>
      <c r="P18" s="82"/>
      <c r="V18" s="82"/>
      <c r="AB18" s="82"/>
      <c r="AH18" s="82"/>
    </row>
    <row r="19" spans="2:35">
      <c r="B19" s="32" t="str">
        <f>C4</f>
        <v>Approved Calendar 2014</v>
      </c>
      <c r="C19" s="33">
        <f>C15</f>
        <v>482000</v>
      </c>
      <c r="D19" s="33">
        <f t="shared" ref="D19:F19" si="28">D15</f>
        <v>991000</v>
      </c>
      <c r="E19" s="33">
        <f t="shared" si="28"/>
        <v>1473000</v>
      </c>
      <c r="F19" s="33">
        <f t="shared" si="28"/>
        <v>277100</v>
      </c>
    </row>
    <row r="20" spans="2:35">
      <c r="B20" s="32" t="str">
        <f>I4</f>
        <v>Projection Calendar 2015</v>
      </c>
      <c r="C20" s="33">
        <f>I15</f>
        <v>544674.375</v>
      </c>
      <c r="D20" s="33">
        <f t="shared" ref="D20:F20" si="29">J15</f>
        <v>1125039.9999999998</v>
      </c>
      <c r="E20" s="33">
        <f t="shared" si="29"/>
        <v>1669714.375</v>
      </c>
      <c r="F20" s="33">
        <f t="shared" si="29"/>
        <v>282540.47499999998</v>
      </c>
    </row>
    <row r="21" spans="2:35">
      <c r="B21" s="32" t="str">
        <f>O4</f>
        <v>Projection Calendar 2016</v>
      </c>
      <c r="C21" s="33">
        <f>O15</f>
        <v>564827.29515624978</v>
      </c>
      <c r="D21" s="33">
        <f>P15</f>
        <v>1131433.8218749999</v>
      </c>
      <c r="E21" s="33">
        <f>Q15</f>
        <v>1696261.1170312497</v>
      </c>
      <c r="F21" s="33">
        <f>R15</f>
        <v>296779.23375624995</v>
      </c>
    </row>
    <row r="22" spans="2:35">
      <c r="B22" s="32" t="str">
        <f>U4</f>
        <v>Projection Calendar 2017</v>
      </c>
      <c r="C22" s="33">
        <f>U15</f>
        <v>602524.45451789047</v>
      </c>
      <c r="D22" s="33">
        <f>V15</f>
        <v>1222560.0045078122</v>
      </c>
      <c r="E22" s="33">
        <f>W15</f>
        <v>1825084.4590257024</v>
      </c>
      <c r="F22" s="33">
        <f>X15</f>
        <v>304138.19570664677</v>
      </c>
    </row>
    <row r="23" spans="2:35">
      <c r="B23" s="77" t="str">
        <f>AA4</f>
        <v>Projection Calendar 2018</v>
      </c>
      <c r="C23" s="33">
        <f>AA15</f>
        <v>623355.16491426411</v>
      </c>
      <c r="D23" s="33">
        <f>AB15</f>
        <v>1246754.4799304779</v>
      </c>
      <c r="E23" s="33">
        <f>AC15</f>
        <v>1870109.644844742</v>
      </c>
      <c r="F23" s="33">
        <f>AD15</f>
        <v>317377.34419413941</v>
      </c>
    </row>
    <row r="24" spans="2:35">
      <c r="B24" s="32" t="str">
        <f>AG4</f>
        <v>Projection Calendar 2019</v>
      </c>
      <c r="C24" s="33">
        <f>AG15</f>
        <v>639071.04405573662</v>
      </c>
      <c r="D24" s="33">
        <f>AH15</f>
        <v>1273232.3495240826</v>
      </c>
      <c r="E24" s="33">
        <f>AI15</f>
        <v>1912303.3935798192</v>
      </c>
      <c r="F24" s="33">
        <f>AJ15</f>
        <v>324686.61396876373</v>
      </c>
    </row>
    <row r="27" spans="2:35">
      <c r="B27" s="28"/>
      <c r="C27" s="6" t="s">
        <v>58</v>
      </c>
      <c r="D27" s="6" t="s">
        <v>65</v>
      </c>
      <c r="E27" s="6" t="s">
        <v>74</v>
      </c>
      <c r="F27" s="6" t="s">
        <v>81</v>
      </c>
      <c r="G27" s="6" t="s">
        <v>82</v>
      </c>
      <c r="H27" s="6" t="s">
        <v>83</v>
      </c>
    </row>
    <row r="28" spans="2:35">
      <c r="B28" s="32" t="s">
        <v>69</v>
      </c>
      <c r="C28" s="34">
        <f>C19</f>
        <v>482000</v>
      </c>
      <c r="D28" s="34">
        <f>C20</f>
        <v>544674.375</v>
      </c>
      <c r="E28" s="34">
        <f>C21</f>
        <v>564827.29515624978</v>
      </c>
      <c r="F28" s="34">
        <f>C22</f>
        <v>602524.45451789047</v>
      </c>
      <c r="G28" s="34">
        <f>C23</f>
        <v>623355.16491426411</v>
      </c>
      <c r="H28" s="34">
        <f>C24</f>
        <v>639071.04405573662</v>
      </c>
    </row>
    <row r="29" spans="2:35">
      <c r="B29" s="32" t="s">
        <v>73</v>
      </c>
      <c r="C29" s="34">
        <f>D19</f>
        <v>991000</v>
      </c>
      <c r="D29" s="34">
        <f>D20</f>
        <v>1125039.9999999998</v>
      </c>
      <c r="E29" s="34">
        <f>D21</f>
        <v>1131433.8218749999</v>
      </c>
      <c r="F29" s="34">
        <f>D22</f>
        <v>1222560.0045078122</v>
      </c>
      <c r="G29" s="34">
        <f>D23</f>
        <v>1246754.4799304779</v>
      </c>
      <c r="H29" s="34">
        <f>D24</f>
        <v>1273232.3495240826</v>
      </c>
    </row>
    <row r="30" spans="2:35">
      <c r="B30" s="32" t="s">
        <v>48</v>
      </c>
      <c r="C30" s="34">
        <f>E19</f>
        <v>1473000</v>
      </c>
      <c r="D30" s="34">
        <f>E20</f>
        <v>1669714.375</v>
      </c>
      <c r="E30" s="34">
        <f>E21</f>
        <v>1696261.1170312497</v>
      </c>
      <c r="F30" s="34">
        <f>E22</f>
        <v>1825084.4590257024</v>
      </c>
      <c r="G30" s="34">
        <f>E23</f>
        <v>1870109.644844742</v>
      </c>
      <c r="H30" s="34">
        <f>E24</f>
        <v>1912303.3935798192</v>
      </c>
    </row>
    <row r="31" spans="2:35">
      <c r="B31" s="32" t="s">
        <v>49</v>
      </c>
      <c r="C31" s="34">
        <f>F19</f>
        <v>277100</v>
      </c>
      <c r="D31" s="34">
        <f>F20</f>
        <v>282540.47499999998</v>
      </c>
      <c r="E31" s="34">
        <f>F21</f>
        <v>296779.23375624995</v>
      </c>
      <c r="F31" s="34">
        <f>F22</f>
        <v>304138.19570664677</v>
      </c>
      <c r="G31" s="34">
        <f>F23</f>
        <v>317377.34419413941</v>
      </c>
      <c r="H31" s="34">
        <f>F24</f>
        <v>324686.61396876373</v>
      </c>
    </row>
    <row r="32" spans="2:35">
      <c r="B32" s="32" t="s">
        <v>60</v>
      </c>
      <c r="C32" s="35">
        <f>F16</f>
        <v>1.7318750000000001</v>
      </c>
      <c r="D32" s="35">
        <f>L16</f>
        <v>1.7658779687499999</v>
      </c>
      <c r="E32" s="35">
        <f>R16</f>
        <v>1.8548702109765622</v>
      </c>
      <c r="F32" s="35">
        <f>X16</f>
        <v>1.9008637231665424</v>
      </c>
      <c r="G32" s="35">
        <f>AD16</f>
        <v>1.9836084012133712</v>
      </c>
      <c r="H32" s="35">
        <f>AJ16</f>
        <v>2.0292913373047732</v>
      </c>
    </row>
    <row r="35" spans="2:8">
      <c r="B35" s="36" t="s">
        <v>48</v>
      </c>
      <c r="C35" s="6" t="s">
        <v>58</v>
      </c>
      <c r="D35" s="6" t="s">
        <v>65</v>
      </c>
      <c r="E35" s="6" t="s">
        <v>74</v>
      </c>
      <c r="F35" s="6" t="s">
        <v>81</v>
      </c>
      <c r="G35" s="6" t="s">
        <v>82</v>
      </c>
      <c r="H35" s="6" t="s">
        <v>83</v>
      </c>
    </row>
    <row r="36" spans="2:8">
      <c r="B36" s="37" t="s">
        <v>61</v>
      </c>
      <c r="C36" s="38">
        <f>SUM(E6:E8)</f>
        <v>739500</v>
      </c>
      <c r="D36" s="38">
        <f>SUM(K6:K8)</f>
        <v>907381.24999999988</v>
      </c>
      <c r="E36" s="38">
        <f>SUM(Q6:Q8)</f>
        <v>866369.77781249979</v>
      </c>
      <c r="F36" s="38">
        <f>SUM(W6:W8)</f>
        <v>964389.62905140594</v>
      </c>
      <c r="G36" s="38">
        <f>SUM(AC6:AC8)</f>
        <v>957149.03627273755</v>
      </c>
      <c r="H36" s="38">
        <f>SUM(AI6:AI8)</f>
        <v>972430.84047975508</v>
      </c>
    </row>
    <row r="37" spans="2:8">
      <c r="B37" s="39" t="s">
        <v>62</v>
      </c>
      <c r="C37" s="40">
        <f>SUM(E9:E11)</f>
        <v>323500</v>
      </c>
      <c r="D37" s="40">
        <f>SUM(K9:K11)</f>
        <v>350460.625</v>
      </c>
      <c r="E37" s="40">
        <f>SUM(Q9:Q11)</f>
        <v>405060.83796874993</v>
      </c>
      <c r="F37" s="40">
        <f>SUM(W9:W11)</f>
        <v>419408.11423679674</v>
      </c>
      <c r="G37" s="40">
        <f>SUM(AC9:AC11)</f>
        <v>462489.4386296923</v>
      </c>
      <c r="H37" s="40">
        <f>SUM(AI9:AI11)</f>
        <v>471814.20882357843</v>
      </c>
    </row>
    <row r="38" spans="2:8">
      <c r="B38" s="41" t="s">
        <v>43</v>
      </c>
      <c r="C38" s="42">
        <f>SUM(E12:E14)</f>
        <v>410000</v>
      </c>
      <c r="D38" s="42">
        <f>SUM(K12:K14)</f>
        <v>411872.5</v>
      </c>
      <c r="E38" s="42">
        <f>SUM(Q12:Q14)</f>
        <v>424830.50124999997</v>
      </c>
      <c r="F38" s="42">
        <f>SUM(W12:W14)</f>
        <v>441286.71573749988</v>
      </c>
      <c r="G38" s="42">
        <f>SUM(AC12:AC14)</f>
        <v>450471.16994231235</v>
      </c>
      <c r="H38" s="42">
        <f>SUM(AI12:AI14)</f>
        <v>468058.34427648556</v>
      </c>
    </row>
    <row r="39" spans="2:8">
      <c r="B39" s="43" t="s">
        <v>55</v>
      </c>
      <c r="C39" s="44">
        <f>SUM(C36:C38)</f>
        <v>1473000</v>
      </c>
      <c r="D39" s="44">
        <f t="shared" ref="D39:E39" si="30">SUM(D36:D38)</f>
        <v>1669714.375</v>
      </c>
      <c r="E39" s="44">
        <f t="shared" si="30"/>
        <v>1696261.1170312497</v>
      </c>
      <c r="F39" s="44">
        <f t="shared" ref="F39:G39" si="31">SUM(F36:F38)</f>
        <v>1825084.4590257024</v>
      </c>
      <c r="G39" s="44">
        <f t="shared" si="31"/>
        <v>1870109.6448447423</v>
      </c>
      <c r="H39" s="44">
        <f t="shared" ref="H39" si="32">SUM(H36:H38)</f>
        <v>1912303.393579819</v>
      </c>
    </row>
    <row r="42" spans="2:8">
      <c r="B42" s="36" t="s">
        <v>63</v>
      </c>
      <c r="C42" s="6" t="s">
        <v>58</v>
      </c>
      <c r="D42" s="6" t="s">
        <v>65</v>
      </c>
      <c r="E42" s="6" t="s">
        <v>74</v>
      </c>
      <c r="F42" s="6" t="s">
        <v>81</v>
      </c>
      <c r="G42" s="6" t="s">
        <v>82</v>
      </c>
      <c r="H42" s="6" t="s">
        <v>83</v>
      </c>
    </row>
    <row r="43" spans="2:8">
      <c r="B43" s="37" t="s">
        <v>61</v>
      </c>
      <c r="C43" s="38">
        <f>SUM(E6:F8)</f>
        <v>751100</v>
      </c>
      <c r="D43" s="38">
        <f>SUM(K6:L8)</f>
        <v>921327.34999999986</v>
      </c>
      <c r="E43" s="38">
        <f>SUM(Q6:R8)</f>
        <v>879534.50797499972</v>
      </c>
      <c r="F43" s="38">
        <f>SUM(W6:X8)</f>
        <v>978901.71039141237</v>
      </c>
      <c r="G43" s="38">
        <f>SUM(AC6:AD8)</f>
        <v>971421.54749478132</v>
      </c>
      <c r="H43" s="38">
        <f>SUM(AI6:AJ8)</f>
        <v>986800.81637436303</v>
      </c>
    </row>
    <row r="44" spans="2:8">
      <c r="B44" s="39" t="s">
        <v>62</v>
      </c>
      <c r="C44" s="40">
        <f>SUM(E9:F11)</f>
        <v>397000</v>
      </c>
      <c r="D44" s="40">
        <f>SUM(K9:L11)</f>
        <v>431787.5</v>
      </c>
      <c r="E44" s="40">
        <f>SUM(Q9:R11)</f>
        <v>499783.5878124999</v>
      </c>
      <c r="F44" s="40">
        <f>SUM(W9:X11)</f>
        <v>517047.67895343737</v>
      </c>
      <c r="G44" s="40">
        <f>SUM(AC9:AD11)</f>
        <v>570727.92370703793</v>
      </c>
      <c r="H44" s="40">
        <f>SUM(AI9:AJ11)</f>
        <v>584058.71673354344</v>
      </c>
    </row>
    <row r="45" spans="2:8">
      <c r="B45" s="41" t="s">
        <v>43</v>
      </c>
      <c r="C45" s="42">
        <f>SUM(E12:F14)</f>
        <v>602000</v>
      </c>
      <c r="D45" s="42">
        <f>SUM(K12:L14)</f>
        <v>599140</v>
      </c>
      <c r="E45" s="42">
        <f>SUM(Q12:R14)</f>
        <v>613722.25499999989</v>
      </c>
      <c r="F45" s="42">
        <f>SUM(W12:X14)</f>
        <v>633273.26538749982</v>
      </c>
      <c r="G45" s="42">
        <f>SUM(AC12:AD14)</f>
        <v>645337.51783706225</v>
      </c>
      <c r="H45" s="42">
        <f>SUM(AI12:AJ14)</f>
        <v>666130.47444067639</v>
      </c>
    </row>
    <row r="46" spans="2:8">
      <c r="B46" s="43" t="s">
        <v>55</v>
      </c>
      <c r="C46" s="44">
        <f>SUM(C43:C45)</f>
        <v>1750100</v>
      </c>
      <c r="D46" s="44">
        <f t="shared" ref="D46:E46" si="33">SUM(D43:D45)</f>
        <v>1952254.8499999999</v>
      </c>
      <c r="E46" s="44">
        <f t="shared" si="33"/>
        <v>1993040.3507874995</v>
      </c>
      <c r="F46" s="44">
        <f t="shared" ref="F46:H46" si="34">SUM(F43:F45)</f>
        <v>2129222.6547323493</v>
      </c>
      <c r="G46" s="44">
        <f t="shared" si="34"/>
        <v>2187486.9890388818</v>
      </c>
      <c r="H46" s="44">
        <f t="shared" si="34"/>
        <v>2236990.0075485827</v>
      </c>
    </row>
    <row r="48" spans="2:8">
      <c r="B48" s="36" t="s">
        <v>174</v>
      </c>
      <c r="C48" s="6" t="s">
        <v>58</v>
      </c>
      <c r="D48" s="6" t="s">
        <v>65</v>
      </c>
      <c r="E48" s="6" t="s">
        <v>74</v>
      </c>
      <c r="F48" s="6" t="s">
        <v>81</v>
      </c>
      <c r="G48" s="6" t="s">
        <v>82</v>
      </c>
      <c r="H48" s="6" t="s">
        <v>83</v>
      </c>
    </row>
    <row r="49" spans="2:8">
      <c r="B49" s="148" t="s">
        <v>173</v>
      </c>
      <c r="C49" s="80"/>
      <c r="D49" s="149">
        <f>K15-E$15</f>
        <v>196714.375</v>
      </c>
      <c r="E49" s="149">
        <f>Q15-K$15</f>
        <v>26546.742031249683</v>
      </c>
      <c r="F49" s="149">
        <f>W15-Q$15</f>
        <v>128823.34199445276</v>
      </c>
      <c r="G49" s="149">
        <f>AC15-W$15</f>
        <v>45025.185819039587</v>
      </c>
      <c r="H49" s="149">
        <f>AI15-$AC$15</f>
        <v>42193.748735077213</v>
      </c>
    </row>
    <row r="50" spans="2:8">
      <c r="B50" s="148" t="s">
        <v>92</v>
      </c>
      <c r="C50" s="80"/>
      <c r="D50" s="149">
        <f>K15-E$15</f>
        <v>196714.375</v>
      </c>
      <c r="E50" s="149">
        <f>Q15-$E$15</f>
        <v>223261.11703124968</v>
      </c>
      <c r="F50" s="149">
        <f>W15-$E$15</f>
        <v>352084.45902570244</v>
      </c>
      <c r="G50" s="149">
        <f>AC15-$E$15</f>
        <v>397109.64484474203</v>
      </c>
      <c r="H50" s="149">
        <f>AI15-$E$15</f>
        <v>439303.39357981924</v>
      </c>
    </row>
  </sheetData>
  <mergeCells count="12">
    <mergeCell ref="AG4:AJ4"/>
    <mergeCell ref="C4:F4"/>
    <mergeCell ref="I4:L4"/>
    <mergeCell ref="O4:R4"/>
    <mergeCell ref="U4:X4"/>
    <mergeCell ref="AA4:AD4"/>
    <mergeCell ref="AP8:AS8"/>
    <mergeCell ref="AP9:AS9"/>
    <mergeCell ref="AP10:AS10"/>
    <mergeCell ref="AP5:AS5"/>
    <mergeCell ref="AP6:AS6"/>
    <mergeCell ref="AP7:AS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1:X78"/>
  <sheetViews>
    <sheetView zoomScaleNormal="100" zoomScalePageLayoutView="78" workbookViewId="0">
      <selection activeCell="A8" sqref="A8"/>
    </sheetView>
  </sheetViews>
  <sheetFormatPr defaultColWidth="8.85546875" defaultRowHeight="15.75"/>
  <cols>
    <col min="1" max="1" width="75.28515625" style="3" bestFit="1" customWidth="1"/>
    <col min="2" max="2" width="13.7109375" style="3" hidden="1" customWidth="1"/>
    <col min="3" max="3" width="10.28515625" style="3" hidden="1" customWidth="1"/>
    <col min="4" max="4" width="12" style="3" hidden="1" customWidth="1"/>
    <col min="5" max="5" width="13.7109375" style="3" hidden="1" customWidth="1"/>
    <col min="6" max="6" width="12.42578125" style="3" hidden="1" customWidth="1"/>
    <col min="7" max="7" width="7.28515625" style="3" hidden="1" customWidth="1"/>
    <col min="8" max="9" width="9.5703125" style="3" hidden="1" customWidth="1"/>
    <col min="10" max="10" width="8.42578125" style="3" hidden="1" customWidth="1"/>
    <col min="11" max="11" width="255.7109375" style="3" bestFit="1" customWidth="1"/>
    <col min="12" max="12" width="8.85546875" style="84"/>
    <col min="13" max="16384" width="8.85546875" style="3"/>
  </cols>
  <sheetData>
    <row r="1" spans="1:24">
      <c r="A1" s="3" t="s">
        <v>94</v>
      </c>
    </row>
    <row r="2" spans="1:24">
      <c r="A2" s="85" t="s">
        <v>186</v>
      </c>
    </row>
    <row r="3" spans="1:24">
      <c r="A3" s="4"/>
    </row>
    <row r="4" spans="1:24">
      <c r="A4" s="3" t="s">
        <v>95</v>
      </c>
    </row>
    <row r="5" spans="1:24">
      <c r="A5" s="3" t="s">
        <v>96</v>
      </c>
    </row>
    <row r="7" spans="1:24" ht="29.25" customHeight="1">
      <c r="D7" s="86">
        <f>D77</f>
        <v>1473000</v>
      </c>
      <c r="E7" s="87"/>
      <c r="F7" s="88"/>
      <c r="G7" s="227" t="s">
        <v>97</v>
      </c>
      <c r="H7" s="228"/>
      <c r="I7" s="228"/>
      <c r="J7" s="229"/>
    </row>
    <row r="8" spans="1:24" s="94" customFormat="1" ht="63">
      <c r="A8" s="89" t="s">
        <v>98</v>
      </c>
      <c r="B8" s="90" t="s">
        <v>69</v>
      </c>
      <c r="C8" s="90" t="s">
        <v>99</v>
      </c>
      <c r="D8" s="90" t="s">
        <v>100</v>
      </c>
      <c r="E8" s="90" t="s">
        <v>101</v>
      </c>
      <c r="F8" s="90" t="s">
        <v>102</v>
      </c>
      <c r="G8" s="91" t="s">
        <v>103</v>
      </c>
      <c r="H8" s="91" t="s">
        <v>104</v>
      </c>
      <c r="I8" s="91" t="s">
        <v>105</v>
      </c>
      <c r="J8" s="91" t="s">
        <v>106</v>
      </c>
      <c r="K8" s="92" t="s">
        <v>107</v>
      </c>
      <c r="L8" s="93"/>
    </row>
    <row r="9" spans="1:24" s="94" customFormat="1">
      <c r="A9" s="95" t="s">
        <v>44</v>
      </c>
      <c r="B9" s="96"/>
      <c r="C9" s="96"/>
      <c r="D9" s="96"/>
      <c r="E9" s="96"/>
      <c r="F9" s="97"/>
      <c r="G9" s="97"/>
      <c r="H9" s="98"/>
      <c r="I9" s="97"/>
      <c r="J9" s="97"/>
      <c r="K9" s="97"/>
      <c r="L9" s="99"/>
      <c r="M9" s="97"/>
      <c r="N9" s="97"/>
      <c r="O9" s="97"/>
      <c r="P9" s="97"/>
      <c r="Q9" s="97"/>
      <c r="R9" s="97"/>
      <c r="S9" s="97"/>
      <c r="T9" s="97"/>
      <c r="U9" s="97"/>
      <c r="V9" s="97"/>
      <c r="W9" s="97"/>
      <c r="X9" s="97"/>
    </row>
    <row r="10" spans="1:24" s="94" customFormat="1">
      <c r="A10" s="100" t="s">
        <v>108</v>
      </c>
      <c r="B10" s="101">
        <f t="shared" ref="B10:B14" si="0">G10*H10</f>
        <v>18000</v>
      </c>
      <c r="C10" s="101">
        <f t="shared" ref="C10:C14" si="1">G10*I10</f>
        <v>81000</v>
      </c>
      <c r="D10" s="101">
        <f t="shared" ref="D10:D14" si="2">SUM(B10:C10)</f>
        <v>99000</v>
      </c>
      <c r="E10" s="101">
        <f t="shared" ref="E10:E14" si="3">G10*J10</f>
        <v>2250</v>
      </c>
      <c r="F10" s="102"/>
      <c r="G10" s="103">
        <v>9</v>
      </c>
      <c r="H10" s="98">
        <v>2000</v>
      </c>
      <c r="I10" s="104">
        <v>9000</v>
      </c>
      <c r="J10" s="104">
        <v>250</v>
      </c>
      <c r="K10" s="105" t="str">
        <f>CONCATENATE("Average 4-year review cycle @ $",H10/1000,"K each. (Res: Freezers, LEDs, Dishwashers, Fridge Decom, Montana House 2, Estar MF Homes).; Com: LED Traffic signals, APS). Assume staff does most of the updating and 3rd party contractor reviews.")</f>
        <v>Average 4-year review cycle @ $2K each. (Res: Freezers, LEDs, Dishwashers, Fridge Decom, Montana House 2, Estar MF Homes).; Com: LED Traffic signals, APS). Assume staff does most of the updating and 3rd party contractor reviews.</v>
      </c>
      <c r="L10" s="99"/>
      <c r="M10" s="97"/>
      <c r="N10" s="97"/>
      <c r="O10" s="97"/>
      <c r="P10" s="97"/>
      <c r="Q10" s="97"/>
      <c r="R10" s="97"/>
      <c r="S10" s="97"/>
      <c r="T10" s="97"/>
      <c r="U10" s="97"/>
      <c r="V10" s="97"/>
      <c r="W10" s="97"/>
      <c r="X10" s="97"/>
    </row>
    <row r="11" spans="1:24" s="94" customFormat="1">
      <c r="A11" s="100" t="s">
        <v>109</v>
      </c>
      <c r="B11" s="101">
        <f t="shared" si="0"/>
        <v>22500</v>
      </c>
      <c r="C11" s="101">
        <f t="shared" si="1"/>
        <v>175000</v>
      </c>
      <c r="D11" s="101">
        <f t="shared" si="2"/>
        <v>197500</v>
      </c>
      <c r="E11" s="101">
        <f t="shared" si="3"/>
        <v>1250</v>
      </c>
      <c r="F11" s="106"/>
      <c r="G11" s="103">
        <v>5</v>
      </c>
      <c r="H11" s="98">
        <v>4500</v>
      </c>
      <c r="I11" s="104">
        <v>35000</v>
      </c>
      <c r="J11" s="104">
        <v>250</v>
      </c>
      <c r="K11" s="105" t="s">
        <v>110</v>
      </c>
      <c r="L11" s="99"/>
      <c r="M11" s="97"/>
      <c r="N11" s="97"/>
      <c r="O11" s="97"/>
      <c r="P11" s="97"/>
      <c r="Q11" s="97"/>
      <c r="R11" s="97"/>
      <c r="S11" s="97"/>
      <c r="T11" s="97"/>
      <c r="U11" s="97"/>
      <c r="V11" s="97"/>
      <c r="W11" s="97"/>
      <c r="X11" s="97"/>
    </row>
    <row r="12" spans="1:24" s="94" customFormat="1">
      <c r="A12" s="105" t="s">
        <v>111</v>
      </c>
      <c r="B12" s="101">
        <f t="shared" si="0"/>
        <v>8000</v>
      </c>
      <c r="C12" s="101">
        <f t="shared" si="1"/>
        <v>36000</v>
      </c>
      <c r="D12" s="101">
        <f t="shared" si="2"/>
        <v>44000</v>
      </c>
      <c r="E12" s="101">
        <f t="shared" si="3"/>
        <v>1000</v>
      </c>
      <c r="F12" s="102"/>
      <c r="G12" s="103">
        <v>4</v>
      </c>
      <c r="H12" s="98">
        <v>2000</v>
      </c>
      <c r="I12" s="104">
        <v>9000</v>
      </c>
      <c r="J12" s="104">
        <v>250</v>
      </c>
      <c r="K12" s="105" t="str">
        <f>CONCATENATE("Average 4-year review cycle @ $",I12/1000,"K each. (Res: HPWH, VSHP upgrade &amp; conversion, HPMH). Expect staff does most of updating and 3rd party contractor reviews. Includes staff time to analyze provisional data and incorporate results into workbooks.")</f>
        <v>Average 4-year review cycle @ $9K each. (Res: HPWH, VSHP upgrade &amp; conversion, HPMH). Expect staff does most of updating and 3rd party contractor reviews. Includes staff time to analyze provisional data and incorporate results into workbooks.</v>
      </c>
      <c r="L12" s="107"/>
      <c r="M12" s="97"/>
      <c r="N12" s="97"/>
      <c r="O12" s="97"/>
      <c r="P12" s="97"/>
      <c r="Q12" s="97"/>
      <c r="R12" s="97"/>
      <c r="S12" s="97"/>
      <c r="T12" s="97"/>
      <c r="U12" s="97"/>
      <c r="V12" s="97"/>
      <c r="W12" s="97"/>
      <c r="X12" s="97"/>
    </row>
    <row r="13" spans="1:24" s="94" customFormat="1">
      <c r="A13" s="105" t="s">
        <v>112</v>
      </c>
      <c r="B13" s="101">
        <f t="shared" si="0"/>
        <v>4500</v>
      </c>
      <c r="C13" s="101">
        <f t="shared" si="1"/>
        <v>30000</v>
      </c>
      <c r="D13" s="101">
        <f t="shared" si="2"/>
        <v>34500</v>
      </c>
      <c r="E13" s="101">
        <f t="shared" si="3"/>
        <v>250</v>
      </c>
      <c r="F13" s="102"/>
      <c r="G13" s="103">
        <v>1</v>
      </c>
      <c r="H13" s="98">
        <v>4500</v>
      </c>
      <c r="I13" s="104">
        <v>30000</v>
      </c>
      <c r="J13" s="104">
        <v>250</v>
      </c>
      <c r="K13" s="105" t="s">
        <v>113</v>
      </c>
      <c r="L13" s="107"/>
      <c r="M13" s="97"/>
      <c r="N13" s="97"/>
      <c r="O13" s="97"/>
      <c r="P13" s="97"/>
      <c r="Q13" s="97"/>
      <c r="R13" s="97"/>
      <c r="S13" s="97"/>
      <c r="T13" s="97"/>
      <c r="U13" s="97"/>
      <c r="V13" s="97"/>
      <c r="W13" s="97"/>
      <c r="X13" s="97"/>
    </row>
    <row r="14" spans="1:24" s="94" customFormat="1">
      <c r="A14" s="105" t="s">
        <v>114</v>
      </c>
      <c r="B14" s="101">
        <f t="shared" si="0"/>
        <v>12499.999999999998</v>
      </c>
      <c r="C14" s="101">
        <f t="shared" si="1"/>
        <v>88000</v>
      </c>
      <c r="D14" s="101">
        <f t="shared" si="2"/>
        <v>100500</v>
      </c>
      <c r="E14" s="101">
        <f t="shared" si="3"/>
        <v>2750</v>
      </c>
      <c r="F14" s="102"/>
      <c r="G14" s="103">
        <v>11</v>
      </c>
      <c r="H14" s="98">
        <f>12500/G14</f>
        <v>1136.3636363636363</v>
      </c>
      <c r="I14" s="104">
        <v>8000</v>
      </c>
      <c r="J14" s="104">
        <v>250</v>
      </c>
      <c r="K14" s="105" t="s">
        <v>115</v>
      </c>
      <c r="L14" s="107"/>
      <c r="M14" s="97"/>
      <c r="N14" s="97"/>
      <c r="O14" s="97"/>
      <c r="P14" s="97"/>
      <c r="Q14" s="97"/>
      <c r="R14" s="97"/>
      <c r="S14" s="97"/>
      <c r="T14" s="97"/>
      <c r="U14" s="97"/>
      <c r="V14" s="97"/>
      <c r="W14" s="97"/>
      <c r="X14" s="97"/>
    </row>
    <row r="15" spans="1:24" s="94" customFormat="1">
      <c r="A15" s="95" t="str">
        <f>CONCATENATE("Subtotal ",A9)</f>
        <v>Subtotal Existing Measure Review &amp; Updates</v>
      </c>
      <c r="B15" s="108">
        <f>SUM(B10:B14)</f>
        <v>65500</v>
      </c>
      <c r="C15" s="108">
        <f>SUM(C10:C14)</f>
        <v>410000</v>
      </c>
      <c r="D15" s="108">
        <f>SUM(D10:D14)</f>
        <v>475500</v>
      </c>
      <c r="E15" s="108">
        <f>SUM(E10:E14)</f>
        <v>7500</v>
      </c>
      <c r="F15" s="109">
        <f>D15/$D$77</f>
        <v>0.32281059063136458</v>
      </c>
      <c r="G15" s="103"/>
      <c r="H15" s="98"/>
      <c r="I15" s="110"/>
      <c r="J15" s="104"/>
      <c r="K15" s="97"/>
      <c r="L15" s="99"/>
      <c r="M15" s="97"/>
      <c r="N15" s="97"/>
      <c r="O15" s="97"/>
      <c r="P15" s="97"/>
      <c r="Q15" s="97"/>
      <c r="R15" s="97"/>
      <c r="S15" s="97"/>
      <c r="T15" s="97"/>
      <c r="U15" s="97"/>
      <c r="V15" s="97"/>
      <c r="W15" s="97"/>
      <c r="X15" s="97"/>
    </row>
    <row r="16" spans="1:24" s="94" customFormat="1">
      <c r="A16" s="97"/>
      <c r="B16" s="101"/>
      <c r="C16" s="101"/>
      <c r="D16" s="101"/>
      <c r="E16" s="111"/>
      <c r="F16" s="103"/>
      <c r="G16" s="103"/>
      <c r="H16" s="103"/>
      <c r="I16" s="112"/>
      <c r="J16" s="104"/>
      <c r="K16" s="97"/>
      <c r="L16" s="99"/>
      <c r="M16" s="97"/>
      <c r="N16" s="97"/>
      <c r="O16" s="97"/>
      <c r="P16" s="97"/>
      <c r="Q16" s="97"/>
      <c r="R16" s="97"/>
      <c r="S16" s="97"/>
      <c r="T16" s="97"/>
      <c r="U16" s="97"/>
      <c r="V16" s="97"/>
      <c r="W16" s="97"/>
      <c r="X16" s="97"/>
    </row>
    <row r="17" spans="1:24" s="94" customFormat="1">
      <c r="A17" s="97"/>
      <c r="B17" s="101"/>
      <c r="C17" s="101"/>
      <c r="D17" s="101"/>
      <c r="E17" s="111"/>
      <c r="F17" s="103"/>
      <c r="G17" s="103"/>
      <c r="H17" s="103"/>
      <c r="I17" s="104"/>
      <c r="J17" s="104"/>
      <c r="K17" s="97"/>
      <c r="L17" s="99"/>
      <c r="M17" s="97"/>
      <c r="N17" s="97"/>
      <c r="O17" s="97"/>
      <c r="P17" s="97"/>
      <c r="Q17" s="97"/>
      <c r="R17" s="97"/>
      <c r="S17" s="97"/>
      <c r="T17" s="97"/>
      <c r="U17" s="97"/>
      <c r="V17" s="97"/>
      <c r="W17" s="97"/>
      <c r="X17" s="97"/>
    </row>
    <row r="18" spans="1:24" s="94" customFormat="1">
      <c r="A18" s="95" t="s">
        <v>47</v>
      </c>
      <c r="B18" s="101"/>
      <c r="C18" s="101"/>
      <c r="D18" s="101"/>
      <c r="E18" s="111"/>
      <c r="F18" s="103"/>
      <c r="G18" s="103"/>
      <c r="H18" s="98"/>
      <c r="I18" s="104"/>
      <c r="J18" s="104"/>
      <c r="K18" s="97"/>
      <c r="L18" s="99"/>
      <c r="M18" s="97"/>
      <c r="N18" s="97"/>
      <c r="O18" s="97"/>
      <c r="P18" s="97"/>
      <c r="Q18" s="97"/>
      <c r="R18" s="97"/>
      <c r="S18" s="97"/>
      <c r="T18" s="97"/>
      <c r="U18" s="97"/>
      <c r="V18" s="97"/>
      <c r="W18" s="97"/>
      <c r="X18" s="97"/>
    </row>
    <row r="19" spans="1:24" s="94" customFormat="1">
      <c r="A19" s="105" t="s">
        <v>116</v>
      </c>
      <c r="B19" s="101">
        <f t="shared" ref="B19:B21" si="4">G19*H19</f>
        <v>40000</v>
      </c>
      <c r="C19" s="101">
        <f t="shared" ref="C19:C21" si="5">G19*I19</f>
        <v>8000</v>
      </c>
      <c r="D19" s="101">
        <f t="shared" ref="D19:D20" si="6">SUM(B19:C19)</f>
        <v>48000</v>
      </c>
      <c r="E19" s="101">
        <f t="shared" ref="E19:E21" si="7">G19*J19</f>
        <v>500</v>
      </c>
      <c r="F19" s="102"/>
      <c r="G19" s="103">
        <v>2</v>
      </c>
      <c r="H19" s="98">
        <v>20000</v>
      </c>
      <c r="I19" s="104">
        <v>4000</v>
      </c>
      <c r="J19" s="104">
        <v>250</v>
      </c>
      <c r="K19" s="105" t="str">
        <f>CONCATENATE("Develop Small &amp; Rural Measures (",G19," @ $",H19/1000,"K each).  Includes potential development by staff of specialized SRR measures from Proven RTF measures.")</f>
        <v>Develop Small &amp; Rural Measures (2 @ $20K each).  Includes potential development by staff of specialized SRR measures from Proven RTF measures.</v>
      </c>
      <c r="L19" s="113"/>
      <c r="M19" s="97"/>
      <c r="N19" s="97"/>
      <c r="O19" s="97"/>
      <c r="P19" s="97"/>
      <c r="Q19" s="97"/>
      <c r="R19" s="97"/>
      <c r="S19" s="97"/>
      <c r="T19" s="97"/>
      <c r="U19" s="97"/>
      <c r="V19" s="97"/>
      <c r="W19" s="97"/>
      <c r="X19" s="97"/>
    </row>
    <row r="20" spans="1:24" s="94" customFormat="1">
      <c r="A20" s="105" t="s">
        <v>117</v>
      </c>
      <c r="B20" s="101">
        <f t="shared" si="4"/>
        <v>16000</v>
      </c>
      <c r="C20" s="101">
        <f t="shared" si="5"/>
        <v>72000</v>
      </c>
      <c r="D20" s="101">
        <f t="shared" si="6"/>
        <v>88000</v>
      </c>
      <c r="E20" s="101">
        <f t="shared" si="7"/>
        <v>2000</v>
      </c>
      <c r="F20" s="102"/>
      <c r="G20" s="103">
        <v>8</v>
      </c>
      <c r="H20" s="98">
        <v>2000</v>
      </c>
      <c r="I20" s="104">
        <v>9000</v>
      </c>
      <c r="J20" s="104">
        <v>250</v>
      </c>
      <c r="K20" s="105" t="s">
        <v>118</v>
      </c>
      <c r="L20" s="99"/>
      <c r="M20" s="97"/>
      <c r="N20" s="97"/>
      <c r="O20" s="97"/>
      <c r="P20" s="97"/>
      <c r="Q20" s="97"/>
      <c r="R20" s="97"/>
      <c r="S20" s="97"/>
      <c r="T20" s="97"/>
      <c r="U20" s="97"/>
      <c r="V20" s="97"/>
      <c r="W20" s="97"/>
      <c r="X20" s="97"/>
    </row>
    <row r="21" spans="1:24" s="94" customFormat="1">
      <c r="A21" s="105" t="s">
        <v>119</v>
      </c>
      <c r="B21" s="101">
        <f t="shared" si="4"/>
        <v>9000</v>
      </c>
      <c r="C21" s="101">
        <f t="shared" si="5"/>
        <v>60000</v>
      </c>
      <c r="D21" s="101">
        <f t="shared" ref="D21" si="8">SUM(B21:C21)</f>
        <v>69000</v>
      </c>
      <c r="E21" s="101">
        <f t="shared" si="7"/>
        <v>500</v>
      </c>
      <c r="F21" s="102"/>
      <c r="G21" s="103">
        <v>2</v>
      </c>
      <c r="H21" s="98">
        <v>4500</v>
      </c>
      <c r="I21" s="104">
        <v>30000</v>
      </c>
      <c r="J21" s="104">
        <v>250</v>
      </c>
      <c r="K21" s="105" t="s">
        <v>120</v>
      </c>
      <c r="L21" s="99"/>
      <c r="M21" s="97"/>
      <c r="N21" s="97"/>
      <c r="O21" s="97"/>
      <c r="P21" s="97"/>
      <c r="Q21" s="97"/>
      <c r="R21" s="97"/>
      <c r="S21" s="97"/>
      <c r="T21" s="97"/>
      <c r="U21" s="97"/>
      <c r="V21" s="97"/>
      <c r="W21" s="97"/>
      <c r="X21" s="97"/>
    </row>
    <row r="22" spans="1:24" s="94" customFormat="1">
      <c r="A22" s="95" t="str">
        <f>CONCATENATE("Subtotal ",A18)</f>
        <v>Subtotal New Measure Development &amp; Review of Unsolicited Proposals</v>
      </c>
      <c r="B22" s="108">
        <f>SUM(B19:B21)</f>
        <v>65000</v>
      </c>
      <c r="C22" s="108">
        <f t="shared" ref="C22:E22" si="9">SUM(C19:C21)</f>
        <v>140000</v>
      </c>
      <c r="D22" s="108">
        <f t="shared" si="9"/>
        <v>205000</v>
      </c>
      <c r="E22" s="108">
        <f t="shared" si="9"/>
        <v>3000</v>
      </c>
      <c r="F22" s="109">
        <f>D22/$D$77</f>
        <v>0.13917175831636117</v>
      </c>
      <c r="G22" s="103"/>
      <c r="H22" s="103"/>
      <c r="I22" s="97"/>
      <c r="J22" s="97"/>
      <c r="K22" s="105"/>
      <c r="L22" s="99"/>
      <c r="M22" s="97"/>
      <c r="N22" s="97"/>
      <c r="O22" s="97"/>
      <c r="P22" s="97"/>
      <c r="Q22" s="97"/>
      <c r="R22" s="97"/>
      <c r="S22" s="97"/>
      <c r="T22" s="97"/>
      <c r="U22" s="97"/>
      <c r="V22" s="97"/>
      <c r="W22" s="97"/>
      <c r="X22" s="97"/>
    </row>
    <row r="23" spans="1:24" s="94" customFormat="1">
      <c r="A23" s="95"/>
      <c r="B23" s="101"/>
      <c r="C23" s="101"/>
      <c r="D23" s="101"/>
      <c r="E23" s="111"/>
      <c r="F23" s="103"/>
      <c r="G23" s="103"/>
      <c r="H23" s="103"/>
      <c r="I23" s="97"/>
      <c r="J23" s="97"/>
      <c r="K23" s="105"/>
      <c r="L23" s="99"/>
      <c r="M23" s="97"/>
      <c r="N23" s="97"/>
      <c r="O23" s="97"/>
      <c r="P23" s="97"/>
      <c r="Q23" s="97"/>
      <c r="R23" s="97"/>
      <c r="S23" s="97"/>
      <c r="T23" s="97"/>
      <c r="U23" s="97"/>
      <c r="V23" s="97"/>
      <c r="W23" s="97"/>
      <c r="X23" s="97"/>
    </row>
    <row r="24" spans="1:24" s="94" customFormat="1">
      <c r="A24" s="97"/>
      <c r="B24" s="101"/>
      <c r="C24" s="101"/>
      <c r="D24" s="101"/>
      <c r="E24" s="111"/>
      <c r="F24" s="103"/>
      <c r="G24" s="103"/>
      <c r="H24" s="103"/>
      <c r="I24" s="114"/>
      <c r="J24" s="114"/>
      <c r="K24" s="105"/>
      <c r="L24" s="99"/>
      <c r="M24" s="97"/>
      <c r="N24" s="97"/>
      <c r="O24" s="97"/>
      <c r="P24" s="97"/>
      <c r="Q24" s="97"/>
      <c r="R24" s="97"/>
      <c r="S24" s="97"/>
      <c r="T24" s="97"/>
      <c r="U24" s="97"/>
      <c r="V24" s="97"/>
      <c r="W24" s="97"/>
      <c r="X24" s="97"/>
    </row>
    <row r="25" spans="1:24">
      <c r="A25" s="95" t="s">
        <v>42</v>
      </c>
      <c r="B25" s="100"/>
      <c r="C25" s="100"/>
      <c r="D25" s="100"/>
      <c r="E25" s="100"/>
      <c r="F25" s="100"/>
      <c r="G25" s="100"/>
      <c r="H25" s="100"/>
      <c r="I25" s="114"/>
      <c r="J25" s="114"/>
      <c r="K25" s="105"/>
      <c r="L25" s="113"/>
      <c r="M25" s="114"/>
      <c r="N25" s="114"/>
      <c r="O25" s="114"/>
      <c r="P25" s="114"/>
      <c r="Q25" s="114"/>
      <c r="R25" s="114"/>
      <c r="S25" s="114"/>
      <c r="T25" s="114"/>
      <c r="U25" s="114"/>
      <c r="V25" s="114"/>
      <c r="W25" s="114"/>
      <c r="X25" s="114"/>
    </row>
    <row r="26" spans="1:24">
      <c r="A26" s="105" t="s">
        <v>121</v>
      </c>
      <c r="B26" s="101">
        <v>25000</v>
      </c>
      <c r="C26" s="101">
        <f t="shared" ref="C26" si="10">G26*I26</f>
        <v>5000</v>
      </c>
      <c r="D26" s="101">
        <f t="shared" ref="D26:D28" si="11">SUM(B26:C26)</f>
        <v>30000</v>
      </c>
      <c r="E26" s="101">
        <v>500</v>
      </c>
      <c r="F26" s="100"/>
      <c r="G26" s="103">
        <v>1</v>
      </c>
      <c r="H26" s="98">
        <v>20000</v>
      </c>
      <c r="I26" s="104">
        <v>5000</v>
      </c>
      <c r="J26" s="104">
        <v>200</v>
      </c>
      <c r="K26" s="105" t="s">
        <v>122</v>
      </c>
      <c r="L26" s="113"/>
      <c r="M26" s="114"/>
      <c r="N26" s="114"/>
      <c r="O26" s="114"/>
      <c r="P26" s="114"/>
      <c r="Q26" s="114"/>
      <c r="R26" s="114"/>
      <c r="S26" s="114"/>
      <c r="T26" s="114"/>
      <c r="U26" s="114"/>
      <c r="V26" s="114"/>
      <c r="W26" s="114"/>
      <c r="X26" s="114"/>
    </row>
    <row r="27" spans="1:24">
      <c r="A27" s="105" t="s">
        <v>123</v>
      </c>
      <c r="B27" s="101">
        <f>G27*H27</f>
        <v>0</v>
      </c>
      <c r="C27" s="101">
        <v>4000</v>
      </c>
      <c r="D27" s="101">
        <f t="shared" si="11"/>
        <v>4000</v>
      </c>
      <c r="E27" s="101">
        <f t="shared" ref="E27" si="12">G27*J27</f>
        <v>200</v>
      </c>
      <c r="F27" s="106"/>
      <c r="G27" s="103">
        <v>1</v>
      </c>
      <c r="H27" s="98">
        <v>0</v>
      </c>
      <c r="I27" s="104">
        <v>2500</v>
      </c>
      <c r="J27" s="104">
        <v>200</v>
      </c>
      <c r="K27" s="105" t="s">
        <v>124</v>
      </c>
      <c r="L27" s="113"/>
      <c r="M27" s="114"/>
      <c r="N27" s="114"/>
      <c r="O27" s="114"/>
      <c r="P27" s="114"/>
      <c r="Q27" s="114"/>
      <c r="R27" s="114"/>
      <c r="S27" s="114"/>
      <c r="T27" s="114"/>
      <c r="U27" s="114"/>
      <c r="V27" s="114"/>
      <c r="W27" s="114"/>
      <c r="X27" s="114"/>
    </row>
    <row r="28" spans="1:24">
      <c r="A28" s="105" t="s">
        <v>125</v>
      </c>
      <c r="B28" s="101">
        <v>15000</v>
      </c>
      <c r="C28" s="101">
        <v>10000</v>
      </c>
      <c r="D28" s="101">
        <f t="shared" si="11"/>
        <v>25000</v>
      </c>
      <c r="E28" s="101">
        <v>400</v>
      </c>
      <c r="F28" s="100"/>
      <c r="G28" s="103">
        <v>1</v>
      </c>
      <c r="H28" s="98">
        <v>10000</v>
      </c>
      <c r="I28" s="104">
        <v>5000</v>
      </c>
      <c r="J28" s="104">
        <v>200</v>
      </c>
      <c r="K28" s="105" t="s">
        <v>126</v>
      </c>
      <c r="L28" s="113"/>
      <c r="M28" s="114"/>
      <c r="N28" s="114"/>
      <c r="O28" s="114"/>
      <c r="P28" s="114"/>
      <c r="Q28" s="114"/>
      <c r="R28" s="114"/>
      <c r="S28" s="114"/>
      <c r="T28" s="114"/>
      <c r="U28" s="114"/>
      <c r="V28" s="114"/>
      <c r="W28" s="114"/>
      <c r="X28" s="114"/>
    </row>
    <row r="29" spans="1:24">
      <c r="A29" s="95" t="str">
        <f>CONCATENATE("Subtotal ",A25)</f>
        <v>Subtotal Standardization of Technical Analysis</v>
      </c>
      <c r="B29" s="108">
        <f>SUM(B26:B28)</f>
        <v>40000</v>
      </c>
      <c r="C29" s="108">
        <f t="shared" ref="C29:D29" si="13">SUM(C26:C28)</f>
        <v>19000</v>
      </c>
      <c r="D29" s="108">
        <f t="shared" si="13"/>
        <v>59000</v>
      </c>
      <c r="E29" s="108">
        <f>SUM(E26:E28)</f>
        <v>1100</v>
      </c>
      <c r="F29" s="109">
        <f>D29/$D$77</f>
        <v>4.005431093007468E-2</v>
      </c>
      <c r="G29" s="100"/>
      <c r="H29" s="100"/>
      <c r="I29" s="114"/>
      <c r="J29" s="114"/>
      <c r="K29" s="105"/>
      <c r="L29" s="113"/>
      <c r="M29" s="114"/>
      <c r="N29" s="114"/>
      <c r="O29" s="114"/>
      <c r="P29" s="114"/>
      <c r="Q29" s="114"/>
      <c r="R29" s="114"/>
      <c r="S29" s="114"/>
      <c r="T29" s="114"/>
      <c r="U29" s="114"/>
      <c r="V29" s="114"/>
      <c r="W29" s="114"/>
      <c r="X29" s="114"/>
    </row>
    <row r="30" spans="1:24">
      <c r="B30" s="115"/>
      <c r="C30" s="115"/>
      <c r="D30" s="115"/>
      <c r="E30" s="116"/>
      <c r="F30" s="117"/>
      <c r="G30" s="117"/>
      <c r="H30" s="117"/>
      <c r="K30" s="118"/>
    </row>
    <row r="31" spans="1:24">
      <c r="A31" s="119" t="s">
        <v>46</v>
      </c>
      <c r="B31" s="120"/>
      <c r="C31" s="120"/>
      <c r="D31" s="120"/>
      <c r="E31" s="121"/>
      <c r="F31" s="121"/>
      <c r="G31" s="121"/>
      <c r="H31" s="121"/>
      <c r="I31" s="122"/>
      <c r="J31" s="122"/>
      <c r="K31" s="123"/>
      <c r="L31" s="124"/>
      <c r="M31" s="122"/>
      <c r="N31" s="122"/>
      <c r="O31" s="122"/>
      <c r="P31" s="122"/>
      <c r="Q31" s="122"/>
      <c r="R31" s="122"/>
      <c r="S31" s="122"/>
      <c r="T31" s="122"/>
      <c r="U31" s="122"/>
      <c r="V31" s="122"/>
      <c r="W31" s="122"/>
      <c r="X31" s="122"/>
    </row>
    <row r="32" spans="1:24">
      <c r="A32" s="123" t="s">
        <v>127</v>
      </c>
      <c r="B32" s="120">
        <v>25000</v>
      </c>
      <c r="C32" s="120">
        <v>25000</v>
      </c>
      <c r="D32" s="120">
        <f t="shared" ref="D32:D36" si="14">SUM(B32:C32)</f>
        <v>50000</v>
      </c>
      <c r="E32" s="120">
        <v>15000</v>
      </c>
      <c r="F32" s="121"/>
      <c r="G32" s="121"/>
      <c r="H32" s="125"/>
      <c r="I32" s="126"/>
      <c r="J32" s="126"/>
      <c r="K32" s="123" t="s">
        <v>128</v>
      </c>
      <c r="L32" s="124"/>
      <c r="M32" s="122"/>
      <c r="N32" s="122"/>
      <c r="O32" s="122"/>
      <c r="P32" s="122"/>
      <c r="Q32" s="122"/>
      <c r="R32" s="122"/>
      <c r="S32" s="122"/>
      <c r="T32" s="122"/>
      <c r="U32" s="122"/>
      <c r="V32" s="122"/>
      <c r="W32" s="122"/>
      <c r="X32" s="122"/>
    </row>
    <row r="33" spans="1:24">
      <c r="A33" s="121" t="s">
        <v>129</v>
      </c>
      <c r="B33" s="120">
        <v>25000</v>
      </c>
      <c r="C33" s="120">
        <v>10000</v>
      </c>
      <c r="D33" s="120">
        <f t="shared" si="14"/>
        <v>35000</v>
      </c>
      <c r="E33" s="120">
        <v>5000</v>
      </c>
      <c r="F33" s="121"/>
      <c r="G33" s="121"/>
      <c r="H33" s="125"/>
      <c r="I33" s="122"/>
      <c r="J33" s="122"/>
      <c r="K33" s="123" t="s">
        <v>130</v>
      </c>
      <c r="L33" s="124"/>
      <c r="M33" s="122"/>
      <c r="N33" s="122"/>
      <c r="O33" s="122"/>
      <c r="P33" s="122"/>
      <c r="Q33" s="122"/>
      <c r="R33" s="122"/>
      <c r="S33" s="122"/>
      <c r="T33" s="122"/>
      <c r="U33" s="122"/>
      <c r="V33" s="122"/>
      <c r="W33" s="122"/>
      <c r="X33" s="122"/>
    </row>
    <row r="34" spans="1:24">
      <c r="A34" s="121" t="s">
        <v>131</v>
      </c>
      <c r="B34" s="120">
        <v>0</v>
      </c>
      <c r="C34" s="120">
        <v>55000</v>
      </c>
      <c r="D34" s="120">
        <f t="shared" si="14"/>
        <v>55000</v>
      </c>
      <c r="E34" s="120">
        <v>5000</v>
      </c>
      <c r="F34" s="121"/>
      <c r="G34" s="121"/>
      <c r="H34" s="125"/>
      <c r="I34" s="122"/>
      <c r="J34" s="122"/>
      <c r="K34" s="123" t="s">
        <v>132</v>
      </c>
      <c r="L34" s="124"/>
      <c r="M34" s="122"/>
      <c r="N34" s="122"/>
      <c r="O34" s="122"/>
      <c r="P34" s="122"/>
      <c r="Q34" s="122"/>
      <c r="R34" s="122"/>
      <c r="S34" s="122"/>
      <c r="T34" s="122"/>
      <c r="U34" s="122"/>
      <c r="V34" s="122"/>
      <c r="W34" s="122"/>
      <c r="X34" s="122"/>
    </row>
    <row r="35" spans="1:24">
      <c r="A35" s="121" t="s">
        <v>133</v>
      </c>
      <c r="B35" s="120">
        <v>0</v>
      </c>
      <c r="C35" s="120">
        <v>10000</v>
      </c>
      <c r="D35" s="120">
        <f t="shared" si="14"/>
        <v>10000</v>
      </c>
      <c r="E35" s="120">
        <v>0</v>
      </c>
      <c r="F35" s="121"/>
      <c r="G35" s="121"/>
      <c r="H35" s="125"/>
      <c r="I35" s="122"/>
      <c r="J35" s="122"/>
      <c r="K35" s="123" t="s">
        <v>134</v>
      </c>
      <c r="L35" s="124"/>
      <c r="M35" s="122"/>
      <c r="N35" s="122"/>
      <c r="O35" s="122"/>
      <c r="P35" s="122"/>
      <c r="Q35" s="122"/>
      <c r="R35" s="122"/>
      <c r="S35" s="122"/>
      <c r="T35" s="122"/>
      <c r="U35" s="122"/>
      <c r="V35" s="122"/>
      <c r="W35" s="122"/>
      <c r="X35" s="122"/>
    </row>
    <row r="36" spans="1:24">
      <c r="A36" s="123" t="s">
        <v>135</v>
      </c>
      <c r="B36" s="120">
        <v>15000</v>
      </c>
      <c r="C36" s="120">
        <v>20000</v>
      </c>
      <c r="D36" s="120">
        <f t="shared" si="14"/>
        <v>35000</v>
      </c>
      <c r="E36" s="120">
        <v>0</v>
      </c>
      <c r="F36" s="121"/>
      <c r="G36" s="121"/>
      <c r="H36" s="125"/>
      <c r="I36" s="122"/>
      <c r="J36" s="122"/>
      <c r="K36" s="123" t="s">
        <v>136</v>
      </c>
      <c r="L36" s="124"/>
      <c r="M36" s="122"/>
      <c r="N36" s="122"/>
      <c r="O36" s="122"/>
      <c r="P36" s="122"/>
      <c r="Q36" s="122"/>
      <c r="R36" s="122"/>
      <c r="S36" s="122"/>
      <c r="T36" s="122"/>
      <c r="U36" s="122"/>
      <c r="V36" s="122"/>
      <c r="W36" s="122"/>
      <c r="X36" s="122"/>
    </row>
    <row r="37" spans="1:24">
      <c r="A37" s="119" t="str">
        <f>CONCATENATE("Subtotal ",A31)</f>
        <v>Subtotal Tool Development</v>
      </c>
      <c r="B37" s="127">
        <f>SUM(B32:B36)</f>
        <v>65000</v>
      </c>
      <c r="C37" s="127">
        <f>SUM(C32:C36)</f>
        <v>120000</v>
      </c>
      <c r="D37" s="127">
        <f>SUM(D32:D36)</f>
        <v>185000</v>
      </c>
      <c r="E37" s="127">
        <f>SUM(E32:E36)</f>
        <v>25000</v>
      </c>
      <c r="F37" s="128">
        <f>D37/$D$77</f>
        <v>0.12559402579769177</v>
      </c>
      <c r="G37" s="121"/>
      <c r="H37" s="121"/>
      <c r="I37" s="122"/>
      <c r="J37" s="122"/>
      <c r="K37" s="123"/>
      <c r="L37" s="124"/>
      <c r="M37" s="122"/>
      <c r="N37" s="122"/>
      <c r="O37" s="122"/>
      <c r="P37" s="122"/>
      <c r="Q37" s="122"/>
      <c r="R37" s="122"/>
      <c r="S37" s="122"/>
      <c r="T37" s="122"/>
      <c r="U37" s="122"/>
      <c r="V37" s="122"/>
      <c r="W37" s="122"/>
      <c r="X37" s="122"/>
    </row>
    <row r="38" spans="1:24">
      <c r="A38" s="123"/>
      <c r="B38" s="120"/>
      <c r="C38" s="120"/>
      <c r="D38" s="120"/>
      <c r="E38" s="121"/>
      <c r="F38" s="121"/>
      <c r="G38" s="121"/>
      <c r="H38" s="121"/>
      <c r="I38" s="122"/>
      <c r="J38" s="122"/>
      <c r="K38" s="123"/>
      <c r="L38" s="124"/>
      <c r="M38" s="122"/>
      <c r="N38" s="122"/>
      <c r="O38" s="122"/>
      <c r="P38" s="122"/>
      <c r="Q38" s="122"/>
      <c r="R38" s="122"/>
      <c r="S38" s="122"/>
      <c r="T38" s="122"/>
      <c r="U38" s="122"/>
      <c r="V38" s="122"/>
      <c r="W38" s="122"/>
      <c r="X38" s="122"/>
    </row>
    <row r="39" spans="1:24">
      <c r="A39" s="123"/>
      <c r="B39" s="120"/>
      <c r="C39" s="120"/>
      <c r="D39" s="120"/>
      <c r="E39" s="121"/>
      <c r="F39" s="121"/>
      <c r="G39" s="121"/>
      <c r="H39" s="121"/>
      <c r="I39" s="122"/>
      <c r="J39" s="122"/>
      <c r="K39" s="123"/>
      <c r="L39" s="124"/>
      <c r="M39" s="122"/>
      <c r="N39" s="122"/>
      <c r="O39" s="122"/>
      <c r="P39" s="122"/>
      <c r="Q39" s="122"/>
      <c r="R39" s="122"/>
      <c r="S39" s="122"/>
      <c r="T39" s="122"/>
      <c r="U39" s="122"/>
      <c r="V39" s="122"/>
      <c r="W39" s="122"/>
      <c r="X39" s="122"/>
    </row>
    <row r="40" spans="1:24">
      <c r="A40" s="119" t="s">
        <v>20</v>
      </c>
      <c r="B40" s="120"/>
      <c r="C40" s="120"/>
      <c r="D40" s="120"/>
      <c r="E40" s="121"/>
      <c r="F40" s="121"/>
      <c r="G40" s="121"/>
      <c r="H40" s="121"/>
      <c r="I40" s="122"/>
      <c r="J40" s="122"/>
      <c r="K40" s="123"/>
      <c r="L40" s="124"/>
      <c r="M40" s="122"/>
      <c r="N40" s="122"/>
      <c r="O40" s="122"/>
      <c r="P40" s="122"/>
      <c r="Q40" s="122"/>
      <c r="R40" s="122"/>
      <c r="S40" s="122"/>
      <c r="T40" s="122"/>
      <c r="U40" s="122"/>
      <c r="V40" s="122"/>
      <c r="W40" s="122"/>
      <c r="X40" s="122"/>
    </row>
    <row r="41" spans="1:24">
      <c r="A41" s="123" t="s">
        <v>137</v>
      </c>
      <c r="B41" s="120">
        <v>10000</v>
      </c>
      <c r="C41" s="120">
        <v>5000</v>
      </c>
      <c r="D41" s="120">
        <f t="shared" ref="D41:D44" si="15">SUM(B41:C41)</f>
        <v>15000</v>
      </c>
      <c r="E41" s="129">
        <v>10000</v>
      </c>
      <c r="F41" s="121"/>
      <c r="G41" s="121"/>
      <c r="H41" s="121"/>
      <c r="I41" s="122"/>
      <c r="J41" s="122"/>
      <c r="K41" s="123" t="s">
        <v>138</v>
      </c>
      <c r="L41" s="124"/>
      <c r="M41" s="122"/>
      <c r="N41" s="122"/>
      <c r="O41" s="122"/>
      <c r="P41" s="122"/>
      <c r="Q41" s="122"/>
      <c r="R41" s="122"/>
      <c r="S41" s="122"/>
      <c r="T41" s="122"/>
      <c r="U41" s="122"/>
      <c r="V41" s="122"/>
      <c r="W41" s="122"/>
      <c r="X41" s="122"/>
    </row>
    <row r="42" spans="1:24">
      <c r="A42" s="123" t="s">
        <v>139</v>
      </c>
      <c r="B42" s="120">
        <v>50000</v>
      </c>
      <c r="C42" s="120">
        <v>20000</v>
      </c>
      <c r="D42" s="120">
        <f t="shared" si="15"/>
        <v>70000</v>
      </c>
      <c r="E42" s="129">
        <v>10000</v>
      </c>
      <c r="F42" s="121"/>
      <c r="G42" s="121"/>
      <c r="H42" s="121"/>
      <c r="I42" s="122"/>
      <c r="J42" s="122"/>
      <c r="K42" s="123" t="s">
        <v>140</v>
      </c>
      <c r="L42" s="124"/>
      <c r="M42" s="122"/>
      <c r="N42" s="122"/>
      <c r="O42" s="122"/>
      <c r="P42" s="122"/>
      <c r="Q42" s="122"/>
      <c r="R42" s="122"/>
      <c r="S42" s="122"/>
      <c r="T42" s="122"/>
      <c r="U42" s="122"/>
      <c r="V42" s="122"/>
      <c r="W42" s="122"/>
      <c r="X42" s="122"/>
    </row>
    <row r="43" spans="1:24">
      <c r="A43" s="123" t="s">
        <v>141</v>
      </c>
      <c r="B43" s="120">
        <v>0</v>
      </c>
      <c r="C43" s="120">
        <v>5000</v>
      </c>
      <c r="D43" s="120">
        <f t="shared" si="15"/>
        <v>5000</v>
      </c>
      <c r="E43" s="129">
        <f t="shared" ref="E43" si="16">1/2*C43</f>
        <v>2500</v>
      </c>
      <c r="F43" s="121"/>
      <c r="G43" s="121"/>
      <c r="H43" s="121"/>
      <c r="I43" s="122"/>
      <c r="J43" s="122"/>
      <c r="K43" s="123" t="s">
        <v>142</v>
      </c>
      <c r="L43" s="124"/>
      <c r="M43" s="122"/>
      <c r="N43" s="122"/>
      <c r="O43" s="122"/>
      <c r="P43" s="122"/>
      <c r="Q43" s="122"/>
      <c r="R43" s="122"/>
      <c r="S43" s="122"/>
      <c r="T43" s="122"/>
      <c r="U43" s="122"/>
      <c r="V43" s="122"/>
      <c r="W43" s="122"/>
      <c r="X43" s="122"/>
    </row>
    <row r="44" spans="1:24">
      <c r="A44" s="121" t="s">
        <v>143</v>
      </c>
      <c r="B44" s="120">
        <v>0</v>
      </c>
      <c r="C44" s="120">
        <v>30000</v>
      </c>
      <c r="D44" s="120">
        <f t="shared" si="15"/>
        <v>30000</v>
      </c>
      <c r="E44" s="129">
        <v>20000</v>
      </c>
      <c r="F44" s="121"/>
      <c r="G44" s="121"/>
      <c r="H44" s="121"/>
      <c r="I44" s="122"/>
      <c r="J44" s="122"/>
      <c r="K44" s="123" t="s">
        <v>144</v>
      </c>
      <c r="L44" s="124"/>
      <c r="M44" s="122"/>
      <c r="N44" s="122"/>
      <c r="O44" s="122"/>
      <c r="P44" s="122"/>
      <c r="Q44" s="122"/>
      <c r="R44" s="122"/>
      <c r="S44" s="122"/>
      <c r="T44" s="122"/>
      <c r="U44" s="122"/>
      <c r="V44" s="122"/>
      <c r="W44" s="122"/>
      <c r="X44" s="122"/>
    </row>
    <row r="45" spans="1:24">
      <c r="A45" s="119" t="str">
        <f>CONCATENATE("Subtotal ",A40)</f>
        <v>Subtotal Research Projects &amp; Data Development</v>
      </c>
      <c r="B45" s="127">
        <f>SUM(B41:B44)</f>
        <v>60000</v>
      </c>
      <c r="C45" s="127">
        <f>SUM(C41:C44)</f>
        <v>60000</v>
      </c>
      <c r="D45" s="127">
        <f>SUM(D41:D44)</f>
        <v>120000</v>
      </c>
      <c r="E45" s="127">
        <f>SUM(E41:E44)</f>
        <v>42500</v>
      </c>
      <c r="F45" s="128">
        <f>D45/$D$77</f>
        <v>8.1466395112016296E-2</v>
      </c>
      <c r="G45" s="121"/>
      <c r="H45" s="121"/>
      <c r="I45" s="122"/>
      <c r="J45" s="122"/>
      <c r="K45" s="123"/>
      <c r="L45" s="124"/>
      <c r="M45" s="122"/>
      <c r="N45" s="122"/>
      <c r="O45" s="122"/>
      <c r="P45" s="122"/>
      <c r="Q45" s="122"/>
      <c r="R45" s="122"/>
      <c r="S45" s="122"/>
      <c r="T45" s="122"/>
      <c r="U45" s="122"/>
      <c r="V45" s="122"/>
      <c r="W45" s="122"/>
      <c r="X45" s="122"/>
    </row>
    <row r="46" spans="1:24">
      <c r="A46" s="122"/>
      <c r="B46" s="120"/>
      <c r="C46" s="120"/>
      <c r="D46" s="120"/>
      <c r="E46" s="121"/>
      <c r="F46" s="121"/>
      <c r="G46" s="121"/>
      <c r="H46" s="121"/>
      <c r="I46" s="122"/>
      <c r="J46" s="122"/>
      <c r="K46" s="123"/>
      <c r="L46" s="124"/>
      <c r="M46" s="122"/>
      <c r="N46" s="122"/>
      <c r="O46" s="122"/>
      <c r="P46" s="122"/>
      <c r="Q46" s="122"/>
      <c r="R46" s="122"/>
      <c r="S46" s="122"/>
      <c r="T46" s="122"/>
      <c r="U46" s="122"/>
      <c r="V46" s="122"/>
      <c r="W46" s="122"/>
      <c r="X46" s="122"/>
    </row>
    <row r="47" spans="1:24">
      <c r="A47" s="123"/>
      <c r="B47" s="120"/>
      <c r="C47" s="120"/>
      <c r="D47" s="120"/>
      <c r="E47" s="121"/>
      <c r="F47" s="121"/>
      <c r="G47" s="121"/>
      <c r="H47" s="121"/>
      <c r="I47" s="122"/>
      <c r="J47" s="122"/>
      <c r="K47" s="123"/>
      <c r="L47" s="124"/>
      <c r="M47" s="122"/>
      <c r="N47" s="122"/>
      <c r="O47" s="122"/>
      <c r="P47" s="122"/>
      <c r="Q47" s="122"/>
      <c r="R47" s="122"/>
      <c r="S47" s="122"/>
      <c r="T47" s="122"/>
      <c r="U47" s="122"/>
      <c r="V47" s="122"/>
      <c r="W47" s="122"/>
      <c r="X47" s="122"/>
    </row>
    <row r="48" spans="1:24">
      <c r="A48" s="119" t="s">
        <v>50</v>
      </c>
      <c r="B48" s="120"/>
      <c r="C48" s="120"/>
      <c r="D48" s="120"/>
      <c r="E48" s="121"/>
      <c r="F48" s="121"/>
      <c r="G48" s="121"/>
      <c r="H48" s="121"/>
      <c r="I48" s="122"/>
      <c r="J48" s="122"/>
      <c r="K48" s="123"/>
      <c r="L48" s="124"/>
      <c r="M48" s="122"/>
      <c r="N48" s="122"/>
      <c r="O48" s="122"/>
      <c r="P48" s="122"/>
      <c r="Q48" s="122"/>
      <c r="R48" s="122"/>
      <c r="S48" s="122"/>
      <c r="T48" s="122"/>
      <c r="U48" s="122"/>
      <c r="V48" s="122"/>
      <c r="W48" s="122"/>
      <c r="X48" s="122"/>
    </row>
    <row r="49" spans="1:24">
      <c r="A49" s="123" t="s">
        <v>145</v>
      </c>
      <c r="B49" s="120">
        <v>12500</v>
      </c>
      <c r="C49" s="120">
        <v>0</v>
      </c>
      <c r="D49" s="120">
        <f t="shared" ref="D49:D50" si="17">SUM(B49:C49)</f>
        <v>12500</v>
      </c>
      <c r="E49" s="120">
        <v>2000</v>
      </c>
      <c r="F49" s="121"/>
      <c r="G49" s="121"/>
      <c r="H49" s="121"/>
      <c r="I49" s="130"/>
      <c r="J49" s="130"/>
      <c r="K49" s="123" t="s">
        <v>146</v>
      </c>
      <c r="L49" s="124"/>
      <c r="M49" s="122"/>
      <c r="N49" s="122"/>
      <c r="O49" s="122"/>
      <c r="P49" s="122"/>
      <c r="Q49" s="122"/>
      <c r="R49" s="122"/>
      <c r="S49" s="122"/>
      <c r="T49" s="122"/>
      <c r="U49" s="122"/>
      <c r="V49" s="122"/>
      <c r="W49" s="122"/>
      <c r="X49" s="122"/>
    </row>
    <row r="50" spans="1:24">
      <c r="A50" s="123" t="s">
        <v>147</v>
      </c>
      <c r="B50" s="120">
        <v>0</v>
      </c>
      <c r="C50" s="120">
        <f>40*150</f>
        <v>6000</v>
      </c>
      <c r="D50" s="120">
        <f t="shared" si="17"/>
        <v>6000</v>
      </c>
      <c r="E50" s="120">
        <v>4000</v>
      </c>
      <c r="F50" s="121"/>
      <c r="G50" s="121"/>
      <c r="H50" s="121"/>
      <c r="I50" s="122"/>
      <c r="J50" s="122"/>
      <c r="K50" s="123" t="s">
        <v>148</v>
      </c>
      <c r="L50" s="124"/>
      <c r="M50" s="122"/>
      <c r="N50" s="122"/>
      <c r="O50" s="122"/>
      <c r="P50" s="122"/>
      <c r="Q50" s="122"/>
      <c r="R50" s="122"/>
      <c r="S50" s="122"/>
      <c r="T50" s="122"/>
      <c r="U50" s="122"/>
      <c r="V50" s="122"/>
      <c r="W50" s="122"/>
      <c r="X50" s="122"/>
    </row>
    <row r="51" spans="1:24">
      <c r="A51" s="119" t="str">
        <f>CONCATENATE("Subtotal ",A48)</f>
        <v>Subtotal Regional Coordination</v>
      </c>
      <c r="B51" s="127">
        <f>SUM(B49:B50)</f>
        <v>12500</v>
      </c>
      <c r="C51" s="127">
        <f>SUM(C49:C50)</f>
        <v>6000</v>
      </c>
      <c r="D51" s="127">
        <f>SUM(D49:D50)</f>
        <v>18500</v>
      </c>
      <c r="E51" s="127">
        <f>SUM(E49:E50)</f>
        <v>6000</v>
      </c>
      <c r="F51" s="128">
        <f>D51/$D$77</f>
        <v>1.2559402579769178E-2</v>
      </c>
      <c r="G51" s="121"/>
      <c r="H51" s="121"/>
      <c r="I51" s="122"/>
      <c r="J51" s="122"/>
      <c r="K51" s="123"/>
      <c r="L51" s="124"/>
      <c r="M51" s="122"/>
      <c r="N51" s="122"/>
      <c r="O51" s="122"/>
      <c r="P51" s="122"/>
      <c r="Q51" s="122"/>
      <c r="R51" s="122"/>
      <c r="S51" s="122"/>
      <c r="T51" s="122"/>
      <c r="U51" s="122"/>
      <c r="V51" s="122"/>
      <c r="W51" s="122"/>
      <c r="X51" s="122"/>
    </row>
    <row r="52" spans="1:24">
      <c r="A52" s="122"/>
      <c r="B52" s="120"/>
      <c r="C52" s="120"/>
      <c r="D52" s="120"/>
      <c r="E52" s="121"/>
      <c r="F52" s="121"/>
      <c r="G52" s="121"/>
      <c r="H52" s="121"/>
      <c r="I52" s="122"/>
      <c r="J52" s="122"/>
      <c r="K52" s="123"/>
      <c r="L52" s="124"/>
      <c r="M52" s="122"/>
      <c r="N52" s="122"/>
      <c r="O52" s="122"/>
      <c r="P52" s="122"/>
      <c r="Q52" s="122"/>
      <c r="R52" s="122"/>
      <c r="S52" s="122"/>
      <c r="T52" s="122"/>
      <c r="U52" s="122"/>
      <c r="V52" s="122"/>
      <c r="W52" s="122"/>
      <c r="X52" s="122"/>
    </row>
    <row r="53" spans="1:24">
      <c r="A53" s="118"/>
      <c r="B53" s="115"/>
      <c r="C53" s="115"/>
      <c r="D53" s="115"/>
      <c r="E53" s="117"/>
      <c r="F53" s="117"/>
      <c r="G53" s="117"/>
      <c r="H53" s="117"/>
      <c r="K53" s="118"/>
    </row>
    <row r="54" spans="1:24">
      <c r="A54" s="131" t="s">
        <v>40</v>
      </c>
      <c r="B54" s="132"/>
      <c r="C54" s="132"/>
      <c r="D54" s="132"/>
      <c r="E54" s="133"/>
      <c r="F54" s="133"/>
      <c r="G54" s="133"/>
      <c r="H54" s="133"/>
      <c r="I54" s="134"/>
      <c r="J54" s="134"/>
      <c r="K54" s="135"/>
      <c r="L54" s="136"/>
      <c r="M54" s="134"/>
      <c r="N54" s="134"/>
      <c r="O54" s="134"/>
      <c r="P54" s="134"/>
      <c r="Q54" s="134"/>
      <c r="R54" s="134"/>
      <c r="S54" s="134"/>
      <c r="T54" s="134"/>
      <c r="U54" s="134"/>
      <c r="V54" s="134"/>
      <c r="W54" s="134"/>
      <c r="X54" s="134"/>
    </row>
    <row r="55" spans="1:24">
      <c r="A55" s="135" t="s">
        <v>149</v>
      </c>
      <c r="B55" s="132">
        <v>0</v>
      </c>
      <c r="C55" s="132">
        <v>10000</v>
      </c>
      <c r="D55" s="132">
        <f t="shared" ref="D55:D59" si="18">SUM(B55:C55)</f>
        <v>10000</v>
      </c>
      <c r="E55" s="132">
        <v>10000</v>
      </c>
      <c r="F55" s="133"/>
      <c r="G55" s="133"/>
      <c r="H55" s="133"/>
      <c r="I55" s="134"/>
      <c r="J55" s="134"/>
      <c r="K55" s="135" t="s">
        <v>150</v>
      </c>
      <c r="L55" s="136"/>
      <c r="M55" s="134"/>
      <c r="N55" s="134"/>
      <c r="O55" s="134"/>
      <c r="P55" s="134"/>
      <c r="Q55" s="134"/>
      <c r="R55" s="134"/>
      <c r="S55" s="134"/>
      <c r="T55" s="134"/>
      <c r="U55" s="134"/>
      <c r="V55" s="134"/>
      <c r="W55" s="134"/>
      <c r="X55" s="134"/>
    </row>
    <row r="56" spans="1:24">
      <c r="A56" s="133" t="s">
        <v>151</v>
      </c>
      <c r="B56" s="132">
        <v>5000</v>
      </c>
      <c r="C56" s="132">
        <v>25000</v>
      </c>
      <c r="D56" s="132">
        <f t="shared" si="18"/>
        <v>30000</v>
      </c>
      <c r="E56" s="132">
        <v>30000</v>
      </c>
      <c r="F56" s="133" t="s">
        <v>152</v>
      </c>
      <c r="G56" s="133"/>
      <c r="H56" s="133"/>
      <c r="I56" s="134"/>
      <c r="J56" s="134"/>
      <c r="K56" s="133" t="s">
        <v>153</v>
      </c>
      <c r="L56" s="136"/>
      <c r="M56" s="134"/>
      <c r="N56" s="134"/>
      <c r="O56" s="134"/>
      <c r="P56" s="134"/>
      <c r="Q56" s="134"/>
      <c r="R56" s="134"/>
      <c r="S56" s="134"/>
      <c r="T56" s="134"/>
      <c r="U56" s="134"/>
      <c r="V56" s="134"/>
      <c r="W56" s="134"/>
      <c r="X56" s="134"/>
    </row>
    <row r="57" spans="1:24">
      <c r="A57" s="135" t="s">
        <v>154</v>
      </c>
      <c r="B57" s="132">
        <v>20000</v>
      </c>
      <c r="C57" s="132">
        <v>5000</v>
      </c>
      <c r="D57" s="132">
        <f t="shared" si="18"/>
        <v>25000</v>
      </c>
      <c r="E57" s="132">
        <v>15000</v>
      </c>
      <c r="F57" s="133" t="s">
        <v>152</v>
      </c>
      <c r="G57" s="133"/>
      <c r="H57" s="133"/>
      <c r="I57" s="134"/>
      <c r="J57" s="134"/>
      <c r="K57" s="135" t="s">
        <v>155</v>
      </c>
      <c r="L57" s="136"/>
      <c r="M57" s="134"/>
      <c r="N57" s="134"/>
      <c r="O57" s="134"/>
      <c r="P57" s="134"/>
      <c r="Q57" s="134"/>
      <c r="R57" s="134"/>
      <c r="S57" s="134"/>
      <c r="T57" s="134"/>
      <c r="U57" s="134"/>
      <c r="V57" s="134"/>
      <c r="W57" s="134"/>
      <c r="X57" s="134"/>
    </row>
    <row r="58" spans="1:24">
      <c r="A58" s="135" t="s">
        <v>156</v>
      </c>
      <c r="B58" s="132">
        <v>0</v>
      </c>
      <c r="C58" s="132">
        <v>0</v>
      </c>
      <c r="D58" s="132">
        <f t="shared" si="18"/>
        <v>0</v>
      </c>
      <c r="E58" s="132">
        <v>10000</v>
      </c>
      <c r="F58" s="133"/>
      <c r="G58" s="133"/>
      <c r="H58" s="133"/>
      <c r="I58" s="134"/>
      <c r="J58" s="134"/>
      <c r="K58" s="135" t="s">
        <v>157</v>
      </c>
      <c r="L58" s="136"/>
      <c r="M58" s="134"/>
      <c r="N58" s="134"/>
      <c r="O58" s="134"/>
      <c r="P58" s="134"/>
      <c r="Q58" s="134"/>
      <c r="R58" s="134"/>
      <c r="S58" s="134"/>
      <c r="T58" s="134"/>
      <c r="U58" s="134"/>
      <c r="V58" s="134"/>
      <c r="W58" s="134"/>
      <c r="X58" s="134"/>
    </row>
    <row r="59" spans="1:24">
      <c r="A59" s="135" t="s">
        <v>158</v>
      </c>
      <c r="B59" s="132">
        <v>0</v>
      </c>
      <c r="C59" s="132">
        <v>0</v>
      </c>
      <c r="D59" s="132">
        <f t="shared" si="18"/>
        <v>0</v>
      </c>
      <c r="E59" s="132">
        <v>10000</v>
      </c>
      <c r="F59" s="133"/>
      <c r="G59" s="133"/>
      <c r="H59" s="133"/>
      <c r="I59" s="134"/>
      <c r="J59" s="134"/>
      <c r="K59" s="135" t="s">
        <v>159</v>
      </c>
      <c r="L59" s="136"/>
      <c r="M59" s="134"/>
      <c r="N59" s="134"/>
      <c r="O59" s="134"/>
      <c r="P59" s="134"/>
      <c r="Q59" s="134"/>
      <c r="R59" s="134"/>
      <c r="S59" s="134"/>
      <c r="T59" s="134"/>
      <c r="U59" s="134"/>
      <c r="V59" s="134"/>
      <c r="W59" s="134"/>
      <c r="X59" s="134"/>
    </row>
    <row r="60" spans="1:24">
      <c r="A60" s="131" t="str">
        <f>CONCATENATE("Subtotal ",A54)</f>
        <v xml:space="preserve">Subtotal Website, Database support, Conservation Tracking </v>
      </c>
      <c r="B60" s="137">
        <f>SUM(B55:B59)</f>
        <v>25000</v>
      </c>
      <c r="C60" s="137">
        <f>SUM(C55:C59)</f>
        <v>40000</v>
      </c>
      <c r="D60" s="137">
        <f>SUM(D55:D59)</f>
        <v>65000</v>
      </c>
      <c r="E60" s="137">
        <f>SUM(E55:E59)</f>
        <v>75000</v>
      </c>
      <c r="F60" s="138">
        <f>D60/$D$77</f>
        <v>4.412763068567549E-2</v>
      </c>
      <c r="G60" s="133"/>
      <c r="H60" s="133"/>
      <c r="I60" s="134"/>
      <c r="J60" s="134"/>
      <c r="K60" s="135"/>
      <c r="L60" s="136"/>
      <c r="M60" s="134"/>
      <c r="N60" s="134"/>
      <c r="O60" s="134"/>
      <c r="P60" s="134"/>
      <c r="Q60" s="134"/>
      <c r="R60" s="134"/>
      <c r="S60" s="134"/>
      <c r="T60" s="134"/>
      <c r="U60" s="134"/>
      <c r="V60" s="134"/>
      <c r="W60" s="134"/>
      <c r="X60" s="134"/>
    </row>
    <row r="61" spans="1:24">
      <c r="A61" s="131"/>
      <c r="B61" s="132"/>
      <c r="C61" s="132"/>
      <c r="D61" s="132"/>
      <c r="E61" s="132"/>
      <c r="F61" s="133"/>
      <c r="G61" s="133"/>
      <c r="H61" s="133"/>
      <c r="I61" s="134"/>
      <c r="J61" s="134"/>
      <c r="K61" s="135"/>
      <c r="L61" s="136"/>
      <c r="M61" s="134"/>
      <c r="N61" s="134"/>
      <c r="O61" s="134"/>
      <c r="P61" s="134"/>
      <c r="Q61" s="134"/>
      <c r="R61" s="134"/>
      <c r="S61" s="134"/>
      <c r="T61" s="134"/>
      <c r="U61" s="134"/>
      <c r="V61" s="134"/>
      <c r="W61" s="134"/>
      <c r="X61" s="134"/>
    </row>
    <row r="62" spans="1:24">
      <c r="A62" s="135"/>
      <c r="B62" s="132"/>
      <c r="C62" s="132"/>
      <c r="D62" s="132"/>
      <c r="E62" s="132"/>
      <c r="F62" s="133"/>
      <c r="G62" s="133"/>
      <c r="H62" s="133"/>
      <c r="I62" s="134"/>
      <c r="J62" s="134"/>
      <c r="K62" s="135"/>
      <c r="L62" s="136"/>
      <c r="M62" s="134"/>
      <c r="N62" s="134"/>
      <c r="O62" s="134"/>
      <c r="P62" s="134"/>
      <c r="Q62" s="134"/>
      <c r="R62" s="134"/>
      <c r="S62" s="134"/>
      <c r="T62" s="134"/>
      <c r="U62" s="134"/>
      <c r="V62" s="134"/>
      <c r="W62" s="134"/>
      <c r="X62" s="134"/>
    </row>
    <row r="63" spans="1:24">
      <c r="A63" s="131" t="s">
        <v>18</v>
      </c>
      <c r="B63" s="132"/>
      <c r="C63" s="132"/>
      <c r="D63" s="132"/>
      <c r="E63" s="132"/>
      <c r="F63" s="133"/>
      <c r="G63" s="133"/>
      <c r="H63" s="133"/>
      <c r="I63" s="134"/>
      <c r="J63" s="134"/>
      <c r="K63" s="135"/>
      <c r="L63" s="136"/>
      <c r="M63" s="134"/>
      <c r="N63" s="134"/>
      <c r="O63" s="134"/>
      <c r="P63" s="134"/>
      <c r="Q63" s="134"/>
      <c r="R63" s="134"/>
      <c r="S63" s="134"/>
      <c r="T63" s="134"/>
      <c r="U63" s="134"/>
      <c r="V63" s="134"/>
      <c r="W63" s="134"/>
      <c r="X63" s="134"/>
    </row>
    <row r="64" spans="1:24">
      <c r="A64" s="135" t="s">
        <v>160</v>
      </c>
      <c r="B64" s="132">
        <f>24000+7000+7000</f>
        <v>38000</v>
      </c>
      <c r="C64" s="132">
        <v>0</v>
      </c>
      <c r="D64" s="132">
        <f>SUM(B64:C64)</f>
        <v>38000</v>
      </c>
      <c r="E64" s="132">
        <v>5000</v>
      </c>
      <c r="F64" s="139"/>
      <c r="G64" s="139"/>
      <c r="H64" s="133"/>
      <c r="I64" s="134"/>
      <c r="J64" s="134"/>
      <c r="K64" s="134" t="s">
        <v>161</v>
      </c>
      <c r="L64" s="136"/>
      <c r="M64" s="134"/>
      <c r="N64" s="134"/>
      <c r="O64" s="134"/>
      <c r="P64" s="134"/>
      <c r="Q64" s="134"/>
      <c r="R64" s="134"/>
      <c r="S64" s="134"/>
      <c r="T64" s="134"/>
      <c r="U64" s="134"/>
      <c r="V64" s="134"/>
      <c r="W64" s="134"/>
      <c r="X64" s="134"/>
    </row>
    <row r="65" spans="1:24">
      <c r="A65" s="135" t="s">
        <v>162</v>
      </c>
      <c r="B65" s="132">
        <v>107000</v>
      </c>
      <c r="C65" s="132">
        <v>0</v>
      </c>
      <c r="D65" s="132">
        <f>SUM(B65:C65)</f>
        <v>107000</v>
      </c>
      <c r="E65" s="132">
        <v>0</v>
      </c>
      <c r="F65" s="133"/>
      <c r="G65" s="133"/>
      <c r="H65" s="133"/>
      <c r="I65" s="134"/>
      <c r="J65" s="134"/>
      <c r="K65" s="135" t="s">
        <v>163</v>
      </c>
      <c r="L65" s="136"/>
      <c r="M65" s="134"/>
      <c r="N65" s="134"/>
      <c r="O65" s="134"/>
      <c r="P65" s="134"/>
      <c r="Q65" s="134"/>
      <c r="R65" s="134"/>
      <c r="S65" s="134"/>
      <c r="T65" s="134"/>
      <c r="U65" s="134"/>
      <c r="V65" s="134"/>
      <c r="W65" s="134"/>
      <c r="X65" s="134"/>
    </row>
    <row r="66" spans="1:24">
      <c r="A66" s="131" t="str">
        <f>CONCATENATE("Subtotal ",A63)</f>
        <v>Subtotal RTF Member Support &amp; Administration</v>
      </c>
      <c r="B66" s="137">
        <f>SUM(B64:B65)</f>
        <v>145000</v>
      </c>
      <c r="C66" s="137">
        <f>SUM(C64:C65)</f>
        <v>0</v>
      </c>
      <c r="D66" s="137">
        <f>SUM(D64:D65)</f>
        <v>145000</v>
      </c>
      <c r="E66" s="137">
        <f>SUM(E64:E65)</f>
        <v>5000</v>
      </c>
      <c r="F66" s="138">
        <f>D66/$D$77</f>
        <v>9.8438560760353025E-2</v>
      </c>
      <c r="G66" s="133"/>
      <c r="H66" s="133"/>
      <c r="I66" s="134"/>
      <c r="J66" s="134"/>
      <c r="K66" s="134"/>
      <c r="L66" s="136"/>
      <c r="M66" s="134"/>
      <c r="N66" s="134"/>
      <c r="O66" s="134"/>
      <c r="P66" s="134"/>
      <c r="Q66" s="134"/>
      <c r="R66" s="134"/>
      <c r="S66" s="134"/>
      <c r="T66" s="134"/>
      <c r="U66" s="134"/>
      <c r="V66" s="134"/>
      <c r="W66" s="134"/>
      <c r="X66" s="134"/>
    </row>
    <row r="67" spans="1:24">
      <c r="A67" s="134"/>
      <c r="B67" s="132"/>
      <c r="C67" s="132"/>
      <c r="D67" s="132"/>
      <c r="E67" s="132"/>
      <c r="F67" s="133"/>
      <c r="G67" s="133"/>
      <c r="H67" s="133"/>
      <c r="I67" s="134"/>
      <c r="J67" s="134"/>
      <c r="K67" s="134"/>
      <c r="L67" s="136"/>
      <c r="M67" s="134"/>
      <c r="N67" s="134"/>
      <c r="O67" s="134"/>
      <c r="P67" s="134"/>
      <c r="Q67" s="134"/>
      <c r="R67" s="134"/>
      <c r="S67" s="134"/>
      <c r="T67" s="134"/>
      <c r="U67" s="134"/>
      <c r="V67" s="134"/>
      <c r="W67" s="134"/>
      <c r="X67" s="134"/>
    </row>
    <row r="68" spans="1:24">
      <c r="A68" s="134"/>
      <c r="B68" s="132"/>
      <c r="C68" s="132"/>
      <c r="D68" s="132"/>
      <c r="E68" s="132"/>
      <c r="F68" s="133"/>
      <c r="G68" s="133"/>
      <c r="H68" s="133"/>
      <c r="I68" s="134"/>
      <c r="J68" s="134"/>
      <c r="K68" s="134"/>
      <c r="L68" s="136"/>
      <c r="M68" s="134"/>
      <c r="N68" s="134"/>
      <c r="O68" s="134"/>
      <c r="P68" s="134"/>
      <c r="Q68" s="134"/>
      <c r="R68" s="134"/>
      <c r="S68" s="134"/>
      <c r="T68" s="134"/>
      <c r="U68" s="134"/>
      <c r="V68" s="134"/>
      <c r="W68" s="134"/>
      <c r="X68" s="134"/>
    </row>
    <row r="69" spans="1:24">
      <c r="A69" s="131" t="s">
        <v>43</v>
      </c>
      <c r="B69" s="132"/>
      <c r="C69" s="132"/>
      <c r="D69" s="132"/>
      <c r="E69" s="132"/>
      <c r="F69" s="133"/>
      <c r="G69" s="133"/>
      <c r="H69" s="133"/>
      <c r="I69" s="134"/>
      <c r="J69" s="134"/>
      <c r="K69" s="134"/>
      <c r="L69" s="136"/>
      <c r="M69" s="134"/>
      <c r="N69" s="134"/>
      <c r="O69" s="134"/>
      <c r="P69" s="134"/>
      <c r="Q69" s="134"/>
      <c r="R69" s="134"/>
      <c r="S69" s="134"/>
      <c r="T69" s="134"/>
      <c r="U69" s="134"/>
      <c r="V69" s="134"/>
      <c r="W69" s="134"/>
      <c r="X69" s="134"/>
    </row>
    <row r="70" spans="1:24">
      <c r="A70" s="135" t="s">
        <v>164</v>
      </c>
      <c r="B70" s="132">
        <v>0</v>
      </c>
      <c r="C70" s="132">
        <v>120000</v>
      </c>
      <c r="D70" s="132">
        <f>SUM(B70:C70)</f>
        <v>120000</v>
      </c>
      <c r="E70" s="132">
        <v>0</v>
      </c>
      <c r="F70" s="133"/>
      <c r="G70" s="133"/>
      <c r="H70" s="133"/>
      <c r="I70" s="134"/>
      <c r="J70" s="134"/>
      <c r="K70" s="134" t="s">
        <v>165</v>
      </c>
      <c r="L70" s="136"/>
      <c r="M70" s="134"/>
      <c r="N70" s="134"/>
      <c r="O70" s="134"/>
      <c r="P70" s="134"/>
      <c r="Q70" s="134"/>
      <c r="R70" s="134"/>
      <c r="S70" s="134"/>
      <c r="T70" s="134"/>
      <c r="U70" s="134"/>
      <c r="V70" s="134"/>
      <c r="W70" s="134"/>
      <c r="X70" s="134"/>
    </row>
    <row r="71" spans="1:24">
      <c r="A71" s="135" t="s">
        <v>166</v>
      </c>
      <c r="B71" s="132">
        <v>0</v>
      </c>
      <c r="C71" s="132">
        <v>45000</v>
      </c>
      <c r="D71" s="132">
        <f>SUM(B71:C71)</f>
        <v>45000</v>
      </c>
      <c r="E71" s="132">
        <v>100000</v>
      </c>
      <c r="F71" s="140"/>
      <c r="G71" s="140"/>
      <c r="H71" s="139"/>
      <c r="I71" s="141"/>
      <c r="J71" s="134"/>
      <c r="K71" s="134" t="s">
        <v>167</v>
      </c>
      <c r="L71" s="136"/>
      <c r="M71" s="134"/>
      <c r="N71" s="134"/>
      <c r="O71" s="134"/>
      <c r="P71" s="134"/>
      <c r="Q71" s="134"/>
      <c r="R71" s="134"/>
      <c r="S71" s="134"/>
      <c r="T71" s="134"/>
      <c r="U71" s="134"/>
      <c r="V71" s="134"/>
      <c r="W71" s="134"/>
      <c r="X71" s="134"/>
    </row>
    <row r="72" spans="1:24">
      <c r="A72" s="135" t="s">
        <v>168</v>
      </c>
      <c r="B72" s="132">
        <v>0</v>
      </c>
      <c r="C72" s="132">
        <v>30000</v>
      </c>
      <c r="D72" s="132">
        <f>SUM(B72:C72)</f>
        <v>30000</v>
      </c>
      <c r="E72" s="132">
        <v>10000</v>
      </c>
      <c r="F72" s="133"/>
      <c r="G72" s="133"/>
      <c r="H72" s="133"/>
      <c r="I72" s="134"/>
      <c r="J72" s="134"/>
      <c r="K72" s="134" t="s">
        <v>169</v>
      </c>
      <c r="L72" s="136"/>
      <c r="M72" s="134"/>
      <c r="N72" s="134"/>
      <c r="O72" s="134"/>
      <c r="P72" s="134"/>
      <c r="Q72" s="134"/>
      <c r="R72" s="134"/>
      <c r="S72" s="134"/>
      <c r="T72" s="134"/>
      <c r="U72" s="134"/>
      <c r="V72" s="134"/>
      <c r="W72" s="134"/>
      <c r="X72" s="134"/>
    </row>
    <row r="73" spans="1:24">
      <c r="A73" s="135" t="s">
        <v>170</v>
      </c>
      <c r="B73" s="132">
        <v>4000</v>
      </c>
      <c r="C73" s="132">
        <v>1000</v>
      </c>
      <c r="D73" s="132">
        <f>SUM(B73:C73)</f>
        <v>5000</v>
      </c>
      <c r="E73" s="132">
        <v>2000</v>
      </c>
      <c r="F73" s="140"/>
      <c r="G73" s="139"/>
      <c r="H73" s="133"/>
      <c r="I73" s="134"/>
      <c r="J73" s="134"/>
      <c r="K73" s="134" t="s">
        <v>171</v>
      </c>
      <c r="L73" s="136"/>
      <c r="M73" s="134"/>
      <c r="N73" s="134"/>
      <c r="O73" s="134"/>
      <c r="P73" s="134"/>
      <c r="Q73" s="134"/>
      <c r="R73" s="134"/>
      <c r="S73" s="134"/>
      <c r="T73" s="134"/>
      <c r="U73" s="134"/>
      <c r="V73" s="134"/>
      <c r="W73" s="134"/>
      <c r="X73" s="134"/>
    </row>
    <row r="74" spans="1:24">
      <c r="A74" s="131" t="str">
        <f>CONCATENATE("Subtotal ",A69)</f>
        <v>Subtotal RTF Management</v>
      </c>
      <c r="B74" s="137">
        <f>SUM(B70:B73)</f>
        <v>4000</v>
      </c>
      <c r="C74" s="137">
        <f>SUM(C70:C73)</f>
        <v>196000</v>
      </c>
      <c r="D74" s="137">
        <f>SUM(D70:D73)</f>
        <v>200000</v>
      </c>
      <c r="E74" s="137">
        <f>SUM(E70:E73)</f>
        <v>112000</v>
      </c>
      <c r="F74" s="138">
        <f>D74/$D$77</f>
        <v>0.13577732518669383</v>
      </c>
      <c r="G74" s="133"/>
      <c r="H74" s="133"/>
      <c r="I74" s="134"/>
      <c r="J74" s="134"/>
      <c r="K74" s="134"/>
      <c r="L74" s="136"/>
      <c r="M74" s="134"/>
      <c r="N74" s="134"/>
      <c r="O74" s="134"/>
      <c r="P74" s="134"/>
      <c r="Q74" s="134"/>
      <c r="R74" s="134"/>
      <c r="S74" s="134"/>
      <c r="T74" s="134"/>
      <c r="U74" s="134"/>
      <c r="V74" s="134"/>
      <c r="W74" s="134"/>
      <c r="X74" s="134"/>
    </row>
    <row r="75" spans="1:24">
      <c r="A75" s="134"/>
      <c r="B75" s="134"/>
      <c r="C75" s="134"/>
      <c r="D75" s="134"/>
      <c r="E75" s="134"/>
      <c r="F75" s="134"/>
      <c r="G75" s="134"/>
      <c r="H75" s="134"/>
      <c r="I75" s="134"/>
      <c r="J75" s="134"/>
      <c r="K75" s="134"/>
      <c r="L75" s="136"/>
      <c r="M75" s="134"/>
      <c r="N75" s="134"/>
      <c r="O75" s="134"/>
      <c r="P75" s="134"/>
      <c r="Q75" s="134"/>
      <c r="R75" s="134"/>
      <c r="S75" s="134"/>
      <c r="T75" s="134"/>
      <c r="U75" s="134"/>
      <c r="V75" s="134"/>
      <c r="W75" s="134"/>
      <c r="X75" s="134"/>
    </row>
    <row r="77" spans="1:24">
      <c r="A77" s="142" t="s">
        <v>172</v>
      </c>
      <c r="B77" s="143">
        <f>SUM(B15,B22,B29,B37,B45,B51,B60,B66,B74)</f>
        <v>482000</v>
      </c>
      <c r="C77" s="143">
        <f>SUM(C15,C22,C29,C37,C45,C51,C60,C66,C74)</f>
        <v>991000</v>
      </c>
      <c r="D77" s="143">
        <f>SUM(D15,D22,D29,D37,D45,D51,D60,D66,D74)</f>
        <v>1473000</v>
      </c>
      <c r="E77" s="143">
        <f>SUM(E15,E22,E29,E37,E45,E51,E60,E66,E74)</f>
        <v>277100</v>
      </c>
      <c r="F77" s="144">
        <f>SUM(F9:F76)</f>
        <v>1</v>
      </c>
      <c r="G77" s="145"/>
      <c r="H77" s="145"/>
      <c r="I77" s="145"/>
      <c r="J77" s="145"/>
      <c r="K77" s="145"/>
      <c r="L77" s="146"/>
      <c r="M77" s="145"/>
      <c r="N77" s="145"/>
      <c r="O77" s="145"/>
      <c r="P77" s="145"/>
      <c r="Q77" s="145"/>
      <c r="R77" s="145"/>
      <c r="S77" s="145"/>
      <c r="T77" s="145"/>
      <c r="U77" s="145"/>
      <c r="V77" s="145"/>
      <c r="W77" s="145"/>
      <c r="X77" s="145"/>
    </row>
    <row r="78" spans="1:24">
      <c r="E78" s="147"/>
    </row>
  </sheetData>
  <mergeCells count="1">
    <mergeCell ref="G7:J7"/>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sheetPr codeName="Sheet5" enableFormatConditionsCalculation="0">
    <pageSetUpPr fitToPage="1"/>
  </sheetPr>
  <dimension ref="B1:AI28"/>
  <sheetViews>
    <sheetView workbookViewId="0">
      <selection activeCell="D40" sqref="D40"/>
    </sheetView>
  </sheetViews>
  <sheetFormatPr defaultColWidth="8.85546875" defaultRowHeight="15.75"/>
  <cols>
    <col min="1" max="3" width="19.140625" style="45" customWidth="1"/>
    <col min="4" max="4" width="44.140625" style="45" bestFit="1" customWidth="1"/>
    <col min="5" max="5" width="20.5703125" style="45" bestFit="1" customWidth="1"/>
    <col min="6" max="7" width="19.140625" style="45" customWidth="1"/>
    <col min="8" max="8" width="5" style="45" customWidth="1"/>
    <col min="9" max="9" width="26.85546875" style="45" customWidth="1"/>
    <col min="10" max="10" width="44.140625" style="45" bestFit="1" customWidth="1"/>
    <col min="11" max="11" width="20.5703125" style="45" bestFit="1" customWidth="1"/>
    <col min="12" max="12" width="12.5703125" style="45" bestFit="1" customWidth="1"/>
    <col min="13" max="13" width="10.85546875" style="45" bestFit="1" customWidth="1"/>
    <col min="14" max="14" width="5" style="45" customWidth="1"/>
    <col min="15" max="15" width="27" style="45" customWidth="1"/>
    <col min="16" max="16" width="44.140625" style="45" bestFit="1" customWidth="1"/>
    <col min="17" max="17" width="14.28515625" style="45" bestFit="1" customWidth="1"/>
    <col min="18" max="18" width="12.5703125" style="45" bestFit="1" customWidth="1"/>
    <col min="19" max="19" width="10.85546875" style="45" bestFit="1" customWidth="1"/>
    <col min="20" max="20" width="4.42578125" style="45" customWidth="1"/>
    <col min="21" max="21" width="18.42578125" style="45" customWidth="1"/>
    <col min="22" max="22" width="32" style="45" bestFit="1" customWidth="1"/>
    <col min="23" max="23" width="14.28515625" style="45" bestFit="1" customWidth="1"/>
    <col min="24" max="24" width="12.5703125" style="45" bestFit="1" customWidth="1"/>
    <col min="25" max="25" width="10.85546875" style="45" bestFit="1" customWidth="1"/>
    <col min="26" max="27" width="11" style="45" bestFit="1" customWidth="1"/>
    <col min="28" max="28" width="4.42578125" style="45" customWidth="1"/>
    <col min="29" max="29" width="18.42578125" style="45" customWidth="1"/>
    <col min="30" max="30" width="31.85546875" style="45" customWidth="1"/>
    <col min="31" max="31" width="14.28515625" style="45" bestFit="1" customWidth="1"/>
    <col min="32" max="32" width="12.5703125" style="45" bestFit="1" customWidth="1"/>
    <col min="33" max="33" width="10.85546875" style="45" bestFit="1" customWidth="1"/>
    <col min="34" max="35" width="11" style="45" bestFit="1" customWidth="1"/>
    <col min="36" max="36" width="8.85546875" style="45"/>
    <col min="37" max="37" width="10.7109375" style="45" customWidth="1"/>
    <col min="38" max="38" width="10.85546875" style="45" customWidth="1"/>
    <col min="39" max="16384" width="8.85546875" style="45"/>
  </cols>
  <sheetData>
    <row r="1" spans="2:35" ht="18.75">
      <c r="B1" s="72" t="s">
        <v>54</v>
      </c>
      <c r="E1" s="46" t="s">
        <v>51</v>
      </c>
      <c r="H1" s="72"/>
      <c r="K1" s="46" t="s">
        <v>51</v>
      </c>
    </row>
    <row r="2" spans="2:35">
      <c r="B2" s="1"/>
      <c r="E2" s="47">
        <v>168000</v>
      </c>
      <c r="H2" s="1"/>
      <c r="K2" s="47">
        <v>160000</v>
      </c>
    </row>
    <row r="3" spans="2:35">
      <c r="B3" s="4"/>
      <c r="H3" s="4"/>
    </row>
    <row r="4" spans="2:35">
      <c r="C4" s="48" t="s">
        <v>76</v>
      </c>
      <c r="F4" s="49">
        <f>G21</f>
        <v>2.7900000000000005</v>
      </c>
      <c r="G4" s="50" t="s">
        <v>22</v>
      </c>
      <c r="I4" s="48" t="s">
        <v>64</v>
      </c>
      <c r="L4" s="49">
        <f>M21</f>
        <v>2.6200000000000006</v>
      </c>
      <c r="M4" s="50" t="s">
        <v>22</v>
      </c>
      <c r="O4" s="48" t="s">
        <v>72</v>
      </c>
      <c r="R4" s="49">
        <f>S20</f>
        <v>2.3539999999999996</v>
      </c>
      <c r="S4" s="50" t="s">
        <v>22</v>
      </c>
      <c r="U4" s="48" t="s">
        <v>21</v>
      </c>
      <c r="Z4" s="49">
        <f>Y20</f>
        <v>2.4799999999999991</v>
      </c>
      <c r="AA4" s="50" t="s">
        <v>22</v>
      </c>
      <c r="AC4" s="48" t="s">
        <v>23</v>
      </c>
      <c r="AH4" s="51">
        <f>AG19</f>
        <v>1.2800000000000002</v>
      </c>
      <c r="AI4" s="52" t="s">
        <v>22</v>
      </c>
    </row>
    <row r="6" spans="2:35" ht="64.5" customHeight="1">
      <c r="C6" s="53" t="s">
        <v>24</v>
      </c>
      <c r="D6" s="53" t="s">
        <v>25</v>
      </c>
      <c r="E6" s="53" t="s">
        <v>26</v>
      </c>
      <c r="F6" s="53" t="s">
        <v>27</v>
      </c>
      <c r="G6" s="53" t="s">
        <v>28</v>
      </c>
      <c r="I6" s="53" t="s">
        <v>24</v>
      </c>
      <c r="J6" s="53" t="s">
        <v>25</v>
      </c>
      <c r="K6" s="53" t="s">
        <v>26</v>
      </c>
      <c r="L6" s="53" t="s">
        <v>27</v>
      </c>
      <c r="M6" s="53" t="s">
        <v>28</v>
      </c>
      <c r="O6" s="53" t="s">
        <v>24</v>
      </c>
      <c r="P6" s="53" t="s">
        <v>25</v>
      </c>
      <c r="Q6" s="53" t="s">
        <v>26</v>
      </c>
      <c r="R6" s="53" t="s">
        <v>27</v>
      </c>
      <c r="S6" s="53" t="s">
        <v>28</v>
      </c>
      <c r="U6" s="53" t="s">
        <v>24</v>
      </c>
      <c r="V6" s="53" t="s">
        <v>25</v>
      </c>
      <c r="W6" s="53" t="s">
        <v>26</v>
      </c>
      <c r="X6" s="53" t="s">
        <v>27</v>
      </c>
      <c r="Y6" s="53" t="s">
        <v>28</v>
      </c>
      <c r="Z6" s="53" t="s">
        <v>29</v>
      </c>
      <c r="AA6" s="53" t="s">
        <v>30</v>
      </c>
      <c r="AC6" s="53" t="s">
        <v>24</v>
      </c>
      <c r="AD6" s="53" t="s">
        <v>25</v>
      </c>
      <c r="AE6" s="53" t="s">
        <v>26</v>
      </c>
      <c r="AF6" s="53" t="s">
        <v>27</v>
      </c>
      <c r="AG6" s="53" t="s">
        <v>28</v>
      </c>
      <c r="AH6" s="53" t="s">
        <v>29</v>
      </c>
      <c r="AI6" s="53" t="s">
        <v>30</v>
      </c>
    </row>
    <row r="7" spans="2:35">
      <c r="C7" s="54" t="s">
        <v>31</v>
      </c>
      <c r="D7" s="54" t="s">
        <v>52</v>
      </c>
      <c r="E7" s="55">
        <v>0.05</v>
      </c>
      <c r="F7" s="55">
        <v>0.02</v>
      </c>
      <c r="G7" s="56">
        <f t="shared" ref="G7:G12" si="0">SUM(E7:F7)</f>
        <v>7.0000000000000007E-2</v>
      </c>
      <c r="I7" s="54" t="s">
        <v>31</v>
      </c>
      <c r="J7" s="54" t="s">
        <v>52</v>
      </c>
      <c r="K7" s="55">
        <v>0.1</v>
      </c>
      <c r="L7" s="55">
        <v>0.2</v>
      </c>
      <c r="M7" s="56">
        <f t="shared" ref="M7:M20" si="1">SUM(K7:L7)</f>
        <v>0.30000000000000004</v>
      </c>
      <c r="O7" s="54" t="s">
        <v>31</v>
      </c>
      <c r="P7" s="54" t="s">
        <v>52</v>
      </c>
      <c r="Q7" s="55">
        <v>0.6</v>
      </c>
      <c r="R7" s="55">
        <v>0.2</v>
      </c>
      <c r="S7" s="56">
        <v>0.8</v>
      </c>
      <c r="U7" s="54" t="s">
        <v>31</v>
      </c>
      <c r="V7" s="54" t="s">
        <v>32</v>
      </c>
      <c r="W7" s="56">
        <v>0.4</v>
      </c>
      <c r="X7" s="56">
        <v>0.4</v>
      </c>
      <c r="Y7" s="56">
        <f t="shared" ref="Y7:Y19" si="2">SUM(W7:X7)</f>
        <v>0.8</v>
      </c>
      <c r="Z7" s="54"/>
      <c r="AA7" s="54"/>
      <c r="AC7" s="54" t="s">
        <v>31</v>
      </c>
      <c r="AD7" s="54" t="s">
        <v>32</v>
      </c>
      <c r="AE7" s="56">
        <v>0.2</v>
      </c>
      <c r="AF7" s="56">
        <v>0.1</v>
      </c>
      <c r="AG7" s="56">
        <f t="shared" ref="AG7:AG17" si="3">SUM(AE7:AF7)</f>
        <v>0.30000000000000004</v>
      </c>
      <c r="AH7" s="54"/>
      <c r="AI7" s="54"/>
    </row>
    <row r="8" spans="2:35">
      <c r="C8" s="54" t="s">
        <v>33</v>
      </c>
      <c r="D8" s="54" t="s">
        <v>34</v>
      </c>
      <c r="E8" s="55">
        <v>0.1</v>
      </c>
      <c r="F8" s="55">
        <v>0.25</v>
      </c>
      <c r="G8" s="56">
        <f t="shared" si="0"/>
        <v>0.35</v>
      </c>
      <c r="I8" s="54" t="s">
        <v>33</v>
      </c>
      <c r="J8" s="54" t="s">
        <v>34</v>
      </c>
      <c r="K8" s="55">
        <v>0.1</v>
      </c>
      <c r="L8" s="55">
        <v>0.25</v>
      </c>
      <c r="M8" s="56">
        <f t="shared" si="1"/>
        <v>0.35</v>
      </c>
      <c r="O8" s="54" t="s">
        <v>33</v>
      </c>
      <c r="P8" s="54" t="s">
        <v>34</v>
      </c>
      <c r="Q8" s="55">
        <v>0.2</v>
      </c>
      <c r="R8" s="55">
        <v>0.25</v>
      </c>
      <c r="S8" s="56">
        <v>0.45</v>
      </c>
      <c r="U8" s="54" t="s">
        <v>33</v>
      </c>
      <c r="V8" s="54" t="s">
        <v>34</v>
      </c>
      <c r="W8" s="56">
        <v>0.3</v>
      </c>
      <c r="X8" s="56">
        <v>0.2</v>
      </c>
      <c r="Y8" s="56">
        <f t="shared" si="2"/>
        <v>0.5</v>
      </c>
      <c r="Z8" s="54"/>
      <c r="AA8" s="54"/>
      <c r="AC8" s="54" t="s">
        <v>33</v>
      </c>
      <c r="AD8" s="54" t="s">
        <v>34</v>
      </c>
      <c r="AE8" s="56">
        <v>0.15</v>
      </c>
      <c r="AF8" s="56">
        <v>0.25</v>
      </c>
      <c r="AG8" s="56">
        <f t="shared" si="3"/>
        <v>0.4</v>
      </c>
      <c r="AH8" s="54"/>
      <c r="AI8" s="54"/>
    </row>
    <row r="9" spans="2:35">
      <c r="C9" s="54" t="s">
        <v>35</v>
      </c>
      <c r="D9" s="54" t="s">
        <v>79</v>
      </c>
      <c r="E9" s="55">
        <v>0.15</v>
      </c>
      <c r="F9" s="55">
        <v>0.25</v>
      </c>
      <c r="G9" s="56">
        <f t="shared" si="0"/>
        <v>0.4</v>
      </c>
      <c r="I9" s="54" t="s">
        <v>35</v>
      </c>
      <c r="J9" s="54" t="s">
        <v>36</v>
      </c>
      <c r="K9" s="55">
        <v>0.15</v>
      </c>
      <c r="L9" s="55">
        <v>0.25</v>
      </c>
      <c r="M9" s="56">
        <f t="shared" si="1"/>
        <v>0.4</v>
      </c>
      <c r="O9" s="54" t="s">
        <v>35</v>
      </c>
      <c r="P9" s="54" t="s">
        <v>36</v>
      </c>
      <c r="Q9" s="55">
        <v>0.254</v>
      </c>
      <c r="R9" s="55">
        <v>0.35</v>
      </c>
      <c r="S9" s="56">
        <v>0.60399999999999998</v>
      </c>
      <c r="U9" s="54" t="s">
        <v>35</v>
      </c>
      <c r="V9" s="54" t="s">
        <v>36</v>
      </c>
      <c r="W9" s="56">
        <v>0.33</v>
      </c>
      <c r="X9" s="56">
        <v>0.33</v>
      </c>
      <c r="Y9" s="56">
        <f t="shared" si="2"/>
        <v>0.66</v>
      </c>
      <c r="Z9" s="54"/>
      <c r="AA9" s="54"/>
      <c r="AC9" s="54" t="s">
        <v>35</v>
      </c>
      <c r="AD9" s="54" t="s">
        <v>36</v>
      </c>
      <c r="AE9" s="56">
        <v>0.15</v>
      </c>
      <c r="AF9" s="56">
        <v>0.15</v>
      </c>
      <c r="AG9" s="56">
        <f t="shared" si="3"/>
        <v>0.3</v>
      </c>
      <c r="AH9" s="54"/>
      <c r="AI9" s="54"/>
    </row>
    <row r="10" spans="2:35">
      <c r="C10" s="57" t="s">
        <v>37</v>
      </c>
      <c r="D10" s="57" t="s">
        <v>38</v>
      </c>
      <c r="E10" s="58">
        <v>0</v>
      </c>
      <c r="F10" s="56">
        <v>0.02</v>
      </c>
      <c r="G10" s="58">
        <f t="shared" si="0"/>
        <v>0.02</v>
      </c>
      <c r="I10" s="57" t="s">
        <v>37</v>
      </c>
      <c r="J10" s="57" t="s">
        <v>38</v>
      </c>
      <c r="K10" s="58">
        <v>0</v>
      </c>
      <c r="L10" s="56">
        <v>0.02</v>
      </c>
      <c r="M10" s="58">
        <f t="shared" si="1"/>
        <v>0.02</v>
      </c>
      <c r="O10" s="57" t="s">
        <v>37</v>
      </c>
      <c r="P10" s="57" t="s">
        <v>38</v>
      </c>
      <c r="Q10" s="58">
        <v>0</v>
      </c>
      <c r="R10" s="56">
        <v>0.01</v>
      </c>
      <c r="S10" s="58">
        <v>0.01</v>
      </c>
      <c r="U10" s="57" t="s">
        <v>37</v>
      </c>
      <c r="V10" s="57" t="s">
        <v>38</v>
      </c>
      <c r="W10" s="58">
        <v>0</v>
      </c>
      <c r="X10" s="56">
        <v>0.01</v>
      </c>
      <c r="Y10" s="58">
        <f t="shared" si="2"/>
        <v>0.01</v>
      </c>
      <c r="Z10" s="54"/>
      <c r="AA10" s="54"/>
      <c r="AC10" s="57" t="s">
        <v>37</v>
      </c>
      <c r="AD10" s="57" t="s">
        <v>38</v>
      </c>
      <c r="AE10" s="58">
        <v>0</v>
      </c>
      <c r="AF10" s="56">
        <v>0.02</v>
      </c>
      <c r="AG10" s="58">
        <f t="shared" si="3"/>
        <v>0.02</v>
      </c>
      <c r="AH10" s="54"/>
      <c r="AI10" s="54"/>
    </row>
    <row r="11" spans="2:35">
      <c r="C11" s="57" t="s">
        <v>66</v>
      </c>
      <c r="D11" s="54" t="s">
        <v>0</v>
      </c>
      <c r="E11" s="58">
        <v>0</v>
      </c>
      <c r="F11" s="56">
        <v>0.02</v>
      </c>
      <c r="G11" s="58">
        <f t="shared" si="0"/>
        <v>0.02</v>
      </c>
      <c r="I11" s="57" t="s">
        <v>66</v>
      </c>
      <c r="J11" s="54" t="s">
        <v>0</v>
      </c>
      <c r="K11" s="58">
        <v>0</v>
      </c>
      <c r="L11" s="56">
        <v>0.02</v>
      </c>
      <c r="M11" s="58">
        <f t="shared" si="1"/>
        <v>0.02</v>
      </c>
      <c r="O11" s="57" t="s">
        <v>66</v>
      </c>
      <c r="P11" s="54" t="s">
        <v>0</v>
      </c>
      <c r="Q11" s="58">
        <v>0</v>
      </c>
      <c r="R11" s="56">
        <v>0.01</v>
      </c>
      <c r="S11" s="58">
        <v>0.01</v>
      </c>
      <c r="U11" s="57" t="s">
        <v>39</v>
      </c>
      <c r="V11" s="54" t="s">
        <v>0</v>
      </c>
      <c r="W11" s="58">
        <v>0</v>
      </c>
      <c r="X11" s="56">
        <v>0.01</v>
      </c>
      <c r="Y11" s="58">
        <f t="shared" si="2"/>
        <v>0.01</v>
      </c>
      <c r="Z11" s="54"/>
      <c r="AA11" s="54"/>
      <c r="AC11" s="57" t="s">
        <v>1</v>
      </c>
      <c r="AD11" s="54" t="s">
        <v>0</v>
      </c>
      <c r="AE11" s="58">
        <v>0</v>
      </c>
      <c r="AF11" s="56">
        <v>0.05</v>
      </c>
      <c r="AG11" s="58">
        <f t="shared" si="3"/>
        <v>0.05</v>
      </c>
      <c r="AH11" s="54"/>
      <c r="AI11" s="54"/>
    </row>
    <row r="12" spans="2:35">
      <c r="C12" s="57" t="s">
        <v>80</v>
      </c>
      <c r="D12" s="54" t="s">
        <v>3</v>
      </c>
      <c r="E12" s="58">
        <v>0.5</v>
      </c>
      <c r="F12" s="56">
        <v>0</v>
      </c>
      <c r="G12" s="58">
        <f t="shared" si="0"/>
        <v>0.5</v>
      </c>
      <c r="I12" s="57" t="s">
        <v>80</v>
      </c>
      <c r="J12" s="54" t="s">
        <v>3</v>
      </c>
      <c r="K12" s="58">
        <v>0.1</v>
      </c>
      <c r="L12" s="56">
        <v>0</v>
      </c>
      <c r="M12" s="58">
        <f t="shared" si="1"/>
        <v>0.1</v>
      </c>
      <c r="O12" s="57" t="s">
        <v>80</v>
      </c>
      <c r="P12" s="54" t="s">
        <v>3</v>
      </c>
      <c r="Q12" s="58">
        <v>0.04</v>
      </c>
      <c r="R12" s="56">
        <v>0</v>
      </c>
      <c r="S12" s="58">
        <v>0.04</v>
      </c>
      <c r="U12" s="57" t="s">
        <v>2</v>
      </c>
      <c r="V12" s="54" t="s">
        <v>3</v>
      </c>
      <c r="W12" s="58">
        <v>0.04</v>
      </c>
      <c r="X12" s="56">
        <v>0</v>
      </c>
      <c r="Y12" s="58">
        <f t="shared" si="2"/>
        <v>0.04</v>
      </c>
      <c r="Z12" s="54"/>
      <c r="AA12" s="54"/>
      <c r="AC12" s="57" t="s">
        <v>56</v>
      </c>
      <c r="AD12" s="54" t="s">
        <v>4</v>
      </c>
      <c r="AE12" s="58">
        <v>0</v>
      </c>
      <c r="AF12" s="56">
        <v>0.02</v>
      </c>
      <c r="AG12" s="58">
        <f t="shared" si="3"/>
        <v>0.02</v>
      </c>
      <c r="AH12" s="54"/>
      <c r="AI12" s="54"/>
    </row>
    <row r="13" spans="2:35">
      <c r="C13" s="57" t="s">
        <v>7</v>
      </c>
      <c r="D13" s="54" t="s">
        <v>57</v>
      </c>
      <c r="E13" s="58">
        <v>0.05</v>
      </c>
      <c r="F13" s="56">
        <v>0</v>
      </c>
      <c r="G13" s="58">
        <f t="shared" ref="G13:G18" si="4">SUM(E13:F13)</f>
        <v>0.05</v>
      </c>
      <c r="I13" s="57" t="s">
        <v>56</v>
      </c>
      <c r="J13" s="54" t="s">
        <v>4</v>
      </c>
      <c r="K13" s="58">
        <v>0</v>
      </c>
      <c r="L13" s="56">
        <v>0.02</v>
      </c>
      <c r="M13" s="58">
        <f t="shared" si="1"/>
        <v>0.02</v>
      </c>
      <c r="O13" s="57" t="s">
        <v>56</v>
      </c>
      <c r="P13" s="54" t="s">
        <v>4</v>
      </c>
      <c r="Q13" s="58">
        <v>0</v>
      </c>
      <c r="R13" s="56">
        <v>0.02</v>
      </c>
      <c r="S13" s="58">
        <v>0.02</v>
      </c>
      <c r="U13" s="57" t="s">
        <v>56</v>
      </c>
      <c r="V13" s="54" t="s">
        <v>4</v>
      </c>
      <c r="W13" s="58">
        <v>0</v>
      </c>
      <c r="X13" s="56">
        <v>0.02</v>
      </c>
      <c r="Y13" s="58">
        <f t="shared" si="2"/>
        <v>0.02</v>
      </c>
      <c r="Z13" s="54"/>
      <c r="AA13" s="54"/>
      <c r="AC13" s="54" t="s">
        <v>5</v>
      </c>
      <c r="AD13" s="54" t="s">
        <v>6</v>
      </c>
      <c r="AE13" s="56">
        <v>0.05</v>
      </c>
      <c r="AF13" s="56">
        <v>0</v>
      </c>
      <c r="AG13" s="56">
        <f t="shared" si="3"/>
        <v>0.05</v>
      </c>
      <c r="AH13" s="54"/>
      <c r="AI13" s="54"/>
    </row>
    <row r="14" spans="2:35">
      <c r="C14" s="54" t="s">
        <v>5</v>
      </c>
      <c r="D14" s="54" t="s">
        <v>6</v>
      </c>
      <c r="E14" s="56">
        <v>0.1</v>
      </c>
      <c r="F14" s="56">
        <v>0</v>
      </c>
      <c r="G14" s="56">
        <f t="shared" si="4"/>
        <v>0.1</v>
      </c>
      <c r="I14" s="57" t="s">
        <v>7</v>
      </c>
      <c r="J14" s="54" t="s">
        <v>57</v>
      </c>
      <c r="K14" s="58">
        <v>0.05</v>
      </c>
      <c r="L14" s="56">
        <v>0</v>
      </c>
      <c r="M14" s="58">
        <f t="shared" si="1"/>
        <v>0.05</v>
      </c>
      <c r="O14" s="57" t="s">
        <v>7</v>
      </c>
      <c r="P14" s="54" t="s">
        <v>57</v>
      </c>
      <c r="Q14" s="58">
        <v>0.05</v>
      </c>
      <c r="R14" s="56">
        <v>0</v>
      </c>
      <c r="S14" s="58">
        <v>0.05</v>
      </c>
      <c r="U14" s="57" t="s">
        <v>7</v>
      </c>
      <c r="V14" s="54" t="s">
        <v>57</v>
      </c>
      <c r="W14" s="58">
        <v>0.05</v>
      </c>
      <c r="X14" s="56">
        <v>0</v>
      </c>
      <c r="Y14" s="58">
        <f t="shared" si="2"/>
        <v>0.05</v>
      </c>
      <c r="Z14" s="54"/>
      <c r="AA14" s="54"/>
      <c r="AC14" s="54" t="s">
        <v>8</v>
      </c>
      <c r="AD14" s="54" t="s">
        <v>9</v>
      </c>
      <c r="AE14" s="56">
        <v>0.1</v>
      </c>
      <c r="AF14" s="56">
        <v>0</v>
      </c>
      <c r="AG14" s="56">
        <f t="shared" si="3"/>
        <v>0.1</v>
      </c>
      <c r="AH14" s="54"/>
      <c r="AI14" s="54"/>
    </row>
    <row r="15" spans="2:35">
      <c r="C15" s="54" t="s">
        <v>12</v>
      </c>
      <c r="D15" s="54" t="s">
        <v>9</v>
      </c>
      <c r="E15" s="55">
        <v>0.1</v>
      </c>
      <c r="F15" s="55">
        <v>0</v>
      </c>
      <c r="G15" s="55">
        <f t="shared" si="4"/>
        <v>0.1</v>
      </c>
      <c r="I15" s="54" t="s">
        <v>5</v>
      </c>
      <c r="J15" s="54" t="s">
        <v>6</v>
      </c>
      <c r="K15" s="56">
        <v>0.1</v>
      </c>
      <c r="L15" s="56">
        <v>0</v>
      </c>
      <c r="M15" s="56">
        <f t="shared" si="1"/>
        <v>0.1</v>
      </c>
      <c r="O15" s="54" t="s">
        <v>5</v>
      </c>
      <c r="P15" s="54" t="s">
        <v>6</v>
      </c>
      <c r="Q15" s="56">
        <v>0.1</v>
      </c>
      <c r="R15" s="56">
        <v>0</v>
      </c>
      <c r="S15" s="56">
        <v>0.1</v>
      </c>
      <c r="U15" s="54" t="s">
        <v>5</v>
      </c>
      <c r="V15" s="54" t="s">
        <v>6</v>
      </c>
      <c r="W15" s="56">
        <v>0.05</v>
      </c>
      <c r="X15" s="56">
        <v>0</v>
      </c>
      <c r="Y15" s="56">
        <f t="shared" si="2"/>
        <v>0.05</v>
      </c>
      <c r="Z15" s="54"/>
      <c r="AA15" s="54"/>
      <c r="AC15" s="54" t="s">
        <v>10</v>
      </c>
      <c r="AD15" s="54" t="s">
        <v>11</v>
      </c>
      <c r="AE15" s="56">
        <v>0.01</v>
      </c>
      <c r="AF15" s="56">
        <v>0</v>
      </c>
      <c r="AG15" s="56">
        <f t="shared" si="3"/>
        <v>0.01</v>
      </c>
      <c r="AH15" s="54"/>
      <c r="AI15" s="54"/>
    </row>
    <row r="16" spans="2:35">
      <c r="C16" s="54" t="s">
        <v>10</v>
      </c>
      <c r="D16" s="54" t="s">
        <v>15</v>
      </c>
      <c r="E16" s="55">
        <v>7.0000000000000007E-2</v>
      </c>
      <c r="F16" s="55">
        <v>0</v>
      </c>
      <c r="G16" s="55">
        <f t="shared" si="4"/>
        <v>7.0000000000000007E-2</v>
      </c>
      <c r="I16" s="54" t="s">
        <v>12</v>
      </c>
      <c r="J16" s="54" t="s">
        <v>9</v>
      </c>
      <c r="K16" s="55">
        <v>0.1</v>
      </c>
      <c r="L16" s="55">
        <v>0</v>
      </c>
      <c r="M16" s="55">
        <f t="shared" si="1"/>
        <v>0.1</v>
      </c>
      <c r="O16" s="54" t="s">
        <v>12</v>
      </c>
      <c r="P16" s="54" t="s">
        <v>9</v>
      </c>
      <c r="Q16" s="55">
        <v>0.12</v>
      </c>
      <c r="R16" s="55">
        <v>0</v>
      </c>
      <c r="S16" s="55">
        <v>0.12</v>
      </c>
      <c r="U16" s="54" t="s">
        <v>12</v>
      </c>
      <c r="V16" s="54" t="s">
        <v>9</v>
      </c>
      <c r="W16" s="55">
        <v>0.15</v>
      </c>
      <c r="X16" s="55">
        <v>0</v>
      </c>
      <c r="Y16" s="55">
        <f t="shared" si="2"/>
        <v>0.15</v>
      </c>
      <c r="Z16" s="54"/>
      <c r="AA16" s="54"/>
      <c r="AC16" s="54" t="s">
        <v>13</v>
      </c>
      <c r="AD16" s="54" t="s">
        <v>14</v>
      </c>
      <c r="AE16" s="56">
        <v>0.01</v>
      </c>
      <c r="AF16" s="56">
        <v>0</v>
      </c>
      <c r="AG16" s="56">
        <f t="shared" si="3"/>
        <v>0.01</v>
      </c>
      <c r="AH16" s="54"/>
      <c r="AI16" s="54"/>
    </row>
    <row r="17" spans="3:35">
      <c r="C17" s="54" t="s">
        <v>67</v>
      </c>
      <c r="D17" s="54" t="s">
        <v>17</v>
      </c>
      <c r="E17" s="55">
        <v>0.05</v>
      </c>
      <c r="F17" s="55">
        <v>0</v>
      </c>
      <c r="G17" s="55">
        <f t="shared" si="4"/>
        <v>0.05</v>
      </c>
      <c r="I17" s="54" t="s">
        <v>10</v>
      </c>
      <c r="J17" s="54" t="s">
        <v>15</v>
      </c>
      <c r="K17" s="55">
        <v>7.0000000000000007E-2</v>
      </c>
      <c r="L17" s="55">
        <v>0</v>
      </c>
      <c r="M17" s="55">
        <f t="shared" si="1"/>
        <v>7.0000000000000007E-2</v>
      </c>
      <c r="O17" s="54" t="s">
        <v>10</v>
      </c>
      <c r="P17" s="54" t="s">
        <v>15</v>
      </c>
      <c r="Q17" s="55">
        <v>7.0000000000000007E-2</v>
      </c>
      <c r="R17" s="55">
        <v>0</v>
      </c>
      <c r="S17" s="55">
        <v>7.0000000000000007E-2</v>
      </c>
      <c r="U17" s="54" t="s">
        <v>10</v>
      </c>
      <c r="V17" s="54" t="s">
        <v>15</v>
      </c>
      <c r="W17" s="55">
        <v>7.0000000000000007E-2</v>
      </c>
      <c r="X17" s="55">
        <v>0</v>
      </c>
      <c r="Y17" s="55">
        <f t="shared" si="2"/>
        <v>7.0000000000000007E-2</v>
      </c>
      <c r="Z17" s="54"/>
      <c r="AA17" s="54"/>
      <c r="AC17" s="54" t="s">
        <v>16</v>
      </c>
      <c r="AD17" s="54" t="s">
        <v>45</v>
      </c>
      <c r="AE17" s="56">
        <v>0.02</v>
      </c>
      <c r="AF17" s="56">
        <v>0</v>
      </c>
      <c r="AG17" s="56">
        <f t="shared" si="3"/>
        <v>0.02</v>
      </c>
      <c r="AH17" s="54"/>
      <c r="AI17" s="54"/>
    </row>
    <row r="18" spans="3:35">
      <c r="C18" s="54" t="s">
        <v>16</v>
      </c>
      <c r="D18" s="54" t="s">
        <v>45</v>
      </c>
      <c r="E18" s="55">
        <v>0.04</v>
      </c>
      <c r="F18" s="55">
        <v>0</v>
      </c>
      <c r="G18" s="55">
        <f t="shared" si="4"/>
        <v>0.04</v>
      </c>
      <c r="I18" s="54" t="s">
        <v>67</v>
      </c>
      <c r="J18" s="54" t="s">
        <v>17</v>
      </c>
      <c r="K18" s="55">
        <v>0.05</v>
      </c>
      <c r="L18" s="55">
        <v>0</v>
      </c>
      <c r="M18" s="55">
        <f t="shared" si="1"/>
        <v>0.05</v>
      </c>
      <c r="O18" s="54" t="s">
        <v>67</v>
      </c>
      <c r="P18" s="54" t="s">
        <v>17</v>
      </c>
      <c r="Q18" s="55">
        <v>0.05</v>
      </c>
      <c r="R18" s="55">
        <v>0</v>
      </c>
      <c r="S18" s="55">
        <v>0.05</v>
      </c>
      <c r="U18" s="54" t="s">
        <v>13</v>
      </c>
      <c r="V18" s="54" t="s">
        <v>17</v>
      </c>
      <c r="W18" s="55">
        <v>0.09</v>
      </c>
      <c r="X18" s="55">
        <v>0</v>
      </c>
      <c r="Y18" s="55">
        <f t="shared" si="2"/>
        <v>0.09</v>
      </c>
      <c r="Z18" s="54"/>
      <c r="AA18" s="54"/>
    </row>
    <row r="19" spans="3:35">
      <c r="C19" s="54" t="s">
        <v>78</v>
      </c>
      <c r="D19" s="54" t="s">
        <v>77</v>
      </c>
      <c r="E19" s="55">
        <v>0.02</v>
      </c>
      <c r="F19" s="55">
        <v>0</v>
      </c>
      <c r="G19" s="55">
        <f t="shared" ref="G19" si="5">SUM(E19:F19)</f>
        <v>0.02</v>
      </c>
      <c r="I19" s="54" t="s">
        <v>16</v>
      </c>
      <c r="J19" s="54" t="s">
        <v>45</v>
      </c>
      <c r="K19" s="55">
        <v>0.04</v>
      </c>
      <c r="L19" s="55">
        <v>0</v>
      </c>
      <c r="M19" s="55">
        <f t="shared" si="1"/>
        <v>0.04</v>
      </c>
      <c r="O19" s="54" t="s">
        <v>16</v>
      </c>
      <c r="P19" s="54" t="s">
        <v>45</v>
      </c>
      <c r="Q19" s="55">
        <v>0.03</v>
      </c>
      <c r="R19" s="55">
        <v>0</v>
      </c>
      <c r="S19" s="55">
        <v>0.03</v>
      </c>
      <c r="U19" s="54" t="s">
        <v>16</v>
      </c>
      <c r="V19" s="54" t="s">
        <v>45</v>
      </c>
      <c r="W19" s="55">
        <v>0.03</v>
      </c>
      <c r="X19" s="55">
        <v>0</v>
      </c>
      <c r="Y19" s="55">
        <f t="shared" si="2"/>
        <v>0.03</v>
      </c>
      <c r="Z19" s="54"/>
      <c r="AA19" s="54"/>
      <c r="AE19" s="59">
        <f>SUM(AE7:AE17)</f>
        <v>0.69000000000000006</v>
      </c>
      <c r="AF19" s="59">
        <f>SUM(AF7:AF17)</f>
        <v>0.59000000000000008</v>
      </c>
      <c r="AG19" s="59">
        <f>SUM(AG7:AG17)</f>
        <v>1.2800000000000002</v>
      </c>
      <c r="AH19" s="60">
        <f>100000*1.4</f>
        <v>140000</v>
      </c>
      <c r="AI19" s="60">
        <f>AH19*AG19</f>
        <v>179200.00000000003</v>
      </c>
    </row>
    <row r="20" spans="3:35">
      <c r="C20" s="61" t="s">
        <v>70</v>
      </c>
      <c r="D20" s="61" t="s">
        <v>71</v>
      </c>
      <c r="E20" s="62">
        <v>0.8</v>
      </c>
      <c r="F20" s="62">
        <v>0.2</v>
      </c>
      <c r="G20" s="62">
        <f>SUM(E20:F20)</f>
        <v>1</v>
      </c>
      <c r="I20" s="61" t="s">
        <v>70</v>
      </c>
      <c r="J20" s="61" t="s">
        <v>71</v>
      </c>
      <c r="K20" s="62">
        <v>0.4</v>
      </c>
      <c r="L20" s="62">
        <v>0.6</v>
      </c>
      <c r="M20" s="62">
        <f t="shared" si="1"/>
        <v>1</v>
      </c>
      <c r="P20" s="63" t="s">
        <v>22</v>
      </c>
      <c r="Q20" s="64">
        <v>1.5140000000000005</v>
      </c>
      <c r="R20" s="64">
        <v>0.84000000000000008</v>
      </c>
      <c r="S20" s="64">
        <v>2.3539999999999996</v>
      </c>
      <c r="V20" s="65" t="s">
        <v>22</v>
      </c>
      <c r="W20" s="66">
        <f>SUM(W7:W19)</f>
        <v>1.5100000000000002</v>
      </c>
      <c r="X20" s="66">
        <f t="shared" ref="X20:Y20" si="6">SUM(X7:X19)</f>
        <v>0.9700000000000002</v>
      </c>
      <c r="Y20" s="66">
        <f t="shared" si="6"/>
        <v>2.4799999999999991</v>
      </c>
      <c r="Z20" s="67">
        <v>160000</v>
      </c>
      <c r="AA20" s="67">
        <f>Z20*Y20</f>
        <v>396799.99999999988</v>
      </c>
      <c r="AE20" s="68">
        <f>AE19/$AG$19</f>
        <v>0.53906249999999989</v>
      </c>
      <c r="AF20" s="68">
        <f>AF19/$AG$19</f>
        <v>0.4609375</v>
      </c>
    </row>
    <row r="21" spans="3:35">
      <c r="D21" s="69" t="s">
        <v>22</v>
      </c>
      <c r="E21" s="64">
        <f>SUM(E7:E20)</f>
        <v>2.0300000000000002</v>
      </c>
      <c r="F21" s="64">
        <f>SUM(F7:F20)</f>
        <v>0.76</v>
      </c>
      <c r="G21" s="64">
        <f>SUM(G7:G20)</f>
        <v>2.7900000000000005</v>
      </c>
      <c r="J21" s="69" t="s">
        <v>22</v>
      </c>
      <c r="K21" s="64">
        <f>SUM(K7:K20)</f>
        <v>1.2600000000000002</v>
      </c>
      <c r="L21" s="64">
        <f>SUM(L7:L20)</f>
        <v>1.3599999999999999</v>
      </c>
      <c r="M21" s="64">
        <f>SUM(M7:M20)</f>
        <v>2.6200000000000006</v>
      </c>
      <c r="Q21" s="47">
        <v>242240.00000000009</v>
      </c>
      <c r="R21" s="47">
        <v>134400</v>
      </c>
      <c r="S21" s="47">
        <v>376639.99999999994</v>
      </c>
      <c r="W21" s="70">
        <f>W20*$Z$20</f>
        <v>241600.00000000003</v>
      </c>
      <c r="X21" s="70">
        <f t="shared" ref="X21:Y21" si="7">X20*$Z$20</f>
        <v>155200.00000000003</v>
      </c>
      <c r="Y21" s="70">
        <f t="shared" si="7"/>
        <v>396799.99999999988</v>
      </c>
      <c r="AE21" s="71">
        <f>AI19*AF20</f>
        <v>82600.000000000015</v>
      </c>
      <c r="AF21" s="71">
        <f>AI19*AE20</f>
        <v>96600</v>
      </c>
    </row>
    <row r="22" spans="3:35" ht="15" customHeight="1">
      <c r="E22" s="47">
        <f>E21*$K$2</f>
        <v>324800.00000000006</v>
      </c>
      <c r="F22" s="47">
        <f>F21*$K$2</f>
        <v>121600</v>
      </c>
      <c r="G22" s="47">
        <f>G21*$K$2</f>
        <v>446400.00000000006</v>
      </c>
      <c r="K22" s="47">
        <f>K21*$K$2</f>
        <v>201600.00000000003</v>
      </c>
      <c r="L22" s="47">
        <f>L21*$K$2</f>
        <v>217599.99999999997</v>
      </c>
      <c r="M22" s="47">
        <f>M21*$K$2</f>
        <v>419200.00000000012</v>
      </c>
    </row>
    <row r="23" spans="3:35" ht="15" customHeight="1"/>
    <row r="24" spans="3:35" ht="15" customHeight="1">
      <c r="D24" s="48" t="s">
        <v>75</v>
      </c>
      <c r="J24" s="48" t="s">
        <v>75</v>
      </c>
    </row>
    <row r="25" spans="3:35">
      <c r="D25" s="63" t="s">
        <v>22</v>
      </c>
      <c r="E25" s="64">
        <f>SUM(E7:E19)</f>
        <v>1.2300000000000002</v>
      </c>
      <c r="F25" s="64">
        <f>SUM(F7:F19)</f>
        <v>0.56000000000000005</v>
      </c>
      <c r="G25" s="64">
        <f>SUM(G7:G19)</f>
        <v>1.7900000000000005</v>
      </c>
      <c r="J25" s="63" t="s">
        <v>22</v>
      </c>
      <c r="K25" s="64">
        <f>SUM(K7:K19)</f>
        <v>0.8600000000000001</v>
      </c>
      <c r="L25" s="64">
        <f t="shared" ref="L25:M25" si="8">SUM(L7:L19)</f>
        <v>0.76</v>
      </c>
      <c r="M25" s="64">
        <f t="shared" si="8"/>
        <v>1.6200000000000006</v>
      </c>
    </row>
    <row r="26" spans="3:35">
      <c r="E26" s="47">
        <f>E25*$K$2</f>
        <v>196800.00000000003</v>
      </c>
      <c r="F26" s="47">
        <f>F25*$K$2</f>
        <v>89600.000000000015</v>
      </c>
      <c r="G26" s="47">
        <f>G25*$K$2</f>
        <v>286400.00000000006</v>
      </c>
      <c r="K26" s="47">
        <f>K25*$K$2</f>
        <v>137600.00000000003</v>
      </c>
      <c r="L26" s="47">
        <f>L25*$K$2</f>
        <v>121600</v>
      </c>
      <c r="M26" s="47">
        <f>M25*$K$2</f>
        <v>259200.00000000009</v>
      </c>
    </row>
    <row r="28" spans="3:35">
      <c r="F28" s="71">
        <f>F20*E2</f>
        <v>33600</v>
      </c>
      <c r="L28" s="71">
        <f>L20*K2</f>
        <v>96000</v>
      </c>
    </row>
  </sheetData>
  <phoneticPr fontId="6" type="noConversion"/>
  <pageMargins left="0.75" right="0.75" top="1" bottom="1" header="0.5" footer="0.5"/>
  <headerFooter alignWithMargins="0"/>
  <drawing r:id="rId1"/>
  <legacyDrawing r:id="rId2"/>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dimension ref="A1:H51"/>
  <sheetViews>
    <sheetView tabSelected="1" workbookViewId="0"/>
  </sheetViews>
  <sheetFormatPr defaultRowHeight="15"/>
  <cols>
    <col min="1" max="1" width="33.85546875" customWidth="1"/>
    <col min="2" max="2" width="13.85546875" customWidth="1"/>
    <col min="3" max="3" width="13.28515625" bestFit="1" customWidth="1"/>
    <col min="4" max="4" width="13.85546875" bestFit="1" customWidth="1"/>
    <col min="5" max="8" width="12.7109375" bestFit="1" customWidth="1"/>
  </cols>
  <sheetData>
    <row r="1" spans="1:8" ht="18.75">
      <c r="A1" s="72" t="s">
        <v>187</v>
      </c>
    </row>
    <row r="3" spans="1:8" ht="16.5" thickBot="1">
      <c r="A3" s="177" t="s">
        <v>207</v>
      </c>
      <c r="B3" s="178"/>
      <c r="C3" s="178"/>
      <c r="D3" s="178"/>
      <c r="E3" s="178"/>
      <c r="F3" s="178"/>
      <c r="G3" s="178"/>
      <c r="H3" s="178"/>
    </row>
    <row r="4" spans="1:8" ht="16.5" thickBot="1">
      <c r="A4" s="230" t="s">
        <v>188</v>
      </c>
      <c r="B4" s="233" t="s">
        <v>208</v>
      </c>
      <c r="C4" s="236" t="s">
        <v>214</v>
      </c>
      <c r="D4" s="236"/>
      <c r="E4" s="236"/>
      <c r="F4" s="236"/>
      <c r="G4" s="236"/>
      <c r="H4" s="237"/>
    </row>
    <row r="5" spans="1:8" ht="16.5" thickBot="1">
      <c r="A5" s="231"/>
      <c r="B5" s="234"/>
      <c r="C5" s="174">
        <v>2015</v>
      </c>
      <c r="D5" s="174">
        <v>2016</v>
      </c>
      <c r="E5" s="174">
        <v>2017</v>
      </c>
      <c r="F5" s="174">
        <v>2018</v>
      </c>
      <c r="G5" s="174">
        <v>2019</v>
      </c>
      <c r="H5" s="184" t="s">
        <v>55</v>
      </c>
    </row>
    <row r="6" spans="1:8" ht="16.5" thickBot="1">
      <c r="A6" s="232"/>
      <c r="B6" s="235"/>
      <c r="C6" s="175">
        <f>ROUND('Category (2014-2016)'!D39,-3)</f>
        <v>1670000</v>
      </c>
      <c r="D6" s="175">
        <f>ROUND('Category (2014-2016)'!E39,-3)</f>
        <v>1696000</v>
      </c>
      <c r="E6" s="175">
        <f>ROUND('Category (2014-2016)'!F39,-3)</f>
        <v>1825000</v>
      </c>
      <c r="F6" s="175">
        <f>ROUND('Category (2014-2016)'!G39,-3)</f>
        <v>1870000</v>
      </c>
      <c r="G6" s="175">
        <f>ROUND('Category (2014-2016)'!H39,-3)</f>
        <v>1912000</v>
      </c>
      <c r="H6" s="190">
        <f>SUM(C6:G6)</f>
        <v>8973000</v>
      </c>
    </row>
    <row r="7" spans="1:8" ht="15.75">
      <c r="A7" s="176" t="s">
        <v>192</v>
      </c>
      <c r="B7" s="185">
        <v>0.36030000000000001</v>
      </c>
      <c r="C7" s="197">
        <f>ROUND(C$6*($B7*(1/$B$20)),-2)</f>
        <v>607700</v>
      </c>
      <c r="D7" s="197">
        <f t="shared" ref="D7:G7" si="0">ROUND(D$6*($B7*(1/$B$20)),-2)</f>
        <v>617200</v>
      </c>
      <c r="E7" s="197">
        <f t="shared" si="0"/>
        <v>664100</v>
      </c>
      <c r="F7" s="197">
        <f t="shared" si="0"/>
        <v>680500</v>
      </c>
      <c r="G7" s="199">
        <f t="shared" si="0"/>
        <v>695800</v>
      </c>
      <c r="H7" s="191">
        <f>SUM(C7:G7)</f>
        <v>3265300</v>
      </c>
    </row>
    <row r="8" spans="1:8" ht="15.75">
      <c r="A8" s="160" t="s">
        <v>193</v>
      </c>
      <c r="B8" s="186">
        <v>0.2021</v>
      </c>
      <c r="C8" s="198">
        <f t="shared" ref="C8:G19" si="1">ROUND(C$6*($B8*(1/$B$20)),-2)</f>
        <v>340900</v>
      </c>
      <c r="D8" s="198">
        <f t="shared" si="1"/>
        <v>346200</v>
      </c>
      <c r="E8" s="198">
        <f t="shared" si="1"/>
        <v>372500</v>
      </c>
      <c r="F8" s="198">
        <f t="shared" si="1"/>
        <v>381700</v>
      </c>
      <c r="G8" s="200">
        <f t="shared" si="1"/>
        <v>390300</v>
      </c>
      <c r="H8" s="192">
        <f t="shared" ref="H8:H19" si="2">SUM(C8:G8)</f>
        <v>1831600</v>
      </c>
    </row>
    <row r="9" spans="1:8" ht="15.75">
      <c r="A9" s="160" t="s">
        <v>194</v>
      </c>
      <c r="B9" s="186">
        <v>0.14169999999999999</v>
      </c>
      <c r="C9" s="198">
        <f t="shared" si="1"/>
        <v>239000</v>
      </c>
      <c r="D9" s="198">
        <f t="shared" si="1"/>
        <v>242700</v>
      </c>
      <c r="E9" s="198">
        <f t="shared" si="1"/>
        <v>261200</v>
      </c>
      <c r="F9" s="198">
        <f t="shared" si="1"/>
        <v>267600</v>
      </c>
      <c r="G9" s="200">
        <f t="shared" si="1"/>
        <v>273600</v>
      </c>
      <c r="H9" s="192">
        <f t="shared" si="2"/>
        <v>1284100</v>
      </c>
    </row>
    <row r="10" spans="1:8" ht="15.75">
      <c r="A10" s="160" t="s">
        <v>195</v>
      </c>
      <c r="B10" s="186">
        <v>0.09</v>
      </c>
      <c r="C10" s="198">
        <f t="shared" si="1"/>
        <v>151800</v>
      </c>
      <c r="D10" s="198">
        <f t="shared" si="1"/>
        <v>154200</v>
      </c>
      <c r="E10" s="198">
        <f t="shared" si="1"/>
        <v>165900</v>
      </c>
      <c r="F10" s="198">
        <f t="shared" si="1"/>
        <v>170000</v>
      </c>
      <c r="G10" s="200">
        <f t="shared" si="1"/>
        <v>173800</v>
      </c>
      <c r="H10" s="192">
        <f t="shared" si="2"/>
        <v>815700</v>
      </c>
    </row>
    <row r="11" spans="1:8" ht="15.75">
      <c r="A11" s="160" t="s">
        <v>196</v>
      </c>
      <c r="B11" s="186">
        <v>5.7599999999999998E-2</v>
      </c>
      <c r="C11" s="198">
        <f t="shared" si="1"/>
        <v>97200</v>
      </c>
      <c r="D11" s="198">
        <f t="shared" si="1"/>
        <v>98700</v>
      </c>
      <c r="E11" s="198">
        <f t="shared" si="1"/>
        <v>106200</v>
      </c>
      <c r="F11" s="198">
        <f t="shared" si="1"/>
        <v>108800</v>
      </c>
      <c r="G11" s="200">
        <f t="shared" si="1"/>
        <v>111200</v>
      </c>
      <c r="H11" s="192">
        <f t="shared" si="2"/>
        <v>522100</v>
      </c>
    </row>
    <row r="12" spans="1:8" ht="15.75">
      <c r="A12" s="160" t="s">
        <v>209</v>
      </c>
      <c r="B12" s="186">
        <v>2.5499999999999998E-2</v>
      </c>
      <c r="C12" s="198">
        <f t="shared" si="1"/>
        <v>43000</v>
      </c>
      <c r="D12" s="198">
        <f t="shared" si="1"/>
        <v>43700</v>
      </c>
      <c r="E12" s="198">
        <f t="shared" si="1"/>
        <v>47000</v>
      </c>
      <c r="F12" s="198">
        <f t="shared" si="1"/>
        <v>48200</v>
      </c>
      <c r="G12" s="200">
        <f t="shared" si="1"/>
        <v>49200</v>
      </c>
      <c r="H12" s="192">
        <f t="shared" si="2"/>
        <v>231100</v>
      </c>
    </row>
    <row r="13" spans="1:8" ht="15.75">
      <c r="A13" s="160" t="s">
        <v>198</v>
      </c>
      <c r="B13" s="186">
        <v>4.0399999999999998E-2</v>
      </c>
      <c r="C13" s="203">
        <f>ROUND(C$30*(1/$B$20),-2)</f>
        <v>35700</v>
      </c>
      <c r="D13" s="203">
        <f t="shared" ref="D13:G13" si="3">ROUND(D$30*(1/$B$20),-2)</f>
        <v>36300</v>
      </c>
      <c r="E13" s="203">
        <f t="shared" si="3"/>
        <v>39100</v>
      </c>
      <c r="F13" s="203">
        <f t="shared" si="3"/>
        <v>40000</v>
      </c>
      <c r="G13" s="203">
        <f t="shared" si="3"/>
        <v>40900</v>
      </c>
      <c r="H13" s="189">
        <f t="shared" si="2"/>
        <v>192000</v>
      </c>
    </row>
    <row r="14" spans="1:8" ht="15.75">
      <c r="A14" s="160" t="s">
        <v>199</v>
      </c>
      <c r="B14" s="186">
        <v>3.6499999999999998E-2</v>
      </c>
      <c r="C14" s="198">
        <f t="shared" si="1"/>
        <v>61600</v>
      </c>
      <c r="D14" s="198">
        <f t="shared" si="1"/>
        <v>62500</v>
      </c>
      <c r="E14" s="198">
        <f t="shared" si="1"/>
        <v>67300</v>
      </c>
      <c r="F14" s="198">
        <f t="shared" si="1"/>
        <v>68900</v>
      </c>
      <c r="G14" s="200">
        <f t="shared" si="1"/>
        <v>70500</v>
      </c>
      <c r="H14" s="192">
        <f t="shared" si="2"/>
        <v>330800</v>
      </c>
    </row>
    <row r="15" spans="1:8" ht="15.75">
      <c r="A15" s="160" t="s">
        <v>210</v>
      </c>
      <c r="B15" s="186">
        <v>1.3100000000000001E-2</v>
      </c>
      <c r="C15" s="198">
        <f t="shared" si="1"/>
        <v>22100</v>
      </c>
      <c r="D15" s="198">
        <f t="shared" si="1"/>
        <v>22400</v>
      </c>
      <c r="E15" s="198">
        <f t="shared" si="1"/>
        <v>24100</v>
      </c>
      <c r="F15" s="198">
        <f t="shared" si="1"/>
        <v>24700</v>
      </c>
      <c r="G15" s="200">
        <f t="shared" si="1"/>
        <v>25300</v>
      </c>
      <c r="H15" s="192">
        <f t="shared" si="2"/>
        <v>118600</v>
      </c>
    </row>
    <row r="16" spans="1:8" ht="15.75">
      <c r="A16" s="160" t="s">
        <v>201</v>
      </c>
      <c r="B16" s="186">
        <v>1.09E-2</v>
      </c>
      <c r="C16" s="198">
        <f t="shared" si="1"/>
        <v>18400</v>
      </c>
      <c r="D16" s="198">
        <f t="shared" si="1"/>
        <v>18700</v>
      </c>
      <c r="E16" s="198">
        <f t="shared" si="1"/>
        <v>20100</v>
      </c>
      <c r="F16" s="198">
        <f t="shared" si="1"/>
        <v>20600</v>
      </c>
      <c r="G16" s="200">
        <f t="shared" si="1"/>
        <v>21000</v>
      </c>
      <c r="H16" s="192">
        <f t="shared" si="2"/>
        <v>98800</v>
      </c>
    </row>
    <row r="17" spans="1:8" ht="15.75">
      <c r="A17" s="160" t="s">
        <v>211</v>
      </c>
      <c r="B17" s="186">
        <v>5.1000000000000004E-3</v>
      </c>
      <c r="C17" s="198">
        <f t="shared" si="1"/>
        <v>8600</v>
      </c>
      <c r="D17" s="198">
        <f t="shared" si="1"/>
        <v>8700</v>
      </c>
      <c r="E17" s="198">
        <f t="shared" si="1"/>
        <v>9400</v>
      </c>
      <c r="F17" s="198">
        <f t="shared" si="1"/>
        <v>9600</v>
      </c>
      <c r="G17" s="200">
        <f t="shared" si="1"/>
        <v>9800</v>
      </c>
      <c r="H17" s="192">
        <f t="shared" si="2"/>
        <v>46100</v>
      </c>
    </row>
    <row r="18" spans="1:8" ht="15.75">
      <c r="A18" s="160" t="s">
        <v>212</v>
      </c>
      <c r="B18" s="186">
        <v>3.0999999999999999E-3</v>
      </c>
      <c r="C18" s="198">
        <f t="shared" si="1"/>
        <v>5200</v>
      </c>
      <c r="D18" s="198">
        <f t="shared" si="1"/>
        <v>5300</v>
      </c>
      <c r="E18" s="198">
        <f t="shared" si="1"/>
        <v>5700</v>
      </c>
      <c r="F18" s="198">
        <f t="shared" si="1"/>
        <v>5900</v>
      </c>
      <c r="G18" s="200">
        <f t="shared" si="1"/>
        <v>6000</v>
      </c>
      <c r="H18" s="192">
        <f t="shared" si="2"/>
        <v>28100</v>
      </c>
    </row>
    <row r="19" spans="1:8" ht="16.5" thickBot="1">
      <c r="A19" s="182" t="s">
        <v>213</v>
      </c>
      <c r="B19" s="187">
        <v>3.8E-3</v>
      </c>
      <c r="C19" s="201">
        <f t="shared" si="1"/>
        <v>6400</v>
      </c>
      <c r="D19" s="201">
        <f t="shared" si="1"/>
        <v>6500</v>
      </c>
      <c r="E19" s="201">
        <f t="shared" si="1"/>
        <v>7000</v>
      </c>
      <c r="F19" s="201">
        <f t="shared" si="1"/>
        <v>7200</v>
      </c>
      <c r="G19" s="202">
        <f t="shared" si="1"/>
        <v>7300</v>
      </c>
      <c r="H19" s="193">
        <f t="shared" si="2"/>
        <v>34400</v>
      </c>
    </row>
    <row r="20" spans="1:8" ht="16.5" thickBot="1">
      <c r="A20" s="167" t="s">
        <v>55</v>
      </c>
      <c r="B20" s="188">
        <f t="shared" ref="B20:H20" si="4">SUM(B7:B19)</f>
        <v>0.99009999999999987</v>
      </c>
      <c r="C20" s="169">
        <f t="shared" si="4"/>
        <v>1637600</v>
      </c>
      <c r="D20" s="169">
        <f t="shared" si="4"/>
        <v>1663100</v>
      </c>
      <c r="E20" s="169">
        <f t="shared" si="4"/>
        <v>1789600</v>
      </c>
      <c r="F20" s="169">
        <f t="shared" si="4"/>
        <v>1833700</v>
      </c>
      <c r="G20" s="169">
        <f t="shared" si="4"/>
        <v>1874700</v>
      </c>
      <c r="H20" s="194">
        <f t="shared" si="4"/>
        <v>8798700</v>
      </c>
    </row>
    <row r="21" spans="1:8">
      <c r="A21" s="180" t="s">
        <v>224</v>
      </c>
      <c r="B21" s="181"/>
      <c r="C21" s="181"/>
      <c r="D21" s="181"/>
      <c r="E21" s="181"/>
      <c r="F21" s="181"/>
      <c r="H21" s="204"/>
    </row>
    <row r="22" spans="1:8" ht="15.75">
      <c r="A22" s="183" t="s">
        <v>216</v>
      </c>
    </row>
    <row r="24" spans="1:8">
      <c r="A24" s="205" t="s">
        <v>220</v>
      </c>
      <c r="B24" s="206" t="s">
        <v>215</v>
      </c>
      <c r="C24" s="206">
        <v>2015</v>
      </c>
      <c r="D24" s="206">
        <v>2016</v>
      </c>
      <c r="E24" s="206">
        <v>2017</v>
      </c>
      <c r="F24" s="206">
        <v>2018</v>
      </c>
      <c r="G24" s="206">
        <v>2019</v>
      </c>
      <c r="H24" s="206" t="s">
        <v>55</v>
      </c>
    </row>
    <row r="25" spans="1:8">
      <c r="A25" t="s">
        <v>222</v>
      </c>
      <c r="B25" s="195">
        <f>B40</f>
        <v>3.8128397802041913E-2</v>
      </c>
      <c r="C25" s="211"/>
      <c r="D25" s="211"/>
      <c r="E25" s="211"/>
      <c r="F25" s="211"/>
      <c r="G25" s="211"/>
      <c r="H25" s="211"/>
    </row>
    <row r="26" spans="1:8">
      <c r="A26" t="s">
        <v>219</v>
      </c>
      <c r="B26" s="196">
        <f>1500000*B25</f>
        <v>57192.596703062867</v>
      </c>
      <c r="C26" s="212"/>
      <c r="D26" s="213"/>
      <c r="E26" s="213"/>
      <c r="F26" s="213"/>
      <c r="G26" s="213"/>
      <c r="H26" s="213"/>
    </row>
    <row r="27" spans="1:8">
      <c r="A27" t="s">
        <v>218</v>
      </c>
      <c r="B27" s="196">
        <v>30000</v>
      </c>
      <c r="C27" s="214"/>
      <c r="D27" s="213"/>
      <c r="E27" s="213"/>
      <c r="F27" s="213"/>
      <c r="G27" s="213"/>
      <c r="H27" s="213"/>
    </row>
    <row r="28" spans="1:8">
      <c r="A28" t="s">
        <v>217</v>
      </c>
      <c r="B28" s="215">
        <f>(B27/B26)</f>
        <v>0.52454341522131642</v>
      </c>
      <c r="C28" s="212"/>
      <c r="D28" s="212"/>
      <c r="E28" s="212"/>
      <c r="F28" s="212"/>
      <c r="G28" s="212"/>
      <c r="H28" s="213"/>
    </row>
    <row r="29" spans="1:8">
      <c r="A29" t="s">
        <v>221</v>
      </c>
      <c r="B29" s="207">
        <f>B13</f>
        <v>4.0399999999999998E-2</v>
      </c>
      <c r="C29" s="213"/>
      <c r="D29" s="213"/>
      <c r="E29" s="213"/>
      <c r="F29" s="213"/>
      <c r="G29" s="213"/>
      <c r="H29" s="213"/>
    </row>
    <row r="30" spans="1:8">
      <c r="A30" t="s">
        <v>223</v>
      </c>
      <c r="B30" s="208"/>
      <c r="C30" s="209">
        <f>$B$28*C6*$B$29</f>
        <v>35389.895138151776</v>
      </c>
      <c r="D30" s="209">
        <f t="shared" ref="D30:G30" si="5">$B$28*D6*$B$29</f>
        <v>35940.875541500245</v>
      </c>
      <c r="E30" s="209">
        <f t="shared" si="5"/>
        <v>38674.586004267658</v>
      </c>
      <c r="F30" s="209">
        <f t="shared" si="5"/>
        <v>39628.205933140009</v>
      </c>
      <c r="G30" s="209">
        <f t="shared" si="5"/>
        <v>40518.251200087543</v>
      </c>
      <c r="H30" s="210">
        <f>SUM(C30:G30)</f>
        <v>190151.81381714722</v>
      </c>
    </row>
    <row r="32" spans="1:8" ht="16.5" thickBot="1">
      <c r="A32" s="177" t="s">
        <v>206</v>
      </c>
      <c r="B32" s="179">
        <v>1500000</v>
      </c>
      <c r="F32" s="155"/>
    </row>
    <row r="33" spans="1:6" ht="78.75">
      <c r="A33" s="156" t="s">
        <v>188</v>
      </c>
      <c r="B33" s="157" t="s">
        <v>189</v>
      </c>
      <c r="C33" s="157" t="s">
        <v>190</v>
      </c>
      <c r="D33" s="158" t="s">
        <v>191</v>
      </c>
      <c r="E33" s="163"/>
      <c r="F33" s="159"/>
    </row>
    <row r="34" spans="1:6" ht="15.75">
      <c r="A34" s="160" t="s">
        <v>192</v>
      </c>
      <c r="B34" s="173">
        <v>0.35491098436645985</v>
      </c>
      <c r="C34" s="161">
        <f t="shared" ref="C34:C46" si="6">$B$32*B34</f>
        <v>532366.47654968977</v>
      </c>
      <c r="D34" s="162">
        <f>ROUND(C34,-3)</f>
        <v>532000</v>
      </c>
      <c r="E34" s="163"/>
      <c r="F34" s="155"/>
    </row>
    <row r="35" spans="1:6" ht="15.75">
      <c r="A35" s="160" t="s">
        <v>193</v>
      </c>
      <c r="B35" s="173">
        <v>0.20525957851608623</v>
      </c>
      <c r="C35" s="161">
        <f t="shared" si="6"/>
        <v>307889.36777412932</v>
      </c>
      <c r="D35" s="162">
        <f t="shared" ref="D35:D46" si="7">ROUND(C35,-3)</f>
        <v>308000</v>
      </c>
      <c r="E35" s="163"/>
    </row>
    <row r="36" spans="1:6" ht="15.75">
      <c r="A36" s="160" t="s">
        <v>194</v>
      </c>
      <c r="B36" s="173">
        <v>0.13718045536284248</v>
      </c>
      <c r="C36" s="161">
        <f t="shared" si="6"/>
        <v>205770.68304426371</v>
      </c>
      <c r="D36" s="162">
        <f t="shared" si="7"/>
        <v>206000</v>
      </c>
      <c r="E36" s="163"/>
    </row>
    <row r="37" spans="1:6" ht="15.75">
      <c r="A37" s="160" t="s">
        <v>195</v>
      </c>
      <c r="B37" s="173">
        <v>8.6172223450727434E-2</v>
      </c>
      <c r="C37" s="161">
        <f t="shared" si="6"/>
        <v>129258.33517609115</v>
      </c>
      <c r="D37" s="162">
        <f t="shared" si="7"/>
        <v>129000</v>
      </c>
      <c r="E37" s="163"/>
    </row>
    <row r="38" spans="1:6" ht="15.75">
      <c r="A38" s="160" t="s">
        <v>196</v>
      </c>
      <c r="B38" s="173">
        <v>5.5301509948806102E-2</v>
      </c>
      <c r="C38" s="161">
        <f t="shared" si="6"/>
        <v>82952.26492320915</v>
      </c>
      <c r="D38" s="162">
        <f t="shared" si="7"/>
        <v>83000</v>
      </c>
      <c r="E38" s="163"/>
    </row>
    <row r="39" spans="1:6" ht="15.75">
      <c r="A39" s="160" t="s">
        <v>197</v>
      </c>
      <c r="B39" s="173">
        <v>4.5079419385255989E-2</v>
      </c>
      <c r="C39" s="161">
        <f t="shared" si="6"/>
        <v>67619.12907788399</v>
      </c>
      <c r="D39" s="162">
        <f t="shared" si="7"/>
        <v>68000</v>
      </c>
      <c r="E39" s="163"/>
    </row>
    <row r="40" spans="1:6" ht="15.75">
      <c r="A40" s="160" t="s">
        <v>198</v>
      </c>
      <c r="B40" s="173">
        <v>3.8128397802041913E-2</v>
      </c>
      <c r="C40" s="161">
        <f t="shared" si="6"/>
        <v>57192.596703062867</v>
      </c>
      <c r="D40" s="162">
        <v>30000</v>
      </c>
      <c r="E40" s="163"/>
    </row>
    <row r="41" spans="1:6" ht="15.75">
      <c r="A41" s="160" t="s">
        <v>199</v>
      </c>
      <c r="B41" s="173">
        <v>3.7208409651322404E-2</v>
      </c>
      <c r="C41" s="161">
        <f t="shared" si="6"/>
        <v>55812.614476983603</v>
      </c>
      <c r="D41" s="162">
        <f t="shared" si="7"/>
        <v>56000</v>
      </c>
      <c r="E41" s="163"/>
    </row>
    <row r="42" spans="1:6" ht="15.75">
      <c r="A42" s="160" t="s">
        <v>200</v>
      </c>
      <c r="B42" s="173">
        <v>1.3596423519987317E-2</v>
      </c>
      <c r="C42" s="161">
        <f t="shared" si="6"/>
        <v>20394.635279980976</v>
      </c>
      <c r="D42" s="162">
        <f t="shared" si="7"/>
        <v>20000</v>
      </c>
      <c r="E42" s="163"/>
      <c r="F42" s="163"/>
    </row>
    <row r="43" spans="1:6" ht="15.75">
      <c r="A43" s="160" t="s">
        <v>201</v>
      </c>
      <c r="B43" s="173">
        <v>1.1244299619905123E-2</v>
      </c>
      <c r="C43" s="161">
        <f t="shared" si="6"/>
        <v>16866.449429857683</v>
      </c>
      <c r="D43" s="162">
        <f t="shared" si="7"/>
        <v>17000</v>
      </c>
      <c r="E43" s="163"/>
      <c r="F43" s="163"/>
    </row>
    <row r="44" spans="1:6" ht="15.75">
      <c r="A44" s="160" t="s">
        <v>202</v>
      </c>
      <c r="B44" s="173">
        <v>7.8710097339335858E-3</v>
      </c>
      <c r="C44" s="161">
        <f t="shared" si="6"/>
        <v>11806.514600900378</v>
      </c>
      <c r="D44" s="162">
        <f t="shared" si="7"/>
        <v>12000</v>
      </c>
      <c r="E44" s="163"/>
      <c r="F44" s="163"/>
    </row>
    <row r="45" spans="1:6" ht="15.75">
      <c r="A45" s="160" t="s">
        <v>203</v>
      </c>
      <c r="B45" s="173">
        <v>5.1851032848375103E-3</v>
      </c>
      <c r="C45" s="161">
        <f t="shared" si="6"/>
        <v>7777.6549272562652</v>
      </c>
      <c r="D45" s="162">
        <f t="shared" si="7"/>
        <v>8000</v>
      </c>
      <c r="E45" s="163"/>
      <c r="F45" s="163"/>
    </row>
    <row r="46" spans="1:6" ht="15.75">
      <c r="A46" s="160" t="s">
        <v>204</v>
      </c>
      <c r="B46" s="173">
        <v>2.8621853577940311E-3</v>
      </c>
      <c r="C46" s="161">
        <f t="shared" si="6"/>
        <v>4293.2780366910465</v>
      </c>
      <c r="D46" s="162">
        <f t="shared" si="7"/>
        <v>4000</v>
      </c>
      <c r="E46" s="163"/>
      <c r="F46" s="163"/>
    </row>
    <row r="47" spans="1:6" ht="15.75">
      <c r="A47" s="160"/>
      <c r="B47" s="164"/>
      <c r="C47" s="164"/>
      <c r="D47" s="165"/>
      <c r="E47" s="166"/>
      <c r="F47" s="166"/>
    </row>
    <row r="48" spans="1:6" ht="16.5" thickBot="1">
      <c r="A48" s="167" t="s">
        <v>55</v>
      </c>
      <c r="B48" s="168">
        <f>SUM(B34:B46)</f>
        <v>1</v>
      </c>
      <c r="C48" s="169">
        <f>SUM(C34:C46)</f>
        <v>1499999.9999999998</v>
      </c>
      <c r="D48" s="170">
        <f>SUM(D34:D46)</f>
        <v>1473000</v>
      </c>
      <c r="E48" s="166"/>
      <c r="F48" s="163"/>
    </row>
    <row r="49" spans="1:2">
      <c r="A49" s="171" t="s">
        <v>205</v>
      </c>
    </row>
    <row r="51" spans="1:2">
      <c r="B51" s="172"/>
    </row>
  </sheetData>
  <mergeCells count="3">
    <mergeCell ref="A4:A6"/>
    <mergeCell ref="B4:B6"/>
    <mergeCell ref="C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Category (2014-2016)</vt:lpstr>
      <vt:lpstr>Category Detail (2014)</vt:lpstr>
      <vt:lpstr>NPCC In Kind</vt:lpstr>
      <vt:lpstr>Funding Shares</vt:lpstr>
      <vt:lpstr>'NPCC In Kind'!Print_Area</vt:lpstr>
    </vt:vector>
  </TitlesOfParts>
  <Company>Northwest Power and Conservation Council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Gillian Charles</dc:creator>
  <cp:lastModifiedBy>Nick O'Neil</cp:lastModifiedBy>
  <cp:lastPrinted>2012-09-14T17:01:32Z</cp:lastPrinted>
  <dcterms:created xsi:type="dcterms:W3CDTF">2010-11-30T20:23:00Z</dcterms:created>
  <dcterms:modified xsi:type="dcterms:W3CDTF">2014-05-23T19:19:33Z</dcterms:modified>
</cp:coreProperties>
</file>