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autoCompressPictures="0" defaultThemeVersion="124226"/>
  <mc:AlternateContent xmlns:mc="http://schemas.openxmlformats.org/markup-compatibility/2006">
    <mc:Choice Requires="x15">
      <x15ac:absPath xmlns:x15ac="http://schemas.microsoft.com/office/spreadsheetml/2010/11/ac" url="Q:\RTF\Administrative\Accounting\2017\WorkPlan\"/>
    </mc:Choice>
  </mc:AlternateContent>
  <bookViews>
    <workbookView xWindow="27870" yWindow="-15" windowWidth="28440" windowHeight="12495" tabRatio="818" activeTab="3"/>
  </bookViews>
  <sheets>
    <sheet name="Table of Contents" sheetId="9" r:id="rId1"/>
    <sheet name="Category (2017)" sheetId="14" r:id="rId2"/>
    <sheet name="Category Detail (2017)"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Kind'!$AM$4:$AS$24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73" i="13" l="1"/>
  <c r="D74" i="13"/>
  <c r="D72" i="13" l="1"/>
  <c r="D71" i="13"/>
  <c r="D70" i="13"/>
  <c r="D69" i="13"/>
  <c r="D68" i="13"/>
  <c r="D67" i="13"/>
  <c r="E80" i="13" l="1"/>
  <c r="F56" i="13"/>
  <c r="G21" i="6"/>
  <c r="E24" i="6"/>
  <c r="L26" i="6"/>
  <c r="K26" i="6"/>
  <c r="M23" i="6"/>
  <c r="L22" i="6"/>
  <c r="K22" i="6"/>
  <c r="M21" i="6"/>
  <c r="M20" i="6"/>
  <c r="M19" i="6"/>
  <c r="M18" i="6"/>
  <c r="M17" i="6"/>
  <c r="M16" i="6"/>
  <c r="M15" i="6"/>
  <c r="M14" i="6"/>
  <c r="M13" i="6"/>
  <c r="M12" i="6"/>
  <c r="M11" i="6"/>
  <c r="M10" i="6"/>
  <c r="M9" i="6"/>
  <c r="M8" i="6"/>
  <c r="M7" i="6"/>
  <c r="F23" i="13"/>
  <c r="D23" i="13"/>
  <c r="C23" i="13"/>
  <c r="B23" i="13"/>
  <c r="M26" i="6" l="1"/>
  <c r="M22" i="6"/>
  <c r="L4" i="6" s="1"/>
  <c r="E23" i="13"/>
  <c r="C13" i="13" l="1"/>
  <c r="K74" i="13" l="1"/>
  <c r="E72" i="13"/>
  <c r="B13" i="13"/>
  <c r="AA15" i="14" l="1"/>
  <c r="AA12" i="14"/>
  <c r="AA9" i="14"/>
  <c r="AA6" i="14"/>
  <c r="Y6" i="14"/>
  <c r="S15" i="14"/>
  <c r="G6" i="15" l="1"/>
  <c r="F6" i="15"/>
  <c r="E6" i="15"/>
  <c r="D6" i="15"/>
  <c r="C6" i="15"/>
  <c r="B10" i="13" l="1"/>
  <c r="E32" i="13"/>
  <c r="E49" i="13"/>
  <c r="F11" i="13"/>
  <c r="B11" i="13"/>
  <c r="C11" i="13"/>
  <c r="D11" i="13"/>
  <c r="E11" i="13" l="1"/>
  <c r="E48" i="13"/>
  <c r="E47" i="13"/>
  <c r="F24" i="13"/>
  <c r="D24" i="13"/>
  <c r="C24" i="13"/>
  <c r="B24" i="13"/>
  <c r="E62" i="13"/>
  <c r="C63" i="13"/>
  <c r="D63" i="13"/>
  <c r="F63" i="13"/>
  <c r="C43" i="13"/>
  <c r="B50" i="13"/>
  <c r="C50" i="13"/>
  <c r="D50" i="13"/>
  <c r="F50" i="13"/>
  <c r="E24" i="13" l="1"/>
  <c r="E50" i="13"/>
  <c r="F15" i="13"/>
  <c r="D15" i="13"/>
  <c r="C15" i="13"/>
  <c r="B15" i="13"/>
  <c r="B85" i="13" s="1"/>
  <c r="F24" i="6"/>
  <c r="F20" i="6"/>
  <c r="E20" i="6"/>
  <c r="G19" i="6"/>
  <c r="G18" i="6"/>
  <c r="G17" i="6"/>
  <c r="G16" i="6"/>
  <c r="G15" i="6"/>
  <c r="G14" i="6"/>
  <c r="G13" i="6"/>
  <c r="G12" i="6"/>
  <c r="G11" i="6"/>
  <c r="G10" i="6"/>
  <c r="G9" i="6"/>
  <c r="G8" i="6"/>
  <c r="G7" i="6"/>
  <c r="AL6" i="16"/>
  <c r="E15" i="13" l="1"/>
  <c r="G24" i="6"/>
  <c r="G20" i="6"/>
  <c r="F4" i="6" s="1"/>
  <c r="AB6" i="14"/>
  <c r="F12" i="13"/>
  <c r="D12" i="13"/>
  <c r="B12" i="13"/>
  <c r="K5" i="16" l="1"/>
  <c r="B63" i="13" l="1"/>
  <c r="F74" i="13"/>
  <c r="E84" i="13" l="1"/>
  <c r="S23" i="6"/>
  <c r="S14" i="6"/>
  <c r="S11" i="6"/>
  <c r="S12" i="6"/>
  <c r="E31" i="13" l="1"/>
  <c r="E30" i="13" l="1"/>
  <c r="B43" i="13" l="1"/>
  <c r="B14" i="13"/>
  <c r="B20" i="13"/>
  <c r="B21" i="13"/>
  <c r="B22" i="13"/>
  <c r="B33" i="13"/>
  <c r="B38" i="13"/>
  <c r="C9" i="14" s="1"/>
  <c r="Q9" i="16" s="1"/>
  <c r="B56" i="13"/>
  <c r="E60" i="13"/>
  <c r="B74" i="13"/>
  <c r="E69" i="13"/>
  <c r="E70" i="13"/>
  <c r="E71" i="13"/>
  <c r="E68" i="13"/>
  <c r="G14" i="14"/>
  <c r="U14" i="16" s="1"/>
  <c r="C74" i="13"/>
  <c r="F10" i="13"/>
  <c r="C10" i="13"/>
  <c r="D10" i="13"/>
  <c r="C12" i="13"/>
  <c r="E12" i="13" s="1"/>
  <c r="C14" i="13"/>
  <c r="D14" i="13"/>
  <c r="C20" i="13"/>
  <c r="D20" i="13"/>
  <c r="C21" i="13"/>
  <c r="D21" i="13"/>
  <c r="C22" i="13"/>
  <c r="D22" i="13"/>
  <c r="C33" i="13"/>
  <c r="D33" i="13"/>
  <c r="E36" i="13"/>
  <c r="E37" i="13"/>
  <c r="E42" i="13"/>
  <c r="E54" i="13"/>
  <c r="E55" i="13"/>
  <c r="E61" i="13"/>
  <c r="F14" i="13"/>
  <c r="F20" i="13"/>
  <c r="F21" i="13"/>
  <c r="F22" i="13"/>
  <c r="F33" i="13"/>
  <c r="F38" i="13"/>
  <c r="F43" i="13"/>
  <c r="C38" i="13"/>
  <c r="C56" i="13"/>
  <c r="Q26" i="6"/>
  <c r="Q22" i="6"/>
  <c r="F26" i="5"/>
  <c r="E26" i="5" s="1"/>
  <c r="D26" i="5" s="1"/>
  <c r="C26" i="5" s="1"/>
  <c r="R26" i="6"/>
  <c r="R22" i="6"/>
  <c r="S21" i="6"/>
  <c r="S20" i="6"/>
  <c r="S19" i="6"/>
  <c r="S18" i="6"/>
  <c r="S17" i="6"/>
  <c r="S16" i="6"/>
  <c r="S15" i="6"/>
  <c r="S13" i="6"/>
  <c r="S10" i="6"/>
  <c r="S9" i="6"/>
  <c r="S8" i="6"/>
  <c r="S7" i="6"/>
  <c r="D56" i="13"/>
  <c r="D43" i="13"/>
  <c r="D38" i="13"/>
  <c r="L2" i="16"/>
  <c r="B2" i="16"/>
  <c r="S3" i="16"/>
  <c r="AG3" i="16"/>
  <c r="Z3" i="16"/>
  <c r="B48" i="15"/>
  <c r="C46" i="15"/>
  <c r="D46" i="15" s="1"/>
  <c r="C45" i="15"/>
  <c r="D45" i="15"/>
  <c r="C44" i="15"/>
  <c r="D44" i="15" s="1"/>
  <c r="C43" i="15"/>
  <c r="D43" i="15"/>
  <c r="C42" i="15"/>
  <c r="D42" i="15" s="1"/>
  <c r="C41" i="15"/>
  <c r="D41" i="15"/>
  <c r="C40" i="15"/>
  <c r="C39" i="15"/>
  <c r="D39" i="15"/>
  <c r="C38" i="15"/>
  <c r="D38" i="15" s="1"/>
  <c r="C37" i="15"/>
  <c r="D37" i="15"/>
  <c r="C36" i="15"/>
  <c r="D36" i="15" s="1"/>
  <c r="C35" i="15"/>
  <c r="D35" i="15"/>
  <c r="C34" i="15"/>
  <c r="D34" i="15" s="1"/>
  <c r="B29" i="15"/>
  <c r="B25" i="15"/>
  <c r="B26" i="15" s="1"/>
  <c r="B28" i="15" s="1"/>
  <c r="E30" i="15" s="1"/>
  <c r="E13" i="15" s="1"/>
  <c r="B20" i="15"/>
  <c r="D17" i="15" s="1"/>
  <c r="E10" i="15"/>
  <c r="D11" i="15"/>
  <c r="D10" i="15"/>
  <c r="F17" i="15"/>
  <c r="AB12" i="14"/>
  <c r="Z12" i="14"/>
  <c r="Y12" i="14"/>
  <c r="AB9" i="14"/>
  <c r="Z9" i="14"/>
  <c r="Y9" i="14"/>
  <c r="Z6" i="14"/>
  <c r="U15" i="14"/>
  <c r="R15" i="14"/>
  <c r="P125" i="14" s="1"/>
  <c r="Q15" i="14"/>
  <c r="P123" i="14" s="1"/>
  <c r="T15" i="14"/>
  <c r="B2" i="14"/>
  <c r="X25" i="6"/>
  <c r="X26" i="6" s="1"/>
  <c r="W25" i="6"/>
  <c r="W26" i="6" s="1"/>
  <c r="Y19" i="6"/>
  <c r="X21" i="6"/>
  <c r="X22" i="6" s="1"/>
  <c r="W21" i="6"/>
  <c r="W22" i="6" s="1"/>
  <c r="Y20" i="6"/>
  <c r="Y18" i="6"/>
  <c r="Y17" i="6"/>
  <c r="Y16" i="6"/>
  <c r="Y15" i="6"/>
  <c r="Y14" i="6"/>
  <c r="Y13" i="6"/>
  <c r="Y12" i="6"/>
  <c r="Y11" i="6"/>
  <c r="Y10" i="6"/>
  <c r="Y9" i="6"/>
  <c r="Y8" i="6"/>
  <c r="Y7" i="6"/>
  <c r="AE20" i="6"/>
  <c r="AD25" i="6"/>
  <c r="AD26" i="6" s="1"/>
  <c r="AC25" i="6"/>
  <c r="AC26" i="6" s="1"/>
  <c r="AJ4" i="6"/>
  <c r="AD21" i="6"/>
  <c r="AD22" i="6" s="1"/>
  <c r="AC21" i="6"/>
  <c r="AC22" i="6" s="1"/>
  <c r="A2" i="13"/>
  <c r="A16" i="13"/>
  <c r="A25" i="13"/>
  <c r="A33" i="13"/>
  <c r="A38" i="13"/>
  <c r="A43" i="13"/>
  <c r="A50" i="13"/>
  <c r="A56" i="13"/>
  <c r="A63" i="13"/>
  <c r="A74" i="13"/>
  <c r="B2" i="5"/>
  <c r="B2" i="6"/>
  <c r="F36" i="5"/>
  <c r="F41" i="5" s="1"/>
  <c r="D41" i="5" s="1"/>
  <c r="E41" i="5" s="1"/>
  <c r="G41" i="5" s="1"/>
  <c r="F45" i="5"/>
  <c r="D45" i="5" s="1"/>
  <c r="E45" i="5" s="1"/>
  <c r="G45" i="5" s="1"/>
  <c r="D36" i="5"/>
  <c r="F49" i="5" s="1"/>
  <c r="AP20" i="6"/>
  <c r="AP21" i="6" s="1"/>
  <c r="AO20" i="6"/>
  <c r="AO21" i="6" s="1"/>
  <c r="AZ19" i="6"/>
  <c r="AX19" i="6"/>
  <c r="AW19" i="6"/>
  <c r="AQ19" i="6"/>
  <c r="AE19" i="6"/>
  <c r="AQ18" i="6"/>
  <c r="AE18" i="6"/>
  <c r="AY17" i="6"/>
  <c r="AQ17" i="6"/>
  <c r="AE17" i="6"/>
  <c r="AY16" i="6"/>
  <c r="AQ16" i="6"/>
  <c r="AE16" i="6"/>
  <c r="AY15" i="6"/>
  <c r="AQ15" i="6"/>
  <c r="AE15" i="6"/>
  <c r="AY14" i="6"/>
  <c r="AQ14" i="6"/>
  <c r="AE14" i="6"/>
  <c r="AY13" i="6"/>
  <c r="AQ13" i="6"/>
  <c r="AE13" i="6"/>
  <c r="AY12" i="6"/>
  <c r="AQ12" i="6"/>
  <c r="AE12" i="6"/>
  <c r="AY11" i="6"/>
  <c r="AQ11" i="6"/>
  <c r="AE11" i="6"/>
  <c r="AY10" i="6"/>
  <c r="AQ10" i="6"/>
  <c r="AE10" i="6"/>
  <c r="AY9" i="6"/>
  <c r="AQ9" i="6"/>
  <c r="AE9" i="6"/>
  <c r="AY8" i="6"/>
  <c r="AQ8" i="6"/>
  <c r="AE8" i="6"/>
  <c r="AY7" i="6"/>
  <c r="AQ7" i="6"/>
  <c r="AE7" i="6"/>
  <c r="H30" i="5"/>
  <c r="I30" i="5"/>
  <c r="J30" i="5"/>
  <c r="H31" i="5"/>
  <c r="I31" i="5"/>
  <c r="J31" i="5"/>
  <c r="H32" i="5"/>
  <c r="I32" i="5"/>
  <c r="J32" i="5"/>
  <c r="J29" i="5"/>
  <c r="I29" i="5"/>
  <c r="H29" i="5"/>
  <c r="F30" i="5"/>
  <c r="F31" i="5"/>
  <c r="F32" i="5"/>
  <c r="F29" i="5"/>
  <c r="E30" i="5"/>
  <c r="E31" i="5"/>
  <c r="E32" i="5"/>
  <c r="E29" i="5"/>
  <c r="D30" i="5"/>
  <c r="D31" i="5"/>
  <c r="D32" i="5"/>
  <c r="D29" i="5"/>
  <c r="F19" i="5"/>
  <c r="E19" i="5" s="1"/>
  <c r="D19" i="5" s="1"/>
  <c r="C19" i="5" s="1"/>
  <c r="F21" i="5"/>
  <c r="I21" i="5" s="1"/>
  <c r="J21" i="5" s="1"/>
  <c r="F22" i="5"/>
  <c r="L22" i="5" s="1"/>
  <c r="F23" i="5"/>
  <c r="L23" i="5" s="1"/>
  <c r="F24" i="5"/>
  <c r="I24" i="5" s="1"/>
  <c r="J24" i="5" s="1"/>
  <c r="F25" i="5"/>
  <c r="I25" i="5" s="1"/>
  <c r="J25" i="5" s="1"/>
  <c r="F20" i="5"/>
  <c r="I20" i="5" s="1"/>
  <c r="J20" i="5" s="1"/>
  <c r="E20" i="5"/>
  <c r="D20" i="5" s="1"/>
  <c r="C20" i="5" s="1"/>
  <c r="L20" i="5" l="1"/>
  <c r="N20" i="5" s="1"/>
  <c r="E36" i="5"/>
  <c r="F43" i="5"/>
  <c r="D43" i="5" s="1"/>
  <c r="E43" i="5" s="1"/>
  <c r="G43" i="5" s="1"/>
  <c r="L21" i="5"/>
  <c r="M21" i="5" s="1"/>
  <c r="F40" i="5"/>
  <c r="D40" i="5" s="1"/>
  <c r="E40" i="5" s="1"/>
  <c r="G40" i="5" s="1"/>
  <c r="F38" i="5"/>
  <c r="D38" i="5" s="1"/>
  <c r="E38" i="5" s="1"/>
  <c r="G38" i="5" s="1"/>
  <c r="F51" i="5"/>
  <c r="E21" i="5"/>
  <c r="D21" i="5" s="1"/>
  <c r="C21" i="5" s="1"/>
  <c r="F44" i="5"/>
  <c r="D44" i="5" s="1"/>
  <c r="E44" i="5" s="1"/>
  <c r="G44" i="5" s="1"/>
  <c r="F42" i="5"/>
  <c r="D42" i="5" s="1"/>
  <c r="E42" i="5" s="1"/>
  <c r="G42" i="5" s="1"/>
  <c r="E25" i="5"/>
  <c r="D25" i="5" s="1"/>
  <c r="C25" i="5" s="1"/>
  <c r="L25" i="5"/>
  <c r="F39" i="5"/>
  <c r="D39" i="5" s="1"/>
  <c r="E39" i="5" s="1"/>
  <c r="G39" i="5" s="1"/>
  <c r="F37" i="5"/>
  <c r="D37" i="5" s="1"/>
  <c r="E37" i="5" s="1"/>
  <c r="G37" i="5" s="1"/>
  <c r="M20" i="5"/>
  <c r="E24" i="5"/>
  <c r="D24" i="5" s="1"/>
  <c r="C24" i="5" s="1"/>
  <c r="L24" i="5"/>
  <c r="D48" i="15"/>
  <c r="M23" i="5"/>
  <c r="N23" i="5"/>
  <c r="E23" i="5"/>
  <c r="D23" i="5" s="1"/>
  <c r="C23" i="5" s="1"/>
  <c r="L19" i="5"/>
  <c r="I23" i="5"/>
  <c r="J23" i="5" s="1"/>
  <c r="D16" i="15"/>
  <c r="D8" i="15"/>
  <c r="G14" i="15"/>
  <c r="D19" i="15"/>
  <c r="C48" i="15"/>
  <c r="D7" i="15"/>
  <c r="C7" i="15"/>
  <c r="Y15" i="14"/>
  <c r="AP6" i="14" s="1"/>
  <c r="F15" i="15"/>
  <c r="F18" i="15"/>
  <c r="C8" i="15"/>
  <c r="D15" i="15"/>
  <c r="D18" i="15"/>
  <c r="G30" i="15"/>
  <c r="G13" i="15" s="1"/>
  <c r="I19" i="5"/>
  <c r="J19" i="5" s="1"/>
  <c r="F11" i="15"/>
  <c r="F12" i="15"/>
  <c r="C17" i="15"/>
  <c r="C16" i="15"/>
  <c r="F19" i="15"/>
  <c r="F25" i="13"/>
  <c r="M22" i="5"/>
  <c r="N22" i="5"/>
  <c r="E22" i="5"/>
  <c r="D22" i="5" s="1"/>
  <c r="C22" i="5" s="1"/>
  <c r="I22" i="5"/>
  <c r="J22" i="5" s="1"/>
  <c r="B16" i="13"/>
  <c r="C25" i="13"/>
  <c r="E63" i="13"/>
  <c r="D16" i="13"/>
  <c r="B25" i="13"/>
  <c r="F16" i="13"/>
  <c r="D25" i="13"/>
  <c r="C16" i="13"/>
  <c r="S22" i="6"/>
  <c r="V13" i="14"/>
  <c r="V6" i="14"/>
  <c r="V9" i="14"/>
  <c r="AB15" i="14"/>
  <c r="AC9" i="14" s="1"/>
  <c r="V12" i="14"/>
  <c r="V8" i="14"/>
  <c r="V14" i="14"/>
  <c r="V10" i="14"/>
  <c r="V11" i="14"/>
  <c r="V7" i="14"/>
  <c r="Z15" i="14"/>
  <c r="AP7" i="14" s="1"/>
  <c r="AP9" i="14" s="1"/>
  <c r="D12" i="15"/>
  <c r="F7" i="15"/>
  <c r="F8" i="15"/>
  <c r="E14" i="15"/>
  <c r="F16" i="15"/>
  <c r="F30" i="15"/>
  <c r="F13" i="15" s="1"/>
  <c r="G7" i="15"/>
  <c r="D9" i="15"/>
  <c r="E17" i="15"/>
  <c r="E7" i="15"/>
  <c r="E56" i="13"/>
  <c r="E12" i="14"/>
  <c r="S12" i="16" s="1"/>
  <c r="D12" i="14"/>
  <c r="R12" i="16" s="1"/>
  <c r="G13" i="14"/>
  <c r="U13" i="16" s="1"/>
  <c r="G9" i="14"/>
  <c r="U9" i="16" s="1"/>
  <c r="C8" i="14"/>
  <c r="Q8" i="16" s="1"/>
  <c r="E11" i="14"/>
  <c r="S11" i="16" s="1"/>
  <c r="D13" i="14"/>
  <c r="R13" i="16" s="1"/>
  <c r="D9" i="14"/>
  <c r="R9" i="16" s="1"/>
  <c r="G10" i="14"/>
  <c r="U10" i="16" s="1"/>
  <c r="D14" i="14"/>
  <c r="R14" i="16" s="1"/>
  <c r="C10" i="14"/>
  <c r="Q10" i="16" s="1"/>
  <c r="E10" i="14"/>
  <c r="S10" i="16" s="1"/>
  <c r="D10" i="14"/>
  <c r="R10" i="16" s="1"/>
  <c r="G11" i="14"/>
  <c r="U11" i="16" s="1"/>
  <c r="C11" i="14"/>
  <c r="Q11" i="16" s="1"/>
  <c r="E9" i="14"/>
  <c r="S9" i="16" s="1"/>
  <c r="E13" i="14"/>
  <c r="S13" i="16" s="1"/>
  <c r="D11" i="14"/>
  <c r="R11" i="16" s="1"/>
  <c r="G12" i="14"/>
  <c r="U12" i="16" s="1"/>
  <c r="G8" i="14"/>
  <c r="U8" i="16" s="1"/>
  <c r="E8" i="14"/>
  <c r="S8" i="16" s="1"/>
  <c r="C12" i="14"/>
  <c r="Q12" i="16" s="1"/>
  <c r="C14" i="14"/>
  <c r="AG2" i="16"/>
  <c r="Z2" i="16"/>
  <c r="S2" i="16"/>
  <c r="AC12" i="14"/>
  <c r="AE21" i="6"/>
  <c r="AD4" i="6" s="1"/>
  <c r="AQ20" i="6"/>
  <c r="AR4" i="6" s="1"/>
  <c r="Y21" i="6"/>
  <c r="X4" i="6" s="1"/>
  <c r="AY19" i="6"/>
  <c r="AZ4" i="6" s="1"/>
  <c r="AE25" i="6"/>
  <c r="AE26" i="6" s="1"/>
  <c r="Y25" i="6"/>
  <c r="Y26" i="6" s="1"/>
  <c r="R4" i="6"/>
  <c r="S26" i="6"/>
  <c r="E43" i="13"/>
  <c r="E29" i="13"/>
  <c r="E33" i="13" s="1"/>
  <c r="E10" i="13"/>
  <c r="E21" i="13"/>
  <c r="E13" i="13"/>
  <c r="E22" i="13"/>
  <c r="E38" i="13"/>
  <c r="E67" i="13"/>
  <c r="E74" i="13" s="1"/>
  <c r="E20" i="13"/>
  <c r="E14" i="13"/>
  <c r="C18" i="15"/>
  <c r="G8" i="15"/>
  <c r="G17" i="15"/>
  <c r="C15" i="15"/>
  <c r="C11" i="15"/>
  <c r="E8" i="15"/>
  <c r="G16" i="15"/>
  <c r="C10" i="15"/>
  <c r="E15" i="15"/>
  <c r="E18" i="15"/>
  <c r="G18" i="15"/>
  <c r="E19" i="15"/>
  <c r="C12" i="15"/>
  <c r="C19" i="15"/>
  <c r="G15" i="15"/>
  <c r="G11" i="15"/>
  <c r="C9" i="15"/>
  <c r="G10" i="15"/>
  <c r="C30" i="15"/>
  <c r="E9" i="15"/>
  <c r="H6" i="15"/>
  <c r="D14" i="15"/>
  <c r="F9" i="15"/>
  <c r="F14" i="15"/>
  <c r="C14" i="15"/>
  <c r="G19" i="15"/>
  <c r="E16" i="15"/>
  <c r="E12" i="15"/>
  <c r="G9" i="15"/>
  <c r="F10" i="15"/>
  <c r="G12" i="15"/>
  <c r="D30" i="15"/>
  <c r="D13" i="15" s="1"/>
  <c r="E11" i="15"/>
  <c r="G36" i="5" l="1"/>
  <c r="F50" i="5"/>
  <c r="M25" i="5"/>
  <c r="N25" i="5"/>
  <c r="N21" i="5"/>
  <c r="N24" i="5"/>
  <c r="M24" i="5"/>
  <c r="Q14" i="16"/>
  <c r="X14" i="16" s="1"/>
  <c r="AE14" i="16" s="1"/>
  <c r="AC6" i="14"/>
  <c r="AC15" i="14" s="1"/>
  <c r="X11" i="16"/>
  <c r="AE11" i="16" s="1"/>
  <c r="Y11" i="16"/>
  <c r="AF11" i="16" s="1"/>
  <c r="AB11" i="16"/>
  <c r="AI11" i="16" s="1"/>
  <c r="X9" i="16"/>
  <c r="AE9" i="16" s="1"/>
  <c r="X10" i="16"/>
  <c r="AE10" i="16" s="1"/>
  <c r="AW20" i="6"/>
  <c r="Z8" i="16"/>
  <c r="AG8" i="16" s="1"/>
  <c r="Z13" i="16"/>
  <c r="AG13" i="16" s="1"/>
  <c r="Y14" i="16"/>
  <c r="AF14" i="16" s="1"/>
  <c r="Y12" i="16"/>
  <c r="AF12" i="16" s="1"/>
  <c r="Y9" i="16"/>
  <c r="AF9" i="16" s="1"/>
  <c r="AB8" i="16"/>
  <c r="AI8" i="16" s="1"/>
  <c r="Z10" i="16"/>
  <c r="AG10" i="16" s="1"/>
  <c r="AB10" i="16"/>
  <c r="AI10" i="16" s="1"/>
  <c r="Z12" i="16"/>
  <c r="AG12" i="16" s="1"/>
  <c r="M19" i="5"/>
  <c r="N19" i="5"/>
  <c r="B83" i="13"/>
  <c r="B84" i="13" s="1"/>
  <c r="E25" i="13"/>
  <c r="E77" i="13" s="1"/>
  <c r="E16" i="13"/>
  <c r="BA19" i="6"/>
  <c r="AS20" i="6"/>
  <c r="AQ21" i="6"/>
  <c r="Y22" i="6"/>
  <c r="AF9" i="14"/>
  <c r="AE9" i="14"/>
  <c r="AE12" i="14"/>
  <c r="AD9" i="14"/>
  <c r="V15" i="14"/>
  <c r="H7" i="15"/>
  <c r="H17" i="15"/>
  <c r="AK9" i="14"/>
  <c r="H8" i="15"/>
  <c r="F12" i="14"/>
  <c r="AJ12" i="14"/>
  <c r="AJ9" i="14"/>
  <c r="F13" i="14"/>
  <c r="AI9" i="14"/>
  <c r="D7" i="14"/>
  <c r="F81" i="13"/>
  <c r="E14" i="14"/>
  <c r="D8" i="14"/>
  <c r="E7" i="14"/>
  <c r="F10" i="14"/>
  <c r="T10" i="16" s="1"/>
  <c r="C13" i="14"/>
  <c r="F11" i="14"/>
  <c r="AL7" i="16"/>
  <c r="D6" i="14"/>
  <c r="R6" i="16" s="1"/>
  <c r="E6" i="14"/>
  <c r="S6" i="16" s="1"/>
  <c r="G6" i="14"/>
  <c r="C6" i="14"/>
  <c r="Q6" i="16" s="1"/>
  <c r="D20" i="15"/>
  <c r="G7" i="14"/>
  <c r="U7" i="16" s="1"/>
  <c r="AB12" i="16"/>
  <c r="AI12" i="16" s="1"/>
  <c r="AB14" i="16"/>
  <c r="AI14" i="16" s="1"/>
  <c r="X8" i="16"/>
  <c r="AE8" i="16" s="1"/>
  <c r="AB13" i="16"/>
  <c r="AI13" i="16" s="1"/>
  <c r="X12" i="16"/>
  <c r="AE12" i="16" s="1"/>
  <c r="Y10" i="16"/>
  <c r="AF10" i="16" s="1"/>
  <c r="Z9" i="16"/>
  <c r="AG9" i="16" s="1"/>
  <c r="Z11" i="16"/>
  <c r="AG11" i="16" s="1"/>
  <c r="AB9" i="16"/>
  <c r="AI9" i="16" s="1"/>
  <c r="Y13" i="16"/>
  <c r="AF13" i="16" s="1"/>
  <c r="AE22" i="6"/>
  <c r="AX20" i="6"/>
  <c r="AW21" i="6" s="1"/>
  <c r="AX21" i="6"/>
  <c r="C7" i="14"/>
  <c r="B77" i="13"/>
  <c r="F9" i="14"/>
  <c r="D77" i="13"/>
  <c r="F14" i="14"/>
  <c r="F77" i="13"/>
  <c r="B87" i="13" s="1"/>
  <c r="G16" i="16" s="1"/>
  <c r="C32" i="16" s="1"/>
  <c r="H16" i="15"/>
  <c r="H14" i="15"/>
  <c r="H19" i="15"/>
  <c r="G20" i="15"/>
  <c r="C77" i="13"/>
  <c r="C13" i="15"/>
  <c r="H30" i="15"/>
  <c r="F20" i="15"/>
  <c r="H10" i="15"/>
  <c r="H15" i="15"/>
  <c r="E20" i="15"/>
  <c r="F7" i="13" s="1"/>
  <c r="H9" i="15"/>
  <c r="H12" i="15"/>
  <c r="H11" i="15"/>
  <c r="H18" i="15"/>
  <c r="AB6" i="16" l="1"/>
  <c r="AI6" i="16" s="1"/>
  <c r="U6" i="16"/>
  <c r="T11" i="16"/>
  <c r="AA11" i="16" s="1"/>
  <c r="AH11" i="16" s="1"/>
  <c r="R8" i="16"/>
  <c r="Y8" i="16" s="1"/>
  <c r="AF8" i="16" s="1"/>
  <c r="T12" i="16"/>
  <c r="AA12" i="16" s="1"/>
  <c r="AH12" i="16" s="1"/>
  <c r="T9" i="16"/>
  <c r="AA9" i="16" s="1"/>
  <c r="AH9" i="16" s="1"/>
  <c r="AM7" i="16" s="1"/>
  <c r="Q13" i="16"/>
  <c r="X13" i="16" s="1"/>
  <c r="AE13" i="16" s="1"/>
  <c r="S14" i="16"/>
  <c r="Z14" i="16" s="1"/>
  <c r="AG14" i="16" s="1"/>
  <c r="T13" i="16"/>
  <c r="AA13" i="16" s="1"/>
  <c r="AH13" i="16" s="1"/>
  <c r="T14" i="16"/>
  <c r="AA14" i="16" s="1"/>
  <c r="AH14" i="16" s="1"/>
  <c r="Q7" i="16"/>
  <c r="X7" i="16" s="1"/>
  <c r="AE7" i="16" s="1"/>
  <c r="Z7" i="16"/>
  <c r="AG7" i="16" s="1"/>
  <c r="S7" i="16"/>
  <c r="R7" i="16"/>
  <c r="Y7" i="16" s="1"/>
  <c r="AF7" i="16" s="1"/>
  <c r="E83" i="13"/>
  <c r="X6" i="16"/>
  <c r="AF6" i="14"/>
  <c r="K15" i="14"/>
  <c r="AD6" i="14"/>
  <c r="AI6" i="14"/>
  <c r="AE6" i="14"/>
  <c r="AG12" i="14"/>
  <c r="AG9" i="14"/>
  <c r="AI12" i="14"/>
  <c r="AD12" i="14"/>
  <c r="AK12" i="14"/>
  <c r="AF12" i="14"/>
  <c r="AF15" i="14" s="1"/>
  <c r="AQ8" i="14" s="1"/>
  <c r="N15" i="14"/>
  <c r="C45" i="16"/>
  <c r="C44" i="16"/>
  <c r="G43" i="13"/>
  <c r="AL9" i="16"/>
  <c r="AL12" i="14"/>
  <c r="K15" i="16"/>
  <c r="AJ6" i="14"/>
  <c r="AJ15" i="14" s="1"/>
  <c r="AR7" i="14" s="1"/>
  <c r="F6" i="14"/>
  <c r="AL8" i="16"/>
  <c r="AA10" i="16"/>
  <c r="AH10" i="16" s="1"/>
  <c r="F7" i="14"/>
  <c r="T7" i="16" s="1"/>
  <c r="F8" i="14"/>
  <c r="D15" i="16"/>
  <c r="D19" i="16" s="1"/>
  <c r="C28" i="16" s="1"/>
  <c r="C37" i="16"/>
  <c r="D15" i="14"/>
  <c r="AL9" i="14"/>
  <c r="E15" i="14"/>
  <c r="Y6" i="16"/>
  <c r="AF6" i="16" s="1"/>
  <c r="J15" i="16"/>
  <c r="C20" i="16" s="1"/>
  <c r="D27" i="16" s="1"/>
  <c r="C15" i="16"/>
  <c r="AK6" i="14"/>
  <c r="E15" i="16"/>
  <c r="E19" i="16" s="1"/>
  <c r="C29" i="16" s="1"/>
  <c r="G15" i="14"/>
  <c r="C38" i="16"/>
  <c r="G15" i="16"/>
  <c r="G19" i="16" s="1"/>
  <c r="C31" i="16" s="1"/>
  <c r="D45" i="16"/>
  <c r="D38" i="16"/>
  <c r="C15" i="14"/>
  <c r="R123" i="14" s="1"/>
  <c r="B86" i="13"/>
  <c r="D16" i="16" s="1"/>
  <c r="F80" i="13"/>
  <c r="F84" i="13"/>
  <c r="H13" i="15"/>
  <c r="H20" i="15" s="1"/>
  <c r="C20" i="15"/>
  <c r="E82" i="13" l="1"/>
  <c r="F82" i="13" s="1"/>
  <c r="AM9" i="16"/>
  <c r="AM8" i="16"/>
  <c r="AN8" i="16" s="1"/>
  <c r="T8" i="16"/>
  <c r="AA8" i="16" s="1"/>
  <c r="AH8" i="16" s="1"/>
  <c r="T6" i="16"/>
  <c r="AA6" i="16" s="1"/>
  <c r="AH6" i="16" s="1"/>
  <c r="C19" i="16"/>
  <c r="C27" i="16" s="1"/>
  <c r="D20" i="16"/>
  <c r="D28" i="16" s="1"/>
  <c r="K16" i="16"/>
  <c r="Q15" i="16"/>
  <c r="C21" i="16" s="1"/>
  <c r="E27" i="16" s="1"/>
  <c r="AE6" i="16"/>
  <c r="AE15" i="16" s="1"/>
  <c r="C23" i="16" s="1"/>
  <c r="G27" i="16" s="1"/>
  <c r="X15" i="16"/>
  <c r="C22" i="16" s="1"/>
  <c r="F27" i="16" s="1"/>
  <c r="E7" i="13"/>
  <c r="AI15" i="14"/>
  <c r="AR6" i="14" s="1"/>
  <c r="R125" i="14"/>
  <c r="L15" i="14"/>
  <c r="Q125" i="14" s="1"/>
  <c r="AG6" i="14"/>
  <c r="M15" i="14"/>
  <c r="O7" i="14" s="1"/>
  <c r="AD15" i="14"/>
  <c r="AQ6" i="14" s="1"/>
  <c r="AE15" i="14"/>
  <c r="AQ7" i="14" s="1"/>
  <c r="AK15" i="14"/>
  <c r="J15" i="14"/>
  <c r="Q123" i="14" s="1"/>
  <c r="D44" i="16"/>
  <c r="F15" i="16"/>
  <c r="F19" i="16" s="1"/>
  <c r="C30" i="16" s="1"/>
  <c r="C43" i="16"/>
  <c r="C46" i="16" s="1"/>
  <c r="AL6" i="14"/>
  <c r="AL15" i="14" s="1"/>
  <c r="AM12" i="14" s="1"/>
  <c r="F15" i="14"/>
  <c r="H12" i="14" s="1"/>
  <c r="D43" i="16"/>
  <c r="C36" i="16"/>
  <c r="C39" i="16" s="1"/>
  <c r="AL10" i="16"/>
  <c r="D37" i="16"/>
  <c r="R15" i="16"/>
  <c r="L15" i="16"/>
  <c r="E20" i="16" s="1"/>
  <c r="D29" i="16" s="1"/>
  <c r="N15" i="16"/>
  <c r="N16" i="16" s="1"/>
  <c r="E38" i="16"/>
  <c r="E37" i="16"/>
  <c r="E44" i="16"/>
  <c r="F38" i="16"/>
  <c r="Y15" i="16"/>
  <c r="Y16" i="16" s="1"/>
  <c r="E45" i="16"/>
  <c r="G74" i="13"/>
  <c r="B82" i="13"/>
  <c r="B80" i="13"/>
  <c r="G38" i="13"/>
  <c r="G50" i="13"/>
  <c r="G16" i="13"/>
  <c r="G33" i="13"/>
  <c r="G63" i="13"/>
  <c r="G56" i="13"/>
  <c r="G25" i="13"/>
  <c r="B81" i="13"/>
  <c r="D21" i="16" l="1"/>
  <c r="E28" i="16" s="1"/>
  <c r="R16" i="16"/>
  <c r="F83" i="13"/>
  <c r="G7" i="13"/>
  <c r="O6" i="14"/>
  <c r="D46" i="16"/>
  <c r="AR9" i="14"/>
  <c r="AR8" i="14"/>
  <c r="O13" i="14"/>
  <c r="O9" i="14"/>
  <c r="O11" i="14"/>
  <c r="O14" i="14"/>
  <c r="O12" i="14"/>
  <c r="O10" i="14"/>
  <c r="AQ9" i="14"/>
  <c r="AG15" i="14"/>
  <c r="O8" i="14"/>
  <c r="AM6" i="14"/>
  <c r="H10" i="14"/>
  <c r="H6" i="14"/>
  <c r="H7" i="14"/>
  <c r="H11" i="14"/>
  <c r="AM9" i="14"/>
  <c r="M15" i="16"/>
  <c r="D36" i="16"/>
  <c r="D39" i="16" s="1"/>
  <c r="H9" i="14"/>
  <c r="H13" i="14"/>
  <c r="H8" i="14"/>
  <c r="H14" i="14"/>
  <c r="Z6" i="16"/>
  <c r="S15" i="16"/>
  <c r="S16" i="16" s="1"/>
  <c r="D32" i="16"/>
  <c r="G20" i="16"/>
  <c r="D31" i="16" s="1"/>
  <c r="AB7" i="16"/>
  <c r="U15" i="16"/>
  <c r="U16" i="16" s="1"/>
  <c r="F45" i="16"/>
  <c r="AN9" i="16"/>
  <c r="G38" i="16"/>
  <c r="D22" i="16"/>
  <c r="F28" i="16" s="1"/>
  <c r="AF15" i="16"/>
  <c r="AF16" i="16" s="1"/>
  <c r="F44" i="16"/>
  <c r="F37" i="16"/>
  <c r="G77" i="13"/>
  <c r="O15" i="14" l="1"/>
  <c r="AH9" i="14"/>
  <c r="AH12" i="14"/>
  <c r="AH6" i="14"/>
  <c r="AM15" i="14"/>
  <c r="H15" i="14"/>
  <c r="AA7" i="16"/>
  <c r="F43" i="16" s="1"/>
  <c r="F46" i="16" s="1"/>
  <c r="E36" i="16"/>
  <c r="E39" i="16" s="1"/>
  <c r="T15" i="16"/>
  <c r="D49" i="16"/>
  <c r="F20" i="16"/>
  <c r="D30" i="16" s="1"/>
  <c r="D50" i="16"/>
  <c r="E43" i="16"/>
  <c r="E46" i="16" s="1"/>
  <c r="AG6" i="16"/>
  <c r="AG15" i="16" s="1"/>
  <c r="AG16" i="16" s="1"/>
  <c r="Z15" i="16"/>
  <c r="Z16" i="16" s="1"/>
  <c r="E21" i="16"/>
  <c r="E29" i="16" s="1"/>
  <c r="G21" i="16"/>
  <c r="E31" i="16" s="1"/>
  <c r="E32" i="16"/>
  <c r="AI7" i="16"/>
  <c r="AB15" i="16"/>
  <c r="AB16" i="16" s="1"/>
  <c r="G45" i="16"/>
  <c r="AN7" i="16"/>
  <c r="G37" i="16"/>
  <c r="G44" i="16"/>
  <c r="D23" i="16"/>
  <c r="G28" i="16" s="1"/>
  <c r="AH15" i="14" l="1"/>
  <c r="F21" i="16"/>
  <c r="E30" i="16" s="1"/>
  <c r="E49" i="16"/>
  <c r="E50" i="16"/>
  <c r="AH7" i="16"/>
  <c r="AA15" i="16"/>
  <c r="F36" i="16"/>
  <c r="F39" i="16" s="1"/>
  <c r="E23" i="16"/>
  <c r="G29" i="16" s="1"/>
  <c r="E22" i="16"/>
  <c r="F29" i="16" s="1"/>
  <c r="G22" i="16"/>
  <c r="F31" i="16" s="1"/>
  <c r="F32" i="16"/>
  <c r="AI15" i="16"/>
  <c r="AI16" i="16" s="1"/>
  <c r="G43" i="16" l="1"/>
  <c r="G46" i="16" s="1"/>
  <c r="AM6" i="16"/>
  <c r="G36" i="16"/>
  <c r="G39" i="16" s="1"/>
  <c r="AH15" i="16"/>
  <c r="F49" i="16"/>
  <c r="F22" i="16"/>
  <c r="F30" i="16" s="1"/>
  <c r="F50" i="16"/>
  <c r="G32" i="16"/>
  <c r="G23" i="16"/>
  <c r="G31" i="16" s="1"/>
  <c r="G49" i="16" l="1"/>
  <c r="G50" i="16"/>
  <c r="F23" i="16"/>
  <c r="G30" i="16" s="1"/>
  <c r="AM10" i="16"/>
  <c r="AN6" i="16"/>
  <c r="AN10" i="16" s="1"/>
</calcChain>
</file>

<file path=xl/comments1.xml><?xml version="1.0" encoding="utf-8"?>
<comments xmlns="http://schemas.openxmlformats.org/spreadsheetml/2006/main">
  <authors>
    <author>Nick O'Neil</author>
    <author>Charlie Grist</author>
    <author>Jennifer Anziano</author>
  </authors>
  <commentList>
    <comment ref="E2" authorId="0" shapeId="0">
      <text>
        <r>
          <rPr>
            <b/>
            <sz val="9"/>
            <color indexed="81"/>
            <rFont val="Tahoma"/>
            <family val="2"/>
          </rPr>
          <t>Jennifer Anziano:</t>
        </r>
        <r>
          <rPr>
            <sz val="9"/>
            <color indexed="81"/>
            <rFont val="Tahoma"/>
            <family val="2"/>
          </rPr>
          <t xml:space="preserve">
Updated in 2016 to reflect average cost per RTF contract staff (not including RTF manager)</t>
        </r>
      </text>
    </comment>
    <comment ref="K2" authorId="0" shape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Q2" authorId="0" shape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W2" authorId="1" shapeId="0">
      <text>
        <r>
          <rPr>
            <b/>
            <sz val="9"/>
            <color indexed="81"/>
            <rFont val="Tahoma"/>
            <family val="2"/>
          </rPr>
          <t>Charlie Grist:</t>
        </r>
        <r>
          <rPr>
            <sz val="9"/>
            <color indexed="81"/>
            <rFont val="Tahoma"/>
            <family val="2"/>
          </rPr>
          <t xml:space="preserve">
Updated estimate from Terry Morlan September 2011</t>
        </r>
      </text>
    </comment>
    <comment ref="AR6" authorId="1" shapeId="0">
      <text>
        <r>
          <rPr>
            <b/>
            <sz val="9"/>
            <color indexed="81"/>
            <rFont val="Tahoma"/>
            <family val="2"/>
          </rPr>
          <t>Charlie Grist:</t>
        </r>
        <r>
          <rPr>
            <sz val="9"/>
            <color indexed="81"/>
            <rFont val="Tahoma"/>
            <family val="2"/>
          </rPr>
          <t xml:space="preserve">
Use average staff rate times overhead multiplier of 1.4 from Sharon Ossmann</t>
        </r>
      </text>
    </comment>
    <comment ref="AR20" authorId="1" shapeId="0">
      <text>
        <r>
          <rPr>
            <b/>
            <sz val="9"/>
            <color indexed="81"/>
            <rFont val="Tahoma"/>
            <family val="2"/>
          </rPr>
          <t>Charlie Grist:</t>
        </r>
        <r>
          <rPr>
            <sz val="9"/>
            <color indexed="81"/>
            <rFont val="Tahoma"/>
            <family val="2"/>
          </rPr>
          <t xml:space="preserve">
Use average staff rate times overhead multiplier of 1.4.</t>
        </r>
      </text>
    </comment>
    <comment ref="G21" authorId="2" shapeId="0">
      <text>
        <r>
          <rPr>
            <b/>
            <sz val="9"/>
            <color indexed="81"/>
            <rFont val="Tahoma"/>
            <family val="2"/>
          </rPr>
          <t>Jennifer Anziano:</t>
        </r>
        <r>
          <rPr>
            <sz val="9"/>
            <color indexed="81"/>
            <rFont val="Tahoma"/>
            <family val="2"/>
          </rPr>
          <t xml:space="preserve">
Council staff plus RTF Manager.</t>
        </r>
      </text>
    </comment>
    <comment ref="M23" authorId="2" shapeId="0">
      <text>
        <r>
          <rPr>
            <b/>
            <sz val="9"/>
            <color indexed="81"/>
            <rFont val="Tahoma"/>
            <family val="2"/>
          </rPr>
          <t>Jennifer Anziano:</t>
        </r>
        <r>
          <rPr>
            <sz val="9"/>
            <color indexed="81"/>
            <rFont val="Tahoma"/>
            <family val="2"/>
          </rPr>
          <t xml:space="preserve">
Council staff plus RTF Manager.</t>
        </r>
      </text>
    </comment>
    <comment ref="S23" authorId="2" shapeId="0">
      <text>
        <r>
          <rPr>
            <b/>
            <sz val="9"/>
            <color indexed="81"/>
            <rFont val="Tahoma"/>
            <family val="2"/>
          </rPr>
          <t>Jennifer Anziano:</t>
        </r>
        <r>
          <rPr>
            <sz val="9"/>
            <color indexed="81"/>
            <rFont val="Tahoma"/>
            <family val="2"/>
          </rPr>
          <t xml:space="preserve">
Council staff plus RTF Manager.</t>
        </r>
      </text>
    </comment>
    <comment ref="G25"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M27"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S27"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List>
</comments>
</file>

<file path=xl/comments2.xml><?xml version="1.0" encoding="utf-8"?>
<comments xmlns="http://schemas.openxmlformats.org/spreadsheetml/2006/main">
  <authors>
    <author>Charlie Grist</author>
  </authors>
  <commentList>
    <comment ref="C4" authorId="0" shape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<sst xmlns="http://schemas.openxmlformats.org/spreadsheetml/2006/main" count="741" uniqueCount="361">
  <si>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</si>
  <si>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</si>
  <si>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</si>
  <si>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</si>
  <si>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</si>
  <si>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</si>
  <si>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</si>
  <si>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</si>
  <si>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</si>
  <si>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</si>
  <si>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</si>
  <si>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</si>
  <si>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</si>
  <si>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</si>
  <si>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</si>
  <si>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</si>
  <si>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</si>
  <si>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</si>
  <si>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</si>
  <si>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</si>
  <si>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</si>
  <si>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</si>
  <si>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</si>
  <si>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</si>
  <si>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</si>
  <si>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</si>
  <si>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</si>
  <si>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</si>
  <si>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</si>
  <si>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</si>
  <si>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</si>
  <si>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</si>
  <si>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</si>
  <si>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</si>
  <si>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</si>
  <si>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</si>
  <si>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</si>
  <si>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</si>
  <si>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</si>
  <si>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</si>
  <si>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</si>
  <si>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</si>
  <si>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</si>
  <si>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</si>
  <si>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</si>
  <si>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</si>
  <si>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</si>
  <si>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</si>
  <si>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</si>
  <si>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</si>
  <si>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</si>
  <si>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</si>
  <si>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</si>
  <si>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</si>
  <si>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</si>
  <si>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</si>
  <si>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</si>
  <si>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</si>
  <si>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</si>
  <si>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</si>
  <si>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</si>
  <si>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</si>
  <si>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</si>
  <si>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</si>
  <si>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</si>
  <si>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</si>
  <si>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</si>
  <si>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</si>
  <si>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</si>
  <si>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</si>
  <si>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</si>
  <si>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</si>
  <si>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</si>
  <si>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</si>
  <si>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</si>
  <si>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</si>
  <si>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</si>
  <si>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</si>
  <si>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</si>
  <si>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</si>
  <si>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</si>
  <si>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</si>
  <si>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</si>
  <si>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</si>
  <si>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</si>
  <si>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</si>
  <si>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</si>
  <si>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</si>
  <si>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</si>
  <si>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</si>
  <si>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</si>
  <si>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</si>
  <si>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</si>
  <si>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</si>
  <si>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</si>
  <si>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</si>
  <si>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</si>
  <si>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</si>
  <si>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</si>
  <si>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</si>
  <si>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</si>
  <si>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</si>
  <si>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</si>
  <si>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</si>
  <si>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</si>
  <si>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</si>
  <si>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</si>
  <si>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</si>
  <si>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</si>
  <si>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</si>
  <si>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</si>
  <si>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</si>
  <si>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</si>
  <si>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</si>
  <si>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</si>
  <si>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</si>
  <si>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</si>
  <si>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</si>
  <si>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</si>
  <si>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</si>
  <si>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</si>
  <si>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</si>
  <si>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</si>
  <si>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</si>
  <si>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</si>
  <si>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</si>
  <si>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</si>
  <si>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</si>
  <si>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</si>
  <si>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</si>
  <si>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</si>
  <si>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</si>
  <si>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</si>
  <si>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</si>
  <si>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</si>
  <si>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</si>
  <si>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</si>
  <si>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</si>
  <si>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</si>
  <si>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</si>
  <si>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</si>
  <si>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</si>
  <si>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</si>
  <si>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</si>
  <si>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</si>
  <si>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</si>
  <si>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</si>
  <si>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</si>
  <si>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</si>
  <si>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</si>
  <si>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</si>
  <si>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</si>
  <si>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</si>
  <si>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 xml:space="preserve">Manage RTF business activities, contracts, financial, bylaws, RTF PAC </t>
  </si>
  <si>
    <t>Develop New Measures for Small &amp; Rural utilities</t>
  </si>
  <si>
    <t>Detail by Category</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</si>
  <si>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</si>
  <si>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</si>
  <si>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</si>
  <si>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</si>
  <si>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</si>
  <si>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</si>
  <si>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</si>
  <si>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</si>
  <si>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</si>
  <si>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</si>
  <si>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</si>
  <si>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Sub-section % of total</t>
  </si>
  <si>
    <t>Steve Simmons/Gillian Charles</t>
  </si>
  <si>
    <t>Charlie Black</t>
  </si>
  <si>
    <t>Council Staff (In-Kind)</t>
  </si>
  <si>
    <t>Technical Analysis</t>
  </si>
  <si>
    <t xml:space="preserve">Tool Development, Research, Regional Coordination </t>
  </si>
  <si>
    <t>Administration</t>
  </si>
  <si>
    <t>Contract RFP</t>
  </si>
  <si>
    <t>Nick O'Neil</t>
  </si>
  <si>
    <t>RTF Manager</t>
  </si>
  <si>
    <t>Estimate of NPCC Staff Administration Cost for RTF (2012)</t>
  </si>
  <si>
    <t>RTF Contract Staff</t>
  </si>
  <si>
    <t>CY 2016</t>
  </si>
  <si>
    <t>ProCost: Engine updates and ongoing maintenance</t>
  </si>
  <si>
    <t>Update Standard Protocols currently Out Of Compliance with Guidelines</t>
  </si>
  <si>
    <t>Website: Development and Management</t>
  </si>
  <si>
    <t>Review New UES Measures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</si>
  <si>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</si>
  <si>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</si>
  <si>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</si>
  <si>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</si>
  <si>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</si>
  <si>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</si>
  <si>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</si>
  <si>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</si>
  <si>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</si>
  <si>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</si>
  <si>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</si>
  <si>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</si>
  <si>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Category Level Budget &amp; 3-year look back</t>
  </si>
  <si>
    <t>Category (2015-2019)</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</si>
  <si>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</si>
  <si>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</si>
  <si>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</si>
  <si>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</si>
  <si>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</si>
  <si>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</si>
  <si>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</si>
  <si>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</si>
  <si>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</si>
  <si>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</si>
  <si>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</si>
  <si>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</si>
  <si>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</si>
  <si>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</si>
  <si>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</si>
  <si>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</si>
  <si>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</si>
  <si>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</si>
  <si>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</si>
  <si>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</si>
  <si>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</si>
  <si>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2018</t>
  </si>
  <si>
    <t>Projection Calendar 2019</t>
  </si>
  <si>
    <t>Major RTF Functions</t>
  </si>
  <si>
    <t>2019 Cost</t>
  </si>
  <si>
    <t>Net Change</t>
  </si>
  <si>
    <t>Measure Updates and New Development</t>
  </si>
  <si>
    <t>Regional Research Coordination</t>
  </si>
  <si>
    <t>RTF Base Operations</t>
  </si>
  <si>
    <t>CY 2017</t>
  </si>
  <si>
    <t>CY 2018</t>
  </si>
  <si>
    <t>CY 2019</t>
  </si>
  <si>
    <t>Total Funding Increase</t>
  </si>
  <si>
    <t>Annual increase year to year</t>
  </si>
  <si>
    <t>Five year work plan by category.  No detail for out years.  Uses scaling factors for category level totals.</t>
  </si>
  <si>
    <t>PAC APPROVED FUNDING LEVELS MAY, 2014</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</si>
  <si>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</si>
  <si>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</si>
  <si>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</si>
  <si>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</si>
  <si>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</si>
  <si>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</si>
  <si>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</si>
  <si>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</si>
  <si>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 xml:space="preserve">Division Director </t>
  </si>
  <si>
    <t>RTF Chair (RTF PAC liaison)</t>
  </si>
  <si>
    <t>Council InKind</t>
  </si>
  <si>
    <t>Remaining</t>
  </si>
  <si>
    <t>Available</t>
  </si>
  <si>
    <t>Team</t>
  </si>
  <si>
    <t>Travel</t>
  </si>
  <si>
    <t>% Split by Allocation (Contract Analyst Team):</t>
  </si>
  <si>
    <t>% Split by Allocation (RTF Manager):</t>
  </si>
  <si>
    <t>SEEM: Ongoing Maintenance and Other Updates</t>
  </si>
  <si>
    <t>New Efficiency Hire</t>
  </si>
  <si>
    <t>Trina Gerlack</t>
  </si>
  <si>
    <t>RTF Manager 2015</t>
  </si>
  <si>
    <t>RTF Contract Analyst Team 2015</t>
  </si>
  <si>
    <t>Contract Analyst Team and RTF Manager</t>
  </si>
  <si>
    <t>Standard Information Workbook updates</t>
  </si>
  <si>
    <t>Equivalent Contract Analyst FTE:</t>
  </si>
  <si>
    <t>Category Level Budget for 2015-2019</t>
  </si>
  <si>
    <t>Annual increase from 2015 base year</t>
  </si>
  <si>
    <t>Calendar 2015</t>
  </si>
  <si>
    <t>Calendar 2016</t>
  </si>
  <si>
    <t>Calendar 2017</t>
  </si>
  <si>
    <t>Calendar 2018</t>
  </si>
  <si>
    <t>Calendar 2019</t>
  </si>
  <si>
    <t>** All funding shares adjusted by 100%/99.03% because Chelan county present in NEEA funding, but not RTF funding.</t>
  </si>
  <si>
    <t>Approved 2015</t>
  </si>
  <si>
    <t>Contract RFP
2016</t>
  </si>
  <si>
    <t>RTF Contract Analyst Team 2016</t>
  </si>
  <si>
    <t>RTF Manager 2016</t>
  </si>
  <si>
    <t>Subtotal Funders 
2016</t>
  </si>
  <si>
    <t>Contract Analysts</t>
  </si>
  <si>
    <t>Council In-Kind Contribution 2016</t>
  </si>
  <si>
    <t>Contract RFP 
2015</t>
  </si>
  <si>
    <t>Council Staff In Kind Contribution
2015</t>
  </si>
  <si>
    <t>Subtotal Funders
2015</t>
  </si>
  <si>
    <t>RTF Contract Analyst Team 
2016</t>
  </si>
  <si>
    <t>Total New Work 2016</t>
  </si>
  <si>
    <t>Approved Calendar 2015</t>
  </si>
  <si>
    <t>Estimate of NPCC Staff Administration Cost for RTF (2016)</t>
  </si>
  <si>
    <t>Conservation Analyst</t>
  </si>
  <si>
    <t>Kevin Smith</t>
  </si>
  <si>
    <t>QA/QC review of existing measures updates</t>
  </si>
  <si>
    <t>QA/QC review of new measure development</t>
  </si>
  <si>
    <t>Review,  Analytical, and Subcommittee Support</t>
  </si>
  <si>
    <t>Annual Regional Conservation Progress Report</t>
  </si>
  <si>
    <t>Regional Coordination (Research and Data Development)</t>
  </si>
  <si>
    <t>merged with Category below</t>
  </si>
  <si>
    <t>Coordination and review across measures</t>
  </si>
  <si>
    <t>RTF Members and Corresponding Members meeting and project support</t>
  </si>
  <si>
    <t>Contract Analyst Travel and Meeting Participation</t>
  </si>
  <si>
    <t>Assumes 5% analyst time plus some travel</t>
  </si>
  <si>
    <t>Much of this work relates to regional coordination and research. Merged these two categories going forward.</t>
  </si>
  <si>
    <t>Guidelines review and updates</t>
  </si>
  <si>
    <t>RTF Manager time spent reviewing work products and engaging with subcommittees</t>
  </si>
  <si>
    <t>RTF Manager time spent on improving general RTF processes</t>
  </si>
  <si>
    <t>Assumes contracting out most of data analysis, some contract analyst support (~2.5 weeks for one analyst)</t>
  </si>
  <si>
    <t>n/a</t>
  </si>
  <si>
    <t>Increase for general meeting costs, management expenses (Manager wage + inflation, minutes taking, training) and updates to website and database structure.</t>
  </si>
  <si>
    <t>Fewer measures expected 2017 despite Federal standards.  Increasing in 2018 to account for sunsetting measures. Ramping up of new measure development.</t>
  </si>
  <si>
    <t>Assumes about 15% of analysts time for weekly meetings and internal review of each others work.</t>
  </si>
  <si>
    <t>RTF Meetings and Member Support</t>
  </si>
  <si>
    <t>RTF member support for meetings, travel, and specific project reviews; based on past years with some adder for more member support</t>
  </si>
  <si>
    <t xml:space="preserve">Partial salary for one contract analysts focused on coordination of research across measures and coordination with regional research. </t>
  </si>
  <si>
    <t>Approved 2016</t>
  </si>
  <si>
    <t>Category (2017)</t>
  </si>
  <si>
    <t>Category-level budget for 2017.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</si>
  <si>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(2017)</t>
  </si>
  <si>
    <t>Detailed budget for 2017.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</si>
  <si>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Proposed 2017</t>
  </si>
  <si>
    <t>Contract RFP
2017</t>
  </si>
  <si>
    <t>RTF Contract Analyst Team 
2017</t>
  </si>
  <si>
    <t>RTF Manager 2017</t>
  </si>
  <si>
    <t>Subtotal Funders 
2017</t>
  </si>
  <si>
    <t>RTF Contract Analyst Team 2017</t>
  </si>
  <si>
    <t>Council In-Kind Contribution 2017</t>
  </si>
  <si>
    <t>Update Active UES Measures slated to sunset in 2017</t>
  </si>
  <si>
    <t>Update Standard Protocols slated to sunset in 2017</t>
  </si>
  <si>
    <t>VFD-Dairy Milking Machine Vacuum Pump. Assumes contract analysts do most of the work.</t>
  </si>
  <si>
    <t>Advance non-Proven Measures and Standard Protocols</t>
  </si>
  <si>
    <t>Advance Impact Evaluation Guidance</t>
  </si>
  <si>
    <t>Review New SPs or Impact Evaluation Guidance  (Either Known or Unsolicited)</t>
  </si>
  <si>
    <t>Assumes  not all measures get developed or require QA/QC review. Assumes $3500 per review.</t>
  </si>
  <si>
    <t>RTF/Council Coordination</t>
  </si>
  <si>
    <t>Council meetings and other coordination with broader Council efforts</t>
  </si>
  <si>
    <t>PAC materials preparation, contract and task order development, various business activities. Contract for Audit.</t>
  </si>
  <si>
    <t>Move to web format in 2017.</t>
  </si>
  <si>
    <t xml:space="preserve">Market Analysis Research </t>
  </si>
  <si>
    <t>4 SPs sunset in 2017; 1 at beginning 2018. Much of work for Non-Res Lighting is in 2016. 2 are Small Saver. Assumes contract analysts do most of the work.</t>
  </si>
  <si>
    <t>Recommendation memos for capacity reliability</t>
  </si>
  <si>
    <t>Review all workbooks relative to Guidelines for capacity. Assumes RFP.</t>
  </si>
  <si>
    <t>Assumes approx. 3 weeks of 1 analysts time.</t>
  </si>
  <si>
    <t>Assumes approx 4 percent of 2 contract analyst time. Assumes minimal updates in 2017.</t>
  </si>
  <si>
    <t>Assumes about six weeks of an analyst time for review support of Momentum Savings work and connecting research to RTF work. Assumes minimal support for subcommittee members</t>
  </si>
  <si>
    <t>Minutes $25K, phone/web conference $4K, Lunches $6K. Council in-kind for member support during meetings.</t>
  </si>
  <si>
    <t>Guidelines training, webinars, presentations related to RTF matters. Minimal contract analyst support</t>
  </si>
  <si>
    <t>Solicition of new measure proposals</t>
  </si>
  <si>
    <t>Assumes small contract to seek potential new measures for RTF development</t>
  </si>
  <si>
    <t>General task order for review of material relative to Guidelines and development of Guidelines updates as required. Assumes about 4% of contract analyst team. Anticipates some increases for NEI guidelines</t>
  </si>
  <si>
    <t>End Use Load Data Library Support</t>
  </si>
  <si>
    <t>Target</t>
  </si>
  <si>
    <t>Estimate of NPCC Staff Administration Cost for RTF (2017)</t>
  </si>
  <si>
    <t>Tom Eckman/Interim</t>
  </si>
  <si>
    <t>TBD</t>
  </si>
  <si>
    <t>Jennifer Light</t>
  </si>
  <si>
    <t>RTF Manager, RTF Chair</t>
  </si>
  <si>
    <t>Garrett Herndon</t>
  </si>
  <si>
    <t>12 UES slated to sunset, 4 are small saver, assumes contract analysts do all the work</t>
  </si>
  <si>
    <t>Anticipate development of Research Strategies and Research Plans and review of regional research relating to RTF research questions. Assumes 35% of contract analyst time, plus other work.</t>
  </si>
  <si>
    <t>Residential Behavior, Connected Thermostats; Portion completed in 2016. Assumes contract analysts do most of the work</t>
  </si>
  <si>
    <t>Assume placeholder for 7. (DHP for MF, LED Fixtures, Overwrap Tech and other potential new measures. Assumes contract analysts do much of the work.</t>
  </si>
  <si>
    <t>Assume placeholder for 6. Non-Res Lighting New Construction plus other unknown. Potential work include: SEM, whole building, performance based, MF ventilation.</t>
  </si>
  <si>
    <t>Assumes minimal support of ongoing website maintenance/updates; Council in-kind support does most</t>
  </si>
  <si>
    <t>Assumes $4000 per review. Not all measures addressed will require QC review (no changes to workbooks, etc). Placeholder for 12.</t>
  </si>
  <si>
    <t>SRR subcommittee is searching for potential measures and may conduct some research looking at other regions. Includes limited support of RTF assistant and manager and contract analyst support for any measure development.</t>
  </si>
  <si>
    <t>Few SEEM related measures in 2017. Don't anticipate need for support at this time.</t>
  </si>
  <si>
    <t xml:space="preserve">Define load shape needs priorities list based on RTF measures, review and inform research design, other coordination on regional research (assume about 2 weeks of an analyst). </t>
  </si>
  <si>
    <t>PROPOSED Work Plan (September 8, 2016)</t>
  </si>
  <si>
    <t>Drop in 2017 to account for minimal SEEM work. Expect that might ramp up in 2018 or 2019 with new data available to inform calibration. Procost remains steady.</t>
  </si>
  <si>
    <t xml:space="preserve">Change to allocation between 2015 and 2016 to better reflect role. Expecting to ramp and then steady out efforts.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</si>
</sst>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 numFmtId="173" formatCode="&quot;$&quot;#,##0.0_);\(&quot;$&quot;#,##0.0\)"/>
    <numFmt numFmtId="174" formatCode="&quot;$&quot;#,##0.0"/>
    <numFmt numFmtId="175" formatCode="_([$$-409]* #,##0.00_);_([$$-409]* \(#,##0.00\);_([$$-409]* &quot;-&quot;??_);_(@_)"/>
  </numFmts>
  <fonts count="24" x14ac:knownFonts="1">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u/>
      <sz val="11"/>
      <color theme="10"/>
      <name val="Calibri"/>
      <family val="2"/>
      <scheme val="minor"/>
    </font>
    <font>
      <u/>
      <sz val="11"/>
      <color theme="11"/>
      <name val="Calibri"/>
      <family val="2"/>
      <scheme val="minor"/>
    </font>
    <font>
      <i/>
      <sz val="12"/>
      <color indexed="8"/>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464">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0" fontId="14" fillId="15" borderId="0" xfId="0" applyFont="1" applyFill="1" applyAlignment="1">
      <alignment wrapText="1"/>
    </xf>
    <xf numFmtId="164" fontId="14" fillId="15" borderId="0" xfId="1" applyNumberFormat="1" applyFont="1" applyFill="1" applyAlignment="1"/>
    <xf numFmtId="5" fontId="11" fillId="15" borderId="0" xfId="1" applyNumberFormat="1" applyFont="1" applyFill="1" applyAlignment="1">
      <alignment horizontal="center" vertical="center"/>
    </xf>
    <xf numFmtId="0" fontId="14" fillId="15" borderId="0" xfId="0" applyFont="1" applyFill="1"/>
    <xf numFmtId="0" fontId="13" fillId="15" borderId="0" xfId="0" applyFont="1" applyFill="1"/>
    <xf numFmtId="5" fontId="13" fillId="0" borderId="0" xfId="1" applyNumberFormat="1" applyFont="1" applyAlignment="1">
      <alignment horizontal="center" vertical="center"/>
    </xf>
    <xf numFmtId="0" fontId="14" fillId="6" borderId="0" xfId="0" applyFont="1" applyFill="1"/>
    <xf numFmtId="0" fontId="14" fillId="6" borderId="0" xfId="0" applyFont="1" applyFill="1" applyAlignment="1"/>
    <xf numFmtId="5" fontId="11" fillId="6" borderId="0" xfId="1" applyNumberFormat="1" applyFont="1" applyFill="1" applyAlignment="1">
      <alignment horizontal="center" vertical="center"/>
    </xf>
    <xf numFmtId="0" fontId="14" fillId="5" borderId="0" xfId="0" applyFont="1" applyFill="1"/>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23" xfId="0" applyNumberFormat="1" applyFont="1" applyFill="1" applyBorder="1" applyAlignment="1">
      <alignment horizontal="center" vertical="center"/>
    </xf>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23" xfId="0" applyNumberFormat="1" applyFont="1" applyFill="1" applyBorder="1" applyAlignment="1">
      <alignment horizontal="center" vertical="center"/>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5" fontId="13" fillId="5" borderId="23" xfId="0" applyNumberFormat="1" applyFont="1" applyFill="1" applyBorder="1" applyAlignment="1">
      <alignment horizontal="center" vertical="center"/>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7"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7"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1" fillId="0" borderId="0" xfId="3" applyNumberFormat="1" applyFont="1" applyFill="1"/>
    <xf numFmtId="0" fontId="17"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6" fillId="10" borderId="0" xfId="0" applyFont="1" applyFill="1" applyAlignment="1">
      <alignment wrapText="1"/>
    </xf>
    <xf numFmtId="0" fontId="18" fillId="3" borderId="0" xfId="0" applyFont="1" applyFill="1"/>
    <xf numFmtId="0" fontId="11" fillId="3" borderId="0" xfId="0" applyFont="1" applyFill="1"/>
    <xf numFmtId="0" fontId="11" fillId="0" borderId="0" xfId="0" applyFont="1" applyFill="1"/>
    <xf numFmtId="164" fontId="11" fillId="0" borderId="0" xfId="1" applyNumberFormat="1" applyFont="1" applyAlignment="1">
      <alignment wrapText="1"/>
    </xf>
    <xf numFmtId="0" fontId="19" fillId="3" borderId="0" xfId="0" applyFont="1" applyFill="1"/>
    <xf numFmtId="164" fontId="13" fillId="0" borderId="0" xfId="1" applyNumberFormat="1" applyFont="1" applyAlignment="1">
      <alignment wrapText="1"/>
    </xf>
    <xf numFmtId="164" fontId="13" fillId="0" borderId="0" xfId="1" applyNumberFormat="1" applyFont="1" applyFill="1" applyAlignment="1">
      <alignment wrapText="1"/>
    </xf>
    <xf numFmtId="0" fontId="19" fillId="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20"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171" fontId="11" fillId="15" borderId="0" xfId="7" applyNumberFormat="1" applyFont="1" applyFill="1" applyAlignment="1">
      <alignment wrapText="1"/>
    </xf>
    <xf numFmtId="5" fontId="17" fillId="15" borderId="0" xfId="1" applyNumberFormat="1" applyFont="1" applyFill="1" applyAlignment="1">
      <alignment horizontal="center" vertical="center"/>
    </xf>
    <xf numFmtId="9" fontId="17" fillId="15" borderId="0" xfId="8" applyFont="1" applyFill="1" applyAlignment="1">
      <alignment wrapText="1"/>
    </xf>
    <xf numFmtId="0" fontId="17"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3" fillId="3" borderId="0" xfId="0" applyFont="1" applyFill="1" applyAlignment="1">
      <alignment wrapText="1"/>
    </xf>
    <xf numFmtId="164" fontId="11" fillId="3" borderId="0" xfId="1" applyNumberFormat="1" applyFont="1" applyFill="1" applyAlignment="1">
      <alignment wrapText="1"/>
    </xf>
    <xf numFmtId="0" fontId="11" fillId="3" borderId="0" xfId="0" applyFont="1" applyFill="1" applyAlignment="1">
      <alignment wrapText="1"/>
    </xf>
    <xf numFmtId="164" fontId="13" fillId="3" borderId="0" xfId="1" applyNumberFormat="1" applyFont="1" applyFill="1" applyAlignment="1">
      <alignment wrapText="1"/>
    </xf>
    <xf numFmtId="170" fontId="13" fillId="3" borderId="0" xfId="1" applyNumberFormat="1" applyFont="1" applyFill="1" applyAlignment="1">
      <alignment wrapText="1"/>
    </xf>
    <xf numFmtId="44" fontId="13" fillId="3" borderId="0" xfId="1" applyNumberFormat="1" applyFont="1" applyFill="1" applyAlignment="1">
      <alignment wrapText="1"/>
    </xf>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7"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164" fontId="13" fillId="0" borderId="0" xfId="2" applyNumberFormat="1" applyFont="1" applyFill="1"/>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9" fontId="1" fillId="0" borderId="2" xfId="0" applyNumberFormat="1" applyFont="1" applyBorder="1" applyAlignment="1">
      <alignment horizontal="right"/>
    </xf>
    <xf numFmtId="0" fontId="1" fillId="0" borderId="16" xfId="0" applyFont="1" applyFill="1" applyBorder="1"/>
    <xf numFmtId="0" fontId="10" fillId="3" borderId="2" xfId="3" applyFont="1" applyFill="1" applyBorder="1" applyAlignment="1">
      <alignment horizontal="center" wrapText="1"/>
    </xf>
    <xf numFmtId="0" fontId="1" fillId="0" borderId="2" xfId="0" applyFont="1" applyBorder="1" applyAlignment="1">
      <alignment vertical="center"/>
    </xf>
    <xf numFmtId="0" fontId="1" fillId="0" borderId="2" xfId="0" applyFont="1" applyBorder="1" applyAlignment="1">
      <alignment vertical="center" wrapText="1"/>
    </xf>
    <xf numFmtId="164" fontId="13" fillId="14" borderId="0" xfId="2" applyNumberFormat="1" applyFont="1" applyFill="1"/>
    <xf numFmtId="10" fontId="9" fillId="14" borderId="14" xfId="0" applyNumberFormat="1" applyFont="1" applyFill="1" applyBorder="1" applyAlignment="1">
      <alignment vertical="center"/>
    </xf>
    <xf numFmtId="10" fontId="9" fillId="14" borderId="2" xfId="0" applyNumberFormat="1" applyFont="1" applyFill="1" applyBorder="1" applyAlignment="1">
      <alignment vertical="center"/>
    </xf>
    <xf numFmtId="5" fontId="11" fillId="6" borderId="0" xfId="0" applyNumberFormat="1" applyFont="1" applyFill="1" applyAlignment="1">
      <alignment horizontal="center"/>
    </xf>
    <xf numFmtId="172" fontId="13" fillId="0" borderId="0" xfId="0" applyNumberFormat="1" applyFont="1"/>
    <xf numFmtId="0" fontId="1" fillId="5" borderId="0" xfId="0" applyFont="1" applyFill="1"/>
    <xf numFmtId="9" fontId="11" fillId="0" borderId="2" xfId="4" applyFont="1" applyFill="1" applyBorder="1"/>
    <xf numFmtId="9" fontId="11" fillId="0" borderId="2" xfId="3" applyNumberFormat="1" applyFont="1" applyFill="1" applyBorder="1"/>
    <xf numFmtId="0" fontId="23" fillId="6" borderId="0" xfId="0" applyFont="1" applyFill="1"/>
    <xf numFmtId="171" fontId="13" fillId="0" borderId="0" xfId="0" applyNumberFormat="1" applyFont="1" applyFill="1"/>
    <xf numFmtId="1" fontId="13" fillId="0" borderId="0" xfId="0" applyNumberFormat="1" applyFont="1" applyFill="1"/>
    <xf numFmtId="9" fontId="1" fillId="0" borderId="2" xfId="0" applyNumberFormat="1" applyFont="1" applyBorder="1" applyAlignment="1">
      <alignment horizontal="center" vertical="center"/>
    </xf>
    <xf numFmtId="173" fontId="13" fillId="0" borderId="0" xfId="0" applyNumberFormat="1" applyFont="1"/>
    <xf numFmtId="0" fontId="11" fillId="3" borderId="0" xfId="0" applyFont="1" applyFill="1" applyAlignment="1">
      <alignment horizontal="right" wrapText="1"/>
    </xf>
    <xf numFmtId="5" fontId="13" fillId="0" borderId="0" xfId="0" applyNumberFormat="1" applyFont="1" applyFill="1" applyAlignment="1">
      <alignment vertical="top"/>
    </xf>
    <xf numFmtId="5" fontId="1" fillId="0" borderId="0" xfId="0" applyNumberFormat="1" applyFont="1" applyFill="1" applyAlignment="1">
      <alignment vertical="top"/>
    </xf>
    <xf numFmtId="0" fontId="10" fillId="3" borderId="2" xfId="3" applyFont="1" applyFill="1" applyBorder="1" applyAlignment="1">
      <alignment horizontal="center" wrapText="1"/>
    </xf>
    <xf numFmtId="2" fontId="0" fillId="0" borderId="0" xfId="0" applyNumberFormat="1"/>
    <xf numFmtId="174" fontId="13" fillId="0" borderId="0" xfId="0" applyNumberFormat="1" applyFont="1"/>
    <xf numFmtId="172" fontId="1" fillId="0" borderId="0" xfId="0" applyNumberFormat="1" applyFont="1"/>
    <xf numFmtId="5" fontId="16" fillId="2" borderId="2" xfId="0" applyNumberFormat="1" applyFont="1" applyFill="1" applyBorder="1" applyAlignment="1">
      <alignment horizontal="center" vertical="center"/>
    </xf>
    <xf numFmtId="5" fontId="16" fillId="2" borderId="21" xfId="0" applyNumberFormat="1" applyFont="1" applyFill="1" applyBorder="1" applyAlignment="1">
      <alignment horizontal="center" vertical="center"/>
    </xf>
    <xf numFmtId="5" fontId="16" fillId="2" borderId="1" xfId="0" applyNumberFormat="1" applyFont="1" applyFill="1" applyBorder="1" applyAlignment="1">
      <alignment horizontal="center" vertical="center"/>
    </xf>
    <xf numFmtId="164" fontId="13" fillId="0" borderId="0" xfId="1" applyNumberFormat="1" applyFont="1"/>
    <xf numFmtId="171" fontId="0" fillId="0" borderId="0" xfId="1" applyNumberFormat="1" applyFont="1" applyFill="1"/>
    <xf numFmtId="5" fontId="0" fillId="0" borderId="0" xfId="0" applyNumberFormat="1" applyFill="1"/>
    <xf numFmtId="9" fontId="13" fillId="6" borderId="0" xfId="0" applyNumberFormat="1" applyFont="1" applyFill="1"/>
    <xf numFmtId="164" fontId="1" fillId="3" borderId="0" xfId="1" applyNumberFormat="1" applyFont="1" applyFill="1" applyAlignment="1">
      <alignment wrapText="1"/>
    </xf>
    <xf numFmtId="0" fontId="10" fillId="3" borderId="31"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3" borderId="35" xfId="3" applyFont="1" applyFill="1" applyBorder="1" applyAlignment="1">
      <alignment horizontal="center" vertical="center" wrapText="1"/>
    </xf>
    <xf numFmtId="0" fontId="10" fillId="3" borderId="3" xfId="3" applyFont="1" applyFill="1" applyBorder="1" applyAlignment="1">
      <alignment horizontal="center" vertical="center" wrapText="1"/>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0" fontId="0" fillId="0" borderId="0" xfId="0" applyFill="1"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0" fontId="0" fillId="0" borderId="0" xfId="0" applyAlignment="1">
      <alignment horizont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7" fillId="5" borderId="0" xfId="0" applyFont="1" applyFill="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14" borderId="3" xfId="0" applyNumberFormat="1" applyFont="1" applyFill="1" applyBorder="1" applyAlignment="1">
      <alignment horizontal="left" vertical="center" wrapText="1"/>
    </xf>
    <xf numFmtId="5" fontId="13" fillId="14" borderId="4" xfId="0" applyNumberFormat="1" applyFont="1" applyFill="1" applyBorder="1" applyAlignment="1">
      <alignment horizontal="left" vertical="center" wrapText="1"/>
    </xf>
    <xf numFmtId="5" fontId="13" fillId="14" borderId="1" xfId="0" applyNumberFormat="1" applyFont="1" applyFill="1" applyBorder="1" applyAlignment="1">
      <alignment horizontal="left" vertical="center" wrapText="1"/>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xf numFmtId="164" fontId="11" fillId="3" borderId="0" xfId="1" applyNumberFormat="1" applyFont="1" applyFill="1" applyAlignment="1">
      <alignment horizontal="right" wrapText="1" indent="1"/>
    </xf>
    <xf numFmtId="164" fontId="13" fillId="0" borderId="0" xfId="0" applyNumberFormat="1" applyFont="1" applyFill="1" applyAlignment="1">
      <alignment vertical="top"/>
    </xf>
    <xf numFmtId="0" fontId="20" fillId="0" borderId="0" xfId="0" applyFont="1" applyFill="1"/>
    <xf numFmtId="2" fontId="0" fillId="0" borderId="0" xfId="0" applyNumberFormat="1" applyFill="1"/>
    <xf numFmtId="172" fontId="0" fillId="0" borderId="0" xfId="0" applyNumberFormat="1" applyFill="1"/>
    <xf numFmtId="0" fontId="0" fillId="0" borderId="0" xfId="0" applyFont="1" applyFill="1"/>
    <xf numFmtId="175" fontId="0" fillId="0" borderId="0" xfId="0" applyNumberFormat="1" applyFont="1" applyFill="1"/>
    <xf numFmtId="7" fontId="13" fillId="0" borderId="0" xfId="0" applyNumberFormat="1" applyFont="1" applyFill="1"/>
    <xf numFmtId="175" fontId="13" fillId="0" borderId="0" xfId="0" applyNumberFormat="1" applyFont="1" applyFill="1"/>
    <xf numFmtId="9" fontId="0" fillId="0" borderId="0" xfId="8" applyFont="1" applyFill="1"/>
    <xf numFmtId="171" fontId="4" fillId="0" borderId="0" xfId="1" applyNumberFormat="1" applyFont="1" applyFill="1"/>
    <xf numFmtId="0" fontId="4" fillId="0" borderId="0" xfId="0" applyFont="1" applyFill="1"/>
    <xf numFmtId="175" fontId="4" fillId="0" borderId="0" xfId="0" applyNumberFormat="1" applyFont="1" applyFill="1"/>
    <xf numFmtId="171" fontId="0" fillId="0" borderId="0" xfId="0" applyNumberFormat="1" applyFont="1" applyFill="1"/>
    <xf numFmtId="172" fontId="13" fillId="0" borderId="0" xfId="0" applyNumberFormat="1" applyFont="1" applyFill="1"/>
    <xf numFmtId="171" fontId="1" fillId="0" borderId="0" xfId="0" applyNumberFormat="1" applyFont="1" applyFill="1"/>
    <xf numFmtId="5" fontId="1" fillId="0" borderId="0" xfId="0" applyNumberFormat="1" applyFont="1" applyFill="1"/>
    <xf numFmtId="5" fontId="13" fillId="0" borderId="0" xfId="0" applyNumberFormat="1" applyFont="1" applyFill="1"/>
    <xf numFmtId="164" fontId="13" fillId="0" borderId="0" xfId="0" applyNumberFormat="1" applyFont="1" applyFill="1"/>
    <xf numFmtId="173" fontId="13" fillId="0" borderId="0" xfId="0" applyNumberFormat="1" applyFont="1" applyFill="1"/>
    <xf numFmtId="5" fontId="15" fillId="0" borderId="0" xfId="0" applyNumberFormat="1" applyFont="1" applyFill="1"/>
    <xf numFmtId="5" fontId="16" fillId="0" borderId="0" xfId="0" applyNumberFormat="1" applyFont="1" applyFill="1"/>
    <xf numFmtId="0" fontId="15" fillId="0" borderId="0" xfId="0" applyFont="1" applyFill="1"/>
  </cellXfs>
  <cellStyles count="17">
    <cellStyle name="Comma" xfId="7" builtinId="3"/>
    <cellStyle name="Comma 2" xfId="6"/>
    <cellStyle name="Currency" xfId="1" builtinId="4"/>
    <cellStyle name="Currency 2" xfId="2"/>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6">
    <dxf>
      <fill>
        <patternFill>
          <bgColor theme="6"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ont>
        <color rgb="FF00B050"/>
      </font>
    </dxf>
    <dxf>
      <font>
        <color rgb="FFC00000"/>
      </font>
      <fill>
        <patternFill>
          <bgColor theme="5" tint="0.79998168889431442"/>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3-Year</a:t>
            </a:r>
            <a:r>
              <a:rPr lang="en-US" baseline="0"/>
              <a:t> </a:t>
            </a:r>
            <a:r>
              <a:rPr lang="en-US"/>
              <a:t>RTF Budgets (not including Council In-Kind Contribution)</a:t>
            </a:r>
          </a:p>
        </c:rich>
      </c:tx>
      <c:layout/>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(2017)'!$B$14</c:f>
              <c:strCache>
                <c:ptCount val="1"/>
                <c:pt idx="0">
                  <c:v>RTF Management</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(2017)'!$T$14,'Category (2017)'!$M$14,'Category (2017)'!$F$14)</c:f>
              <c:numCache>
                <c:formatCode>"$"#,##0_);\("$"#,##0\)</c:formatCode>
                <c:ptCount val="3"/>
                <c:pt idx="0">
                  <c:v>133300</c:v>
                </c:pt>
                <c:pt idx="1">
                  <c:v>143300</c:v>
                </c:pt>
                <c:pt idx="2">
                  <c:v>156300</c:v>
                </c:pt>
              </c:numCache>
            </c:numRef>
          </c:val>
        </c:ser>
        <c:ser>
          <c:idx val="7"/>
          <c:order val="1"/>
          <c:tx>
            <c:strRef>
              <c:f>'Category (2017)'!$B$13</c:f>
              <c:strCache>
                <c:ptCount val="1"/>
                <c:pt idx="0">
                  <c:v>RTF Member Support &amp; Administration</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(2017)'!$T$13,'Category (2017)'!$M$13,'Category (2017)'!$F$13)</c:f>
              <c:numCache>
                <c:formatCode>"$"#,##0_);\("$"#,##0\)</c:formatCode>
                <c:ptCount val="3"/>
                <c:pt idx="0">
                  <c:v>146800</c:v>
                </c:pt>
                <c:pt idx="1">
                  <c:v>234200</c:v>
                </c:pt>
                <c:pt idx="2">
                  <c:v>240000</c:v>
                </c:pt>
              </c:numCache>
            </c:numRef>
          </c:val>
        </c:ser>
        <c:ser>
          <c:idx val="6"/>
          <c:order val="2"/>
          <c:tx>
            <c:strRef>
              <c:f>'Category (2017)'!$B$12</c:f>
              <c:strCache>
                <c:ptCount val="1"/>
                <c:pt idx="0">
                  <c:v>Website, Database support, Conservation Tracking </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(2017)'!$T$12,'Category (2017)'!$M$12,'Category (2017)'!$F$12)</c:f>
              <c:numCache>
                <c:formatCode>"$"#,##0_);\("$"#,##0\)</c:formatCode>
                <c:ptCount val="3"/>
                <c:pt idx="0">
                  <c:v>40000</c:v>
                </c:pt>
                <c:pt idx="1">
                  <c:v>80000</c:v>
                </c:pt>
                <c:pt idx="2">
                  <c:v>80000</c:v>
                </c:pt>
              </c:numCache>
            </c:numRef>
          </c:val>
        </c:ser>
        <c:ser>
          <c:idx val="5"/>
          <c:order val="3"/>
          <c:tx>
            <c:strRef>
              <c:f>'Category (2017)'!$B$11</c:f>
              <c:strCache>
                <c:ptCount val="1"/>
                <c:pt idx="0">
                  <c:v>Regional Coordination (Research and Data Development)</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(2017)'!$T$11,'Category (2017)'!$M$11,'Category (2017)'!$F$11)</c:f>
              <c:numCache>
                <c:formatCode>"$"#,##0_);\("$"#,##0\)</c:formatCode>
                <c:ptCount val="3"/>
                <c:pt idx="0">
                  <c:v>137500</c:v>
                </c:pt>
                <c:pt idx="1">
                  <c:v>150000</c:v>
                </c:pt>
                <c:pt idx="2">
                  <c:v>135000</c:v>
                </c:pt>
              </c:numCache>
            </c:numRef>
          </c:val>
        </c:ser>
        <c:ser>
          <c:idx val="4"/>
          <c:order val="4"/>
          <c:tx>
            <c:strRef>
              <c:f>'Category (2017)'!$B$10</c:f>
              <c:strCache>
                <c:ptCount val="1"/>
                <c:pt idx="0">
                  <c:v>Research Projects &amp; Data Development</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(2017)'!$T$10,'Category (2017)'!$M$10,'Category (2017)'!$F$10)</c:f>
              <c:numCache>
                <c:formatCode>"$"#,##0_);\("$"#,##0\)</c:formatCode>
                <c:ptCount val="3"/>
                <c:pt idx="0">
                  <c:v>40000</c:v>
                </c:pt>
                <c:pt idx="1">
                  <c:v>0</c:v>
                </c:pt>
                <c:pt idx="2">
                  <c:v>0</c:v>
                </c:pt>
              </c:numCache>
            </c:numRef>
          </c:val>
        </c:ser>
        <c:ser>
          <c:idx val="3"/>
          <c:order val="5"/>
          <c:tx>
            <c:strRef>
              <c:f>'Category (2017)'!$B$9</c:f>
              <c:strCache>
                <c:ptCount val="1"/>
                <c:pt idx="0">
                  <c:v>Tool Development</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(2017)'!$T$9,'Category (2017)'!$M$9,'Category (2017)'!$F$9)</c:f>
              <c:numCache>
                <c:formatCode>"$"#,##0_);\("$"#,##0\)</c:formatCode>
                <c:ptCount val="3"/>
                <c:pt idx="0">
                  <c:v>90500</c:v>
                </c:pt>
                <c:pt idx="1">
                  <c:v>70000</c:v>
                </c:pt>
                <c:pt idx="2">
                  <c:v>20000</c:v>
                </c:pt>
              </c:numCache>
            </c:numRef>
          </c:val>
        </c:ser>
        <c:ser>
          <c:idx val="0"/>
          <c:order val="6"/>
          <c:tx>
            <c:strRef>
              <c:f>'Category (2017)'!$B$8</c:f>
              <c:strCache>
                <c:ptCount val="1"/>
                <c:pt idx="0">
                  <c:v>Standardization of Technical Analysis</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(2017)'!$T$8,'Category (2017)'!$M$8,'Category (2017)'!$F$8)</c:f>
              <c:numCache>
                <c:formatCode>"$"#,##0_);\("$"#,##0\)</c:formatCode>
                <c:ptCount val="3"/>
                <c:pt idx="0">
                  <c:v>109000</c:v>
                </c:pt>
                <c:pt idx="1">
                  <c:v>205000</c:v>
                </c:pt>
                <c:pt idx="2">
                  <c:v>350000</c:v>
                </c:pt>
              </c:numCache>
            </c:numRef>
          </c:val>
        </c:ser>
        <c:ser>
          <c:idx val="1"/>
          <c:order val="7"/>
          <c:tx>
            <c:strRef>
              <c:f>'Category (2017)'!$B$7</c:f>
              <c:strCache>
                <c:ptCount val="1"/>
                <c:pt idx="0">
                  <c:v>New Measure Development &amp; Review of Unsolicited Proposals</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(2017)'!$T$7,'Category (2017)'!$M$7,'Category (2017)'!$F$7)</c:f>
              <c:numCache>
                <c:formatCode>"$"#,##0_);\("$"#,##0\)</c:formatCode>
                <c:ptCount val="3"/>
                <c:pt idx="0">
                  <c:v>400000</c:v>
                </c:pt>
                <c:pt idx="1">
                  <c:v>328000</c:v>
                </c:pt>
                <c:pt idx="2">
                  <c:v>415500</c:v>
                </c:pt>
              </c:numCache>
            </c:numRef>
          </c:val>
        </c:ser>
        <c:ser>
          <c:idx val="2"/>
          <c:order val="8"/>
          <c:tx>
            <c:strRef>
              <c:f>'Category (2017)'!$B$6</c:f>
              <c:strCache>
                <c:ptCount val="1"/>
                <c:pt idx="0">
                  <c:v>Existing Measure Review &amp; Updates</c:v>
                </c:pt>
              </c:strCache>
            </c:strRef>
          </c:tx>
          <c:invertIfNegative val="0"/>
          <c:cat>
            <c:strRef>
              <c:f>('Category (2017)'!$Q$4,'Category (2017)'!$J$4,'Category (2017)'!$C$4)</c:f>
              <c:strCache>
                <c:ptCount val="3"/>
                <c:pt idx="0">
                  <c:v>Approved 2015</c:v>
                </c:pt>
                <c:pt idx="1">
                  <c:v>Approved 2016</c:v>
                </c:pt>
                <c:pt idx="2">
                  <c:v>Proposed 2017</c:v>
                </c:pt>
              </c:strCache>
            </c:strRef>
          </c:cat>
          <c:val>
            <c:numRef>
              <c:f>('Category (2017)'!$T$6,'Category (2017)'!$M$6,'Category (2017)'!$F$6)</c:f>
              <c:numCache>
                <c:formatCode>"$"#,##0_);\("$"#,##0\)</c:formatCode>
                <c:ptCount val="3"/>
                <c:pt idx="0">
                  <c:v>540500</c:v>
                </c:pt>
                <c:pt idx="1">
                  <c:v>452500</c:v>
                </c:pt>
                <c:pt idx="2">
                  <c:v>393000</c:v>
                </c:pt>
              </c:numCache>
            </c:numRef>
          </c:val>
        </c:ser>
        <c:dLbls>
          <c:showLegendKey val="0"/>
          <c:showVal val="0"/>
          <c:showCatName val="0"/>
          <c:showSerName val="0"/>
          <c:showPercent val="0"/>
          <c:showBubbleSize val="0"/>
        </c:dLbls>
        <c:gapWidth val="27"/>
        <c:overlap val="100"/>
        <c:axId val="153254344"/>
        <c:axId val="153254736"/>
      </c:barChart>
      <c:catAx>
        <c:axId val="153254344"/>
        <c:scaling>
          <c:orientation val="minMax"/>
        </c:scaling>
        <c:delete val="0"/>
        <c:axPos val="b"/>
        <c:numFmt formatCode="General" sourceLinked="1"/>
        <c:majorTickMark val="out"/>
        <c:minorTickMark val="none"/>
        <c:tickLblPos val="nextTo"/>
        <c:txPr>
          <a:bodyPr/>
          <a:lstStyle/>
          <a:p>
            <a:pPr>
              <a:defRPr sz="1800" b="1"/>
            </a:pPr>
            <a:endParaRPr lang="en-US"/>
          </a:p>
        </c:txPr>
        <c:crossAx val="153254736"/>
        <c:crosses val="autoZero"/>
        <c:auto val="1"/>
        <c:lblAlgn val="ctr"/>
        <c:lblOffset val="100"/>
        <c:noMultiLvlLbl val="0"/>
      </c:catAx>
      <c:valAx>
        <c:axId val="153254736"/>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153254344"/>
        <c:crosses val="autoZero"/>
        <c:crossBetween val="between"/>
      </c:valAx>
    </c:plotArea>
    <c:legend>
      <c:legendPos val="r"/>
      <c:layout>
        <c:manualLayout>
          <c:xMode val="edge"/>
          <c:yMode val="edge"/>
          <c:x val="0.67786400441933559"/>
          <c:y val="0.17298899640971704"/>
          <c:w val="0.30870079421776886"/>
          <c:h val="0.72488254330810165"/>
        </c:manualLayout>
      </c:layout>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2-Year</a:t>
            </a:r>
            <a:r>
              <a:rPr lang="en-US" baseline="0"/>
              <a:t> </a:t>
            </a:r>
            <a:r>
              <a:rPr lang="en-US"/>
              <a:t>RTF Budgets (not including Council In-Kind Contribution)</a:t>
            </a:r>
          </a:p>
        </c:rich>
      </c:tx>
      <c:layout/>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(2017)'!$B$14</c:f>
              <c:strCache>
                <c:ptCount val="1"/>
                <c:pt idx="0">
                  <c:v>RTF Management</c:v>
                </c:pt>
              </c:strCache>
            </c:strRef>
          </c:tx>
          <c:invertIfNegative val="0"/>
          <c:cat>
            <c:strRef>
              <c:f>('Category (2017)'!$J$4,'Category (2017)'!$C$4)</c:f>
              <c:strCache>
                <c:ptCount val="2"/>
                <c:pt idx="0">
                  <c:v>Approved 2016</c:v>
                </c:pt>
                <c:pt idx="1">
                  <c:v>Proposed 2017</c:v>
                </c:pt>
              </c:strCache>
            </c:strRef>
          </c:cat>
          <c:val>
            <c:numRef>
              <c:f>('Category (2017)'!$M$14,'Category (2017)'!$F$14)</c:f>
              <c:numCache>
                <c:formatCode>"$"#,##0_);\("$"#,##0\)</c:formatCode>
                <c:ptCount val="2"/>
                <c:pt idx="0">
                  <c:v>143300</c:v>
                </c:pt>
                <c:pt idx="1">
                  <c:v>156300</c:v>
                </c:pt>
              </c:numCache>
            </c:numRef>
          </c:val>
        </c:ser>
        <c:ser>
          <c:idx val="7"/>
          <c:order val="1"/>
          <c:tx>
            <c:strRef>
              <c:f>'Category (2017)'!$B$13</c:f>
              <c:strCache>
                <c:ptCount val="1"/>
                <c:pt idx="0">
                  <c:v>RTF Member Support &amp; Administration</c:v>
                </c:pt>
              </c:strCache>
            </c:strRef>
          </c:tx>
          <c:invertIfNegative val="0"/>
          <c:cat>
            <c:strRef>
              <c:f>('Category (2017)'!$J$4,'Category (2017)'!$C$4)</c:f>
              <c:strCache>
                <c:ptCount val="2"/>
                <c:pt idx="0">
                  <c:v>Approved 2016</c:v>
                </c:pt>
                <c:pt idx="1">
                  <c:v>Proposed 2017</c:v>
                </c:pt>
              </c:strCache>
            </c:strRef>
          </c:cat>
          <c:val>
            <c:numRef>
              <c:f>('Category (2017)'!$M$13,'Category (2017)'!$F$13)</c:f>
              <c:numCache>
                <c:formatCode>"$"#,##0_);\("$"#,##0\)</c:formatCode>
                <c:ptCount val="2"/>
                <c:pt idx="0">
                  <c:v>234200</c:v>
                </c:pt>
                <c:pt idx="1">
                  <c:v>240000</c:v>
                </c:pt>
              </c:numCache>
            </c:numRef>
          </c:val>
        </c:ser>
        <c:ser>
          <c:idx val="6"/>
          <c:order val="2"/>
          <c:tx>
            <c:strRef>
              <c:f>'Category (2017)'!$B$12</c:f>
              <c:strCache>
                <c:ptCount val="1"/>
                <c:pt idx="0">
                  <c:v>Website, Database support, Conservation Tracking </c:v>
                </c:pt>
              </c:strCache>
            </c:strRef>
          </c:tx>
          <c:invertIfNegative val="0"/>
          <c:cat>
            <c:strRef>
              <c:f>('Category (2017)'!$J$4,'Category (2017)'!$C$4)</c:f>
              <c:strCache>
                <c:ptCount val="2"/>
                <c:pt idx="0">
                  <c:v>Approved 2016</c:v>
                </c:pt>
                <c:pt idx="1">
                  <c:v>Proposed 2017</c:v>
                </c:pt>
              </c:strCache>
            </c:strRef>
          </c:cat>
          <c:val>
            <c:numRef>
              <c:f>('Category (2017)'!$M$12,'Category (2017)'!$F$12)</c:f>
              <c:numCache>
                <c:formatCode>"$"#,##0_);\("$"#,##0\)</c:formatCode>
                <c:ptCount val="2"/>
                <c:pt idx="0">
                  <c:v>80000</c:v>
                </c:pt>
                <c:pt idx="1">
                  <c:v>80000</c:v>
                </c:pt>
              </c:numCache>
            </c:numRef>
          </c:val>
        </c:ser>
        <c:ser>
          <c:idx val="5"/>
          <c:order val="3"/>
          <c:tx>
            <c:strRef>
              <c:f>'Category (2017)'!$B$11</c:f>
              <c:strCache>
                <c:ptCount val="1"/>
                <c:pt idx="0">
                  <c:v>Regional Coordination (Research and Data Development)</c:v>
                </c:pt>
              </c:strCache>
            </c:strRef>
          </c:tx>
          <c:invertIfNegative val="0"/>
          <c:cat>
            <c:strRef>
              <c:f>('Category (2017)'!$J$4,'Category (2017)'!$C$4)</c:f>
              <c:strCache>
                <c:ptCount val="2"/>
                <c:pt idx="0">
                  <c:v>Approved 2016</c:v>
                </c:pt>
                <c:pt idx="1">
                  <c:v>Proposed 2017</c:v>
                </c:pt>
              </c:strCache>
            </c:strRef>
          </c:cat>
          <c:val>
            <c:numRef>
              <c:f>('Category (2017)'!$M$11,'Category (2017)'!$F$11)</c:f>
              <c:numCache>
                <c:formatCode>"$"#,##0_);\("$"#,##0\)</c:formatCode>
                <c:ptCount val="2"/>
                <c:pt idx="0">
                  <c:v>150000</c:v>
                </c:pt>
                <c:pt idx="1">
                  <c:v>135000</c:v>
                </c:pt>
              </c:numCache>
            </c:numRef>
          </c:val>
        </c:ser>
        <c:ser>
          <c:idx val="4"/>
          <c:order val="4"/>
          <c:tx>
            <c:strRef>
              <c:f>'Category (2017)'!$B$10</c:f>
              <c:strCache>
                <c:ptCount val="1"/>
                <c:pt idx="0">
                  <c:v>Research Projects &amp; Data Development</c:v>
                </c:pt>
              </c:strCache>
            </c:strRef>
          </c:tx>
          <c:invertIfNegative val="0"/>
          <c:cat>
            <c:strRef>
              <c:f>('Category (2017)'!$J$4,'Category (2017)'!$C$4)</c:f>
              <c:strCache>
                <c:ptCount val="2"/>
                <c:pt idx="0">
                  <c:v>Approved 2016</c:v>
                </c:pt>
                <c:pt idx="1">
                  <c:v>Proposed 2017</c:v>
                </c:pt>
              </c:strCache>
            </c:strRef>
          </c:cat>
          <c:val>
            <c:numRef>
              <c:f>('Category (2017)'!$M$10,'Category (2017)'!$F$10)</c:f>
              <c:numCache>
                <c:formatCode>"$"#,##0_);\("$"#,##0\)</c:formatCode>
                <c:ptCount val="2"/>
                <c:pt idx="0">
                  <c:v>0</c:v>
                </c:pt>
                <c:pt idx="1">
                  <c:v>0</c:v>
                </c:pt>
              </c:numCache>
            </c:numRef>
          </c:val>
        </c:ser>
        <c:ser>
          <c:idx val="3"/>
          <c:order val="5"/>
          <c:tx>
            <c:strRef>
              <c:f>'Category (2017)'!$B$9</c:f>
              <c:strCache>
                <c:ptCount val="1"/>
                <c:pt idx="0">
                  <c:v>Tool Development</c:v>
                </c:pt>
              </c:strCache>
            </c:strRef>
          </c:tx>
          <c:invertIfNegative val="0"/>
          <c:cat>
            <c:strRef>
              <c:f>('Category (2017)'!$J$4,'Category (2017)'!$C$4)</c:f>
              <c:strCache>
                <c:ptCount val="2"/>
                <c:pt idx="0">
                  <c:v>Approved 2016</c:v>
                </c:pt>
                <c:pt idx="1">
                  <c:v>Proposed 2017</c:v>
                </c:pt>
              </c:strCache>
            </c:strRef>
          </c:cat>
          <c:val>
            <c:numRef>
              <c:f>('Category (2017)'!$M$9,'Category (2017)'!$F$9)</c:f>
              <c:numCache>
                <c:formatCode>"$"#,##0_);\("$"#,##0\)</c:formatCode>
                <c:ptCount val="2"/>
                <c:pt idx="0">
                  <c:v>70000</c:v>
                </c:pt>
                <c:pt idx="1">
                  <c:v>20000</c:v>
                </c:pt>
              </c:numCache>
            </c:numRef>
          </c:val>
        </c:ser>
        <c:ser>
          <c:idx val="0"/>
          <c:order val="6"/>
          <c:tx>
            <c:strRef>
              <c:f>'Category (2017)'!$B$8</c:f>
              <c:strCache>
                <c:ptCount val="1"/>
                <c:pt idx="0">
                  <c:v>Standardization of Technical Analysis</c:v>
                </c:pt>
              </c:strCache>
            </c:strRef>
          </c:tx>
          <c:invertIfNegative val="0"/>
          <c:cat>
            <c:strRef>
              <c:f>('Category (2017)'!$J$4,'Category (2017)'!$C$4)</c:f>
              <c:strCache>
                <c:ptCount val="2"/>
                <c:pt idx="0">
                  <c:v>Approved 2016</c:v>
                </c:pt>
                <c:pt idx="1">
                  <c:v>Proposed 2017</c:v>
                </c:pt>
              </c:strCache>
            </c:strRef>
          </c:cat>
          <c:val>
            <c:numRef>
              <c:f>('Category (2017)'!$M$8,'Category (2017)'!$F$8)</c:f>
              <c:numCache>
                <c:formatCode>"$"#,##0_);\("$"#,##0\)</c:formatCode>
                <c:ptCount val="2"/>
                <c:pt idx="0">
                  <c:v>205000</c:v>
                </c:pt>
                <c:pt idx="1">
                  <c:v>350000</c:v>
                </c:pt>
              </c:numCache>
            </c:numRef>
          </c:val>
        </c:ser>
        <c:ser>
          <c:idx val="1"/>
          <c:order val="7"/>
          <c:tx>
            <c:strRef>
              <c:f>'Category (2017)'!$B$7</c:f>
              <c:strCache>
                <c:ptCount val="1"/>
                <c:pt idx="0">
                  <c:v>New Measure Development &amp; Review of Unsolicited Proposals</c:v>
                </c:pt>
              </c:strCache>
            </c:strRef>
          </c:tx>
          <c:invertIfNegative val="0"/>
          <c:cat>
            <c:strRef>
              <c:f>('Category (2017)'!$J$4,'Category (2017)'!$C$4)</c:f>
              <c:strCache>
                <c:ptCount val="2"/>
                <c:pt idx="0">
                  <c:v>Approved 2016</c:v>
                </c:pt>
                <c:pt idx="1">
                  <c:v>Proposed 2017</c:v>
                </c:pt>
              </c:strCache>
            </c:strRef>
          </c:cat>
          <c:val>
            <c:numRef>
              <c:f>('Category (2017)'!$M$7,'Category (2017)'!$F$7)</c:f>
              <c:numCache>
                <c:formatCode>"$"#,##0_);\("$"#,##0\)</c:formatCode>
                <c:ptCount val="2"/>
                <c:pt idx="0">
                  <c:v>328000</c:v>
                </c:pt>
                <c:pt idx="1">
                  <c:v>415500</c:v>
                </c:pt>
              </c:numCache>
            </c:numRef>
          </c:val>
        </c:ser>
        <c:ser>
          <c:idx val="2"/>
          <c:order val="8"/>
          <c:tx>
            <c:strRef>
              <c:f>'Category (2017)'!$B$6</c:f>
              <c:strCache>
                <c:ptCount val="1"/>
                <c:pt idx="0">
                  <c:v>Existing Measure Review &amp; Updates</c:v>
                </c:pt>
              </c:strCache>
            </c:strRef>
          </c:tx>
          <c:invertIfNegative val="0"/>
          <c:cat>
            <c:strRef>
              <c:f>('Category (2017)'!$J$4,'Category (2017)'!$C$4)</c:f>
              <c:strCache>
                <c:ptCount val="2"/>
                <c:pt idx="0">
                  <c:v>Approved 2016</c:v>
                </c:pt>
                <c:pt idx="1">
                  <c:v>Proposed 2017</c:v>
                </c:pt>
              </c:strCache>
            </c:strRef>
          </c:cat>
          <c:val>
            <c:numRef>
              <c:f>('Category (2017)'!$M$6,'Category (2017)'!$F$6)</c:f>
              <c:numCache>
                <c:formatCode>"$"#,##0_);\("$"#,##0\)</c:formatCode>
                <c:ptCount val="2"/>
                <c:pt idx="0">
                  <c:v>452500</c:v>
                </c:pt>
                <c:pt idx="1">
                  <c:v>393000</c:v>
                </c:pt>
              </c:numCache>
            </c:numRef>
          </c:val>
        </c:ser>
        <c:dLbls>
          <c:showLegendKey val="0"/>
          <c:showVal val="0"/>
          <c:showCatName val="0"/>
          <c:showSerName val="0"/>
          <c:showPercent val="0"/>
          <c:showBubbleSize val="0"/>
        </c:dLbls>
        <c:gapWidth val="27"/>
        <c:overlap val="100"/>
        <c:axId val="516345080"/>
        <c:axId val="516631584"/>
      </c:barChart>
      <c:catAx>
        <c:axId val="516345080"/>
        <c:scaling>
          <c:orientation val="minMax"/>
        </c:scaling>
        <c:delete val="0"/>
        <c:axPos val="b"/>
        <c:numFmt formatCode="General" sourceLinked="1"/>
        <c:majorTickMark val="out"/>
        <c:minorTickMark val="none"/>
        <c:tickLblPos val="nextTo"/>
        <c:txPr>
          <a:bodyPr/>
          <a:lstStyle/>
          <a:p>
            <a:pPr>
              <a:defRPr sz="1800" b="1"/>
            </a:pPr>
            <a:endParaRPr lang="en-US"/>
          </a:p>
        </c:txPr>
        <c:crossAx val="516631584"/>
        <c:crosses val="autoZero"/>
        <c:auto val="1"/>
        <c:lblAlgn val="ctr"/>
        <c:lblOffset val="100"/>
        <c:noMultiLvlLbl val="0"/>
      </c:catAx>
      <c:valAx>
        <c:axId val="51663158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516345080"/>
        <c:crosses val="autoZero"/>
        <c:crossBetween val="between"/>
      </c:valAx>
    </c:plotArea>
    <c:legend>
      <c:legendPos val="r"/>
      <c:layout>
        <c:manualLayout>
          <c:xMode val="edge"/>
          <c:yMode val="edge"/>
          <c:x val="0.67786400441933592"/>
          <c:y val="0.17298899640971704"/>
          <c:w val="0.30870079421776897"/>
          <c:h val="0.72488254330810165"/>
        </c:manualLayout>
      </c:layout>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layout/>
      <c:overlay val="1"/>
    </c:title>
    <c:autoTitleDeleted val="0"/>
    <c:plotArea>
      <c:layout/>
      <c:barChart>
        <c:barDir val="col"/>
        <c:grouping val="stacked"/>
        <c:varyColors val="0"/>
        <c:ser>
          <c:idx val="8"/>
          <c:order val="0"/>
          <c:tx>
            <c:strRef>
              <c:f>'Category (2017)'!$B$14</c:f>
              <c:strCache>
                <c:ptCount val="1"/>
                <c:pt idx="0">
                  <c:v>RTF Management</c:v>
                </c:pt>
              </c:strCache>
            </c:strRef>
          </c:tx>
          <c:invertIfNegative val="0"/>
          <c:cat>
            <c:numLit>
              <c:formatCode>General</c:formatCode>
              <c:ptCount val="2"/>
              <c:pt idx="0">
                <c:v>2016</c:v>
              </c:pt>
              <c:pt idx="1">
                <c:v>2017</c:v>
              </c:pt>
            </c:numLit>
          </c:cat>
          <c:val>
            <c:numRef>
              <c:f>('Category (2017)'!$J$14,'Category (2017)'!$C$14)</c:f>
              <c:numCache>
                <c:formatCode>"$"#,##0_);\("$"#,##0\)</c:formatCode>
                <c:ptCount val="2"/>
                <c:pt idx="0">
                  <c:v>8300</c:v>
                </c:pt>
                <c:pt idx="1">
                  <c:v>4300</c:v>
                </c:pt>
              </c:numCache>
            </c:numRef>
          </c:val>
        </c:ser>
        <c:ser>
          <c:idx val="7"/>
          <c:order val="1"/>
          <c:tx>
            <c:strRef>
              <c:f>'Category (2017)'!$B$13</c:f>
              <c:strCache>
                <c:ptCount val="1"/>
                <c:pt idx="0">
                  <c:v>RTF Member Support &amp; Administration</c:v>
                </c:pt>
              </c:strCache>
            </c:strRef>
          </c:tx>
          <c:invertIfNegative val="0"/>
          <c:cat>
            <c:numLit>
              <c:formatCode>General</c:formatCode>
              <c:ptCount val="2"/>
              <c:pt idx="0">
                <c:v>2016</c:v>
              </c:pt>
              <c:pt idx="1">
                <c:v>2017</c:v>
              </c:pt>
            </c:numLit>
          </c:cat>
          <c:val>
            <c:numRef>
              <c:f>('Category (2017)'!$J$13,'Category (2017)'!$C$13)</c:f>
              <c:numCache>
                <c:formatCode>"$"#,##0_);\("$"#,##0\)</c:formatCode>
                <c:ptCount val="2"/>
                <c:pt idx="0">
                  <c:v>169200</c:v>
                </c:pt>
                <c:pt idx="1">
                  <c:v>165000</c:v>
                </c:pt>
              </c:numCache>
            </c:numRef>
          </c:val>
        </c:ser>
        <c:ser>
          <c:idx val="6"/>
          <c:order val="2"/>
          <c:tx>
            <c:strRef>
              <c:f>'Category (2017)'!$B$12</c:f>
              <c:strCache>
                <c:ptCount val="1"/>
                <c:pt idx="0">
                  <c:v>Website, Database support, Conservation Tracking </c:v>
                </c:pt>
              </c:strCache>
            </c:strRef>
          </c:tx>
          <c:invertIfNegative val="0"/>
          <c:cat>
            <c:numLit>
              <c:formatCode>General</c:formatCode>
              <c:ptCount val="2"/>
              <c:pt idx="0">
                <c:v>2016</c:v>
              </c:pt>
              <c:pt idx="1">
                <c:v>2017</c:v>
              </c:pt>
            </c:numLit>
          </c:cat>
          <c:val>
            <c:numRef>
              <c:f>('Category (2017)'!$J$12,'Category (2017)'!$C$12)</c:f>
              <c:numCache>
                <c:formatCode>"$"#,##0_);\("$"#,##0\)</c:formatCode>
                <c:ptCount val="2"/>
                <c:pt idx="0">
                  <c:v>60000</c:v>
                </c:pt>
                <c:pt idx="1">
                  <c:v>70000</c:v>
                </c:pt>
              </c:numCache>
            </c:numRef>
          </c:val>
        </c:ser>
        <c:ser>
          <c:idx val="5"/>
          <c:order val="3"/>
          <c:tx>
            <c:strRef>
              <c:f>'Category (2017)'!$B$11</c:f>
              <c:strCache>
                <c:ptCount val="1"/>
                <c:pt idx="0">
                  <c:v>Regional Coordination (Research and Data Development)</c:v>
                </c:pt>
              </c:strCache>
            </c:strRef>
          </c:tx>
          <c:invertIfNegative val="0"/>
          <c:cat>
            <c:numLit>
              <c:formatCode>General</c:formatCode>
              <c:ptCount val="2"/>
              <c:pt idx="0">
                <c:v>2016</c:v>
              </c:pt>
              <c:pt idx="1">
                <c:v>2017</c:v>
              </c:pt>
            </c:numLit>
          </c:cat>
          <c:val>
            <c:numRef>
              <c:f>('Category (2017)'!$J$11,'Category (2017)'!$C$11)</c:f>
              <c:numCache>
                <c:formatCode>"$"#,##0_);\("$"#,##0\)</c:formatCode>
                <c:ptCount val="2"/>
                <c:pt idx="0">
                  <c:v>15000</c:v>
                </c:pt>
                <c:pt idx="1">
                  <c:v>20000</c:v>
                </c:pt>
              </c:numCache>
            </c:numRef>
          </c:val>
        </c:ser>
        <c:ser>
          <c:idx val="4"/>
          <c:order val="4"/>
          <c:tx>
            <c:strRef>
              <c:f>'Category (2017)'!$B$10</c:f>
              <c:strCache>
                <c:ptCount val="1"/>
                <c:pt idx="0">
                  <c:v>Research Projects &amp; Data Development</c:v>
                </c:pt>
              </c:strCache>
            </c:strRef>
          </c:tx>
          <c:invertIfNegative val="0"/>
          <c:cat>
            <c:numLit>
              <c:formatCode>General</c:formatCode>
              <c:ptCount val="2"/>
              <c:pt idx="0">
                <c:v>2016</c:v>
              </c:pt>
              <c:pt idx="1">
                <c:v>2017</c:v>
              </c:pt>
            </c:numLit>
          </c:cat>
          <c:val>
            <c:numRef>
              <c:f>('Category (2017)'!$J$10,'Category (2017)'!$C$10)</c:f>
              <c:numCache>
                <c:formatCode>"$"#,##0_);\("$"#,##0\)</c:formatCode>
                <c:ptCount val="2"/>
                <c:pt idx="0">
                  <c:v>0</c:v>
                </c:pt>
                <c:pt idx="1">
                  <c:v>0</c:v>
                </c:pt>
              </c:numCache>
            </c:numRef>
          </c:val>
        </c:ser>
        <c:ser>
          <c:idx val="3"/>
          <c:order val="5"/>
          <c:tx>
            <c:strRef>
              <c:f>'Category (2017)'!$B$9</c:f>
              <c:strCache>
                <c:ptCount val="1"/>
                <c:pt idx="0">
                  <c:v>Tool Development</c:v>
                </c:pt>
              </c:strCache>
            </c:strRef>
          </c:tx>
          <c:invertIfNegative val="0"/>
          <c:cat>
            <c:numLit>
              <c:formatCode>General</c:formatCode>
              <c:ptCount val="2"/>
              <c:pt idx="0">
                <c:v>2016</c:v>
              </c:pt>
              <c:pt idx="1">
                <c:v>2017</c:v>
              </c:pt>
            </c:numLit>
          </c:cat>
          <c:val>
            <c:numRef>
              <c:f>('Category (2017)'!$J$9,'Category (2017)'!$C$9)</c:f>
              <c:numCache>
                <c:formatCode>"$"#,##0_);\("$"#,##0\)</c:formatCode>
                <c:ptCount val="2"/>
                <c:pt idx="0">
                  <c:v>10000</c:v>
                </c:pt>
                <c:pt idx="1">
                  <c:v>0</c:v>
                </c:pt>
              </c:numCache>
            </c:numRef>
          </c:val>
        </c:ser>
        <c:ser>
          <c:idx val="2"/>
          <c:order val="6"/>
          <c:tx>
            <c:strRef>
              <c:f>'Category (2017)'!$B$8</c:f>
              <c:strCache>
                <c:ptCount val="1"/>
                <c:pt idx="0">
                  <c:v>Standardization of Technical Analysis</c:v>
                </c:pt>
              </c:strCache>
            </c:strRef>
          </c:tx>
          <c:invertIfNegative val="0"/>
          <c:cat>
            <c:numLit>
              <c:formatCode>General</c:formatCode>
              <c:ptCount val="2"/>
              <c:pt idx="0">
                <c:v>2016</c:v>
              </c:pt>
              <c:pt idx="1">
                <c:v>2017</c:v>
              </c:pt>
            </c:numLit>
          </c:cat>
          <c:val>
            <c:numRef>
              <c:f>('Category (2017)'!$J$8,'Category (2017)'!$C$8)</c:f>
              <c:numCache>
                <c:formatCode>"$"#,##0_);\("$"#,##0\)</c:formatCode>
                <c:ptCount val="2"/>
                <c:pt idx="0">
                  <c:v>30000</c:v>
                </c:pt>
                <c:pt idx="1">
                  <c:v>125000</c:v>
                </c:pt>
              </c:numCache>
            </c:numRef>
          </c:val>
        </c:ser>
        <c:ser>
          <c:idx val="1"/>
          <c:order val="7"/>
          <c:tx>
            <c:strRef>
              <c:f>'Category (2017)'!$B$7</c:f>
              <c:strCache>
                <c:ptCount val="1"/>
                <c:pt idx="0">
                  <c:v>New Measure Development &amp; Review of Unsolicited Proposals</c:v>
                </c:pt>
              </c:strCache>
            </c:strRef>
          </c:tx>
          <c:invertIfNegative val="0"/>
          <c:cat>
            <c:numLit>
              <c:formatCode>General</c:formatCode>
              <c:ptCount val="2"/>
              <c:pt idx="0">
                <c:v>2016</c:v>
              </c:pt>
              <c:pt idx="1">
                <c:v>2017</c:v>
              </c:pt>
            </c:numLit>
          </c:cat>
          <c:val>
            <c:numRef>
              <c:f>('Category (2017)'!$J$7,'Category (2017)'!$C$7)</c:f>
              <c:numCache>
                <c:formatCode>"$"#,##0_);\("$"#,##0\)</c:formatCode>
                <c:ptCount val="2"/>
                <c:pt idx="0">
                  <c:v>88000</c:v>
                </c:pt>
                <c:pt idx="1">
                  <c:v>48000</c:v>
                </c:pt>
              </c:numCache>
            </c:numRef>
          </c:val>
        </c:ser>
        <c:ser>
          <c:idx val="0"/>
          <c:order val="8"/>
          <c:tx>
            <c:strRef>
              <c:f>'Category (2017)'!$B$6</c:f>
              <c:strCache>
                <c:ptCount val="1"/>
                <c:pt idx="0">
                  <c:v>Existing Measure Review &amp; Updates</c:v>
                </c:pt>
              </c:strCache>
            </c:strRef>
          </c:tx>
          <c:invertIfNegative val="0"/>
          <c:cat>
            <c:numLit>
              <c:formatCode>General</c:formatCode>
              <c:ptCount val="2"/>
              <c:pt idx="0">
                <c:v>2016</c:v>
              </c:pt>
              <c:pt idx="1">
                <c:v>2017</c:v>
              </c:pt>
            </c:numLit>
          </c:cat>
          <c:val>
            <c:numRef>
              <c:f>('Category (2017)'!$J$6,'Category (2017)'!$C$6)</c:f>
              <c:numCache>
                <c:formatCode>"$"#,##0_);\("$"#,##0\)</c:formatCode>
                <c:ptCount val="2"/>
                <c:pt idx="0">
                  <c:v>127500</c:v>
                </c:pt>
                <c:pt idx="1">
                  <c:v>48000</c:v>
                </c:pt>
              </c:numCache>
            </c:numRef>
          </c:val>
        </c:ser>
        <c:dLbls>
          <c:showLegendKey val="0"/>
          <c:showVal val="0"/>
          <c:showCatName val="0"/>
          <c:showSerName val="0"/>
          <c:showPercent val="0"/>
          <c:showBubbleSize val="0"/>
        </c:dLbls>
        <c:gapWidth val="150"/>
        <c:overlap val="100"/>
        <c:axId val="516632368"/>
        <c:axId val="516632760"/>
      </c:barChart>
      <c:catAx>
        <c:axId val="516632368"/>
        <c:scaling>
          <c:orientation val="minMax"/>
        </c:scaling>
        <c:delete val="0"/>
        <c:axPos val="b"/>
        <c:numFmt formatCode="General" sourceLinked="1"/>
        <c:majorTickMark val="out"/>
        <c:minorTickMark val="none"/>
        <c:tickLblPos val="nextTo"/>
        <c:txPr>
          <a:bodyPr/>
          <a:lstStyle/>
          <a:p>
            <a:pPr>
              <a:defRPr sz="1800" b="1"/>
            </a:pPr>
            <a:endParaRPr lang="en-US"/>
          </a:p>
        </c:txPr>
        <c:crossAx val="516632760"/>
        <c:crosses val="autoZero"/>
        <c:auto val="1"/>
        <c:lblAlgn val="ctr"/>
        <c:lblOffset val="100"/>
        <c:noMultiLvlLbl val="0"/>
      </c:catAx>
      <c:valAx>
        <c:axId val="51663276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516632368"/>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layout/>
      <c:overlay val="1"/>
    </c:title>
    <c:autoTitleDeleted val="0"/>
    <c:plotArea>
      <c:layout/>
      <c:barChart>
        <c:barDir val="col"/>
        <c:grouping val="stacked"/>
        <c:varyColors val="0"/>
        <c:ser>
          <c:idx val="8"/>
          <c:order val="0"/>
          <c:tx>
            <c:strRef>
              <c:f>'Category (2017)'!$B$14</c:f>
              <c:strCache>
                <c:ptCount val="1"/>
                <c:pt idx="0">
                  <c:v>RTF Management</c:v>
                </c:pt>
              </c:strCache>
            </c:strRef>
          </c:tx>
          <c:invertIfNegative val="0"/>
          <c:cat>
            <c:numLit>
              <c:formatCode>General</c:formatCode>
              <c:ptCount val="2"/>
              <c:pt idx="0">
                <c:v>2016</c:v>
              </c:pt>
              <c:pt idx="1">
                <c:v>2017</c:v>
              </c:pt>
            </c:numLit>
          </c:cat>
          <c:val>
            <c:numRef>
              <c:f>('Category (2017)'!$L$14,'Category (2017)'!$E$14)</c:f>
              <c:numCache>
                <c:formatCode>"$"#,##0_);\("$"#,##0\)</c:formatCode>
                <c:ptCount val="2"/>
                <c:pt idx="0">
                  <c:v>135000</c:v>
                </c:pt>
                <c:pt idx="1">
                  <c:v>147000</c:v>
                </c:pt>
              </c:numCache>
            </c:numRef>
          </c:val>
        </c:ser>
        <c:ser>
          <c:idx val="7"/>
          <c:order val="1"/>
          <c:tx>
            <c:strRef>
              <c:f>'Category (2017)'!$B$13</c:f>
              <c:strCache>
                <c:ptCount val="1"/>
                <c:pt idx="0">
                  <c:v>RTF Member Support &amp; Administration</c:v>
                </c:pt>
              </c:strCache>
            </c:strRef>
          </c:tx>
          <c:invertIfNegative val="0"/>
          <c:cat>
            <c:numLit>
              <c:formatCode>General</c:formatCode>
              <c:ptCount val="2"/>
              <c:pt idx="0">
                <c:v>2016</c:v>
              </c:pt>
              <c:pt idx="1">
                <c:v>2017</c:v>
              </c:pt>
            </c:numLit>
          </c:cat>
          <c:val>
            <c:numRef>
              <c:f>('Category (2017)'!$K$13,'Category (2017)'!$D$13)</c:f>
              <c:numCache>
                <c:formatCode>"$"#,##0_);\("$"#,##0\)</c:formatCode>
                <c:ptCount val="2"/>
                <c:pt idx="0">
                  <c:v>65000</c:v>
                </c:pt>
                <c:pt idx="1">
                  <c:v>75000</c:v>
                </c:pt>
              </c:numCache>
            </c:numRef>
          </c:val>
        </c:ser>
        <c:ser>
          <c:idx val="6"/>
          <c:order val="2"/>
          <c:tx>
            <c:strRef>
              <c:f>'Category (2017)'!$B$12</c:f>
              <c:strCache>
                <c:ptCount val="1"/>
                <c:pt idx="0">
                  <c:v>Website, Database support, Conservation Tracking </c:v>
                </c:pt>
              </c:strCache>
            </c:strRef>
          </c:tx>
          <c:invertIfNegative val="0"/>
          <c:cat>
            <c:numLit>
              <c:formatCode>General</c:formatCode>
              <c:ptCount val="2"/>
              <c:pt idx="0">
                <c:v>2016</c:v>
              </c:pt>
              <c:pt idx="1">
                <c:v>2017</c:v>
              </c:pt>
            </c:numLit>
          </c:cat>
          <c:val>
            <c:numRef>
              <c:f>('Category (2017)'!$K$12,'Category (2017)'!$D$12)</c:f>
              <c:numCache>
                <c:formatCode>"$"#,##0_);\("$"#,##0\)</c:formatCode>
                <c:ptCount val="2"/>
                <c:pt idx="0">
                  <c:v>20000</c:v>
                </c:pt>
                <c:pt idx="1">
                  <c:v>10000</c:v>
                </c:pt>
              </c:numCache>
            </c:numRef>
          </c:val>
        </c:ser>
        <c:ser>
          <c:idx val="5"/>
          <c:order val="3"/>
          <c:tx>
            <c:strRef>
              <c:f>'Category (2017)'!$B$11</c:f>
              <c:strCache>
                <c:ptCount val="1"/>
                <c:pt idx="0">
                  <c:v>Regional Coordination (Research and Data Development)</c:v>
                </c:pt>
              </c:strCache>
            </c:strRef>
          </c:tx>
          <c:invertIfNegative val="0"/>
          <c:cat>
            <c:numLit>
              <c:formatCode>General</c:formatCode>
              <c:ptCount val="2"/>
              <c:pt idx="0">
                <c:v>2016</c:v>
              </c:pt>
              <c:pt idx="1">
                <c:v>2017</c:v>
              </c:pt>
            </c:numLit>
          </c:cat>
          <c:val>
            <c:numRef>
              <c:f>('Category (2017)'!$K$11,'Category (2017)'!$D$11)</c:f>
              <c:numCache>
                <c:formatCode>"$"#,##0_);\("$"#,##0\)</c:formatCode>
                <c:ptCount val="2"/>
                <c:pt idx="0">
                  <c:v>135000</c:v>
                </c:pt>
                <c:pt idx="1">
                  <c:v>115000</c:v>
                </c:pt>
              </c:numCache>
            </c:numRef>
          </c:val>
        </c:ser>
        <c:ser>
          <c:idx val="4"/>
          <c:order val="4"/>
          <c:tx>
            <c:strRef>
              <c:f>'Category (2017)'!$B$10</c:f>
              <c:strCache>
                <c:ptCount val="1"/>
                <c:pt idx="0">
                  <c:v>Research Projects &amp; Data Development</c:v>
                </c:pt>
              </c:strCache>
            </c:strRef>
          </c:tx>
          <c:invertIfNegative val="0"/>
          <c:cat>
            <c:numLit>
              <c:formatCode>General</c:formatCode>
              <c:ptCount val="2"/>
              <c:pt idx="0">
                <c:v>2016</c:v>
              </c:pt>
              <c:pt idx="1">
                <c:v>2017</c:v>
              </c:pt>
            </c:numLit>
          </c:cat>
          <c:val>
            <c:numRef>
              <c:f>('Category (2017)'!$K$10,'Category (2017)'!$D$10)</c:f>
              <c:numCache>
                <c:formatCode>"$"#,##0_);\("$"#,##0\)</c:formatCode>
                <c:ptCount val="2"/>
                <c:pt idx="0">
                  <c:v>0</c:v>
                </c:pt>
                <c:pt idx="1">
                  <c:v>0</c:v>
                </c:pt>
              </c:numCache>
            </c:numRef>
          </c:val>
        </c:ser>
        <c:ser>
          <c:idx val="3"/>
          <c:order val="5"/>
          <c:tx>
            <c:strRef>
              <c:f>'Category (2017)'!$B$9</c:f>
              <c:strCache>
                <c:ptCount val="1"/>
                <c:pt idx="0">
                  <c:v>Tool Development</c:v>
                </c:pt>
              </c:strCache>
            </c:strRef>
          </c:tx>
          <c:invertIfNegative val="0"/>
          <c:cat>
            <c:numLit>
              <c:formatCode>General</c:formatCode>
              <c:ptCount val="2"/>
              <c:pt idx="0">
                <c:v>2016</c:v>
              </c:pt>
              <c:pt idx="1">
                <c:v>2017</c:v>
              </c:pt>
            </c:numLit>
          </c:cat>
          <c:val>
            <c:numRef>
              <c:f>('Category (2017)'!$K$9,'Category (2017)'!$D$9)</c:f>
              <c:numCache>
                <c:formatCode>"$"#,##0_);\("$"#,##0\)</c:formatCode>
                <c:ptCount val="2"/>
                <c:pt idx="0">
                  <c:v>60000</c:v>
                </c:pt>
                <c:pt idx="1">
                  <c:v>20000</c:v>
                </c:pt>
              </c:numCache>
            </c:numRef>
          </c:val>
        </c:ser>
        <c:ser>
          <c:idx val="2"/>
          <c:order val="6"/>
          <c:tx>
            <c:strRef>
              <c:f>'Category (2017)'!$B$8</c:f>
              <c:strCache>
                <c:ptCount val="1"/>
                <c:pt idx="0">
                  <c:v>Standardization of Technical Analysis</c:v>
                </c:pt>
              </c:strCache>
            </c:strRef>
          </c:tx>
          <c:invertIfNegative val="0"/>
          <c:cat>
            <c:numLit>
              <c:formatCode>General</c:formatCode>
              <c:ptCount val="2"/>
              <c:pt idx="0">
                <c:v>2016</c:v>
              </c:pt>
              <c:pt idx="1">
                <c:v>2017</c:v>
              </c:pt>
            </c:numLit>
          </c:cat>
          <c:val>
            <c:numRef>
              <c:f>('Category (2017)'!$K$8,'Category (2017)'!$D$8)</c:f>
              <c:numCache>
                <c:formatCode>"$"#,##0_);\("$"#,##0\)</c:formatCode>
                <c:ptCount val="2"/>
                <c:pt idx="0">
                  <c:v>175000</c:v>
                </c:pt>
                <c:pt idx="1">
                  <c:v>225000</c:v>
                </c:pt>
              </c:numCache>
            </c:numRef>
          </c:val>
        </c:ser>
        <c:ser>
          <c:idx val="1"/>
          <c:order val="7"/>
          <c:tx>
            <c:strRef>
              <c:f>'Category (2017)'!$B$7</c:f>
              <c:strCache>
                <c:ptCount val="1"/>
                <c:pt idx="0">
                  <c:v>New Measure Development &amp; Review of Unsolicited Proposals</c:v>
                </c:pt>
              </c:strCache>
            </c:strRef>
          </c:tx>
          <c:invertIfNegative val="0"/>
          <c:cat>
            <c:numLit>
              <c:formatCode>General</c:formatCode>
              <c:ptCount val="2"/>
              <c:pt idx="0">
                <c:v>2016</c:v>
              </c:pt>
              <c:pt idx="1">
                <c:v>2017</c:v>
              </c:pt>
            </c:numLit>
          </c:cat>
          <c:val>
            <c:numRef>
              <c:f>('Category (2017)'!$K$7,'Category (2017)'!$D$7)</c:f>
              <c:numCache>
                <c:formatCode>"$"#,##0_);\("$"#,##0\)</c:formatCode>
                <c:ptCount val="2"/>
                <c:pt idx="0">
                  <c:v>240000</c:v>
                </c:pt>
                <c:pt idx="1">
                  <c:v>367500</c:v>
                </c:pt>
              </c:numCache>
            </c:numRef>
          </c:val>
        </c:ser>
        <c:ser>
          <c:idx val="0"/>
          <c:order val="8"/>
          <c:tx>
            <c:strRef>
              <c:f>'Category (2017)'!$B$6</c:f>
              <c:strCache>
                <c:ptCount val="1"/>
                <c:pt idx="0">
                  <c:v>Existing Measure Review &amp; Updates</c:v>
                </c:pt>
              </c:strCache>
            </c:strRef>
          </c:tx>
          <c:invertIfNegative val="0"/>
          <c:cat>
            <c:numLit>
              <c:formatCode>General</c:formatCode>
              <c:ptCount val="2"/>
              <c:pt idx="0">
                <c:v>2016</c:v>
              </c:pt>
              <c:pt idx="1">
                <c:v>2017</c:v>
              </c:pt>
            </c:numLit>
          </c:cat>
          <c:val>
            <c:numRef>
              <c:f>('Category (2017)'!$K$6,'Category (2017)'!$D$6)</c:f>
              <c:numCache>
                <c:formatCode>"$"#,##0_);\("$"#,##0\)</c:formatCode>
                <c:ptCount val="2"/>
                <c:pt idx="0">
                  <c:v>325000</c:v>
                </c:pt>
                <c:pt idx="1">
                  <c:v>345000</c:v>
                </c:pt>
              </c:numCache>
            </c:numRef>
          </c:val>
        </c:ser>
        <c:dLbls>
          <c:showLegendKey val="0"/>
          <c:showVal val="0"/>
          <c:showCatName val="0"/>
          <c:showSerName val="0"/>
          <c:showPercent val="0"/>
          <c:showBubbleSize val="0"/>
        </c:dLbls>
        <c:gapWidth val="150"/>
        <c:overlap val="100"/>
        <c:axId val="516633544"/>
        <c:axId val="516633936"/>
      </c:barChart>
      <c:catAx>
        <c:axId val="516633544"/>
        <c:scaling>
          <c:orientation val="minMax"/>
        </c:scaling>
        <c:delete val="0"/>
        <c:axPos val="b"/>
        <c:numFmt formatCode="General" sourceLinked="1"/>
        <c:majorTickMark val="out"/>
        <c:minorTickMark val="none"/>
        <c:tickLblPos val="nextTo"/>
        <c:txPr>
          <a:bodyPr/>
          <a:lstStyle/>
          <a:p>
            <a:pPr>
              <a:defRPr sz="1800" b="1"/>
            </a:pPr>
            <a:endParaRPr lang="en-US"/>
          </a:p>
        </c:txPr>
        <c:crossAx val="516633936"/>
        <c:crosses val="autoZero"/>
        <c:auto val="1"/>
        <c:lblAlgn val="ctr"/>
        <c:lblOffset val="100"/>
        <c:noMultiLvlLbl val="0"/>
      </c:catAx>
      <c:valAx>
        <c:axId val="516633936"/>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516633544"/>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layout/>
      <c:overlay val="1"/>
    </c:title>
    <c:autoTitleDeleted val="0"/>
    <c:plotArea>
      <c:layout/>
      <c:barChart>
        <c:barDir val="col"/>
        <c:grouping val="stacked"/>
        <c:varyColors val="0"/>
        <c:ser>
          <c:idx val="1"/>
          <c:order val="0"/>
          <c:tx>
            <c:strRef>
              <c:f>'Category (2017)'!$O$123</c:f>
              <c:strCache>
                <c:ptCount val="1"/>
                <c:pt idx="0">
                  <c:v>Contract RFP</c:v>
                </c:pt>
              </c:strCache>
            </c:strRef>
          </c:tx>
          <c:invertIfNegative val="0"/>
          <c:cat>
            <c:numRef>
              <c:f>'Category (2017)'!$P$122:$R$122</c:f>
              <c:numCache>
                <c:formatCode>General</c:formatCode>
                <c:ptCount val="3"/>
                <c:pt idx="0">
                  <c:v>2015</c:v>
                </c:pt>
                <c:pt idx="1">
                  <c:v>2016</c:v>
                </c:pt>
                <c:pt idx="2">
                  <c:v>2017</c:v>
                </c:pt>
              </c:numCache>
            </c:numRef>
          </c:cat>
          <c:val>
            <c:numRef>
              <c:f>'Category (2017)'!$P$123:$R$123</c:f>
              <c:numCache>
                <c:formatCode>"$"#,##0_);\("$"#,##0\)</c:formatCode>
                <c:ptCount val="3"/>
                <c:pt idx="0">
                  <c:v>425600</c:v>
                </c:pt>
                <c:pt idx="1">
                  <c:v>508000</c:v>
                </c:pt>
                <c:pt idx="2">
                  <c:v>480300</c:v>
                </c:pt>
              </c:numCache>
            </c:numRef>
          </c:val>
        </c:ser>
        <c:ser>
          <c:idx val="0"/>
          <c:order val="1"/>
          <c:tx>
            <c:strRef>
              <c:f>'Category (2017)'!$O$125</c:f>
              <c:strCache>
                <c:ptCount val="1"/>
                <c:pt idx="0">
                  <c:v>Contract Analyst Team and RTF Manager</c:v>
                </c:pt>
              </c:strCache>
            </c:strRef>
          </c:tx>
          <c:invertIfNegative val="0"/>
          <c:cat>
            <c:numRef>
              <c:f>'Category (2017)'!$P$122:$R$122</c:f>
              <c:numCache>
                <c:formatCode>General</c:formatCode>
                <c:ptCount val="3"/>
                <c:pt idx="0">
                  <c:v>2015</c:v>
                </c:pt>
                <c:pt idx="1">
                  <c:v>2016</c:v>
                </c:pt>
                <c:pt idx="2">
                  <c:v>2017</c:v>
                </c:pt>
              </c:numCache>
            </c:numRef>
          </c:cat>
          <c:val>
            <c:numRef>
              <c:f>'Category (2017)'!$P$125:$R$125</c:f>
              <c:numCache>
                <c:formatCode>"$"#,##0_);\("$"#,##0\)</c:formatCode>
                <c:ptCount val="3"/>
                <c:pt idx="0">
                  <c:v>1087000</c:v>
                </c:pt>
                <c:pt idx="1">
                  <c:v>1155000</c:v>
                </c:pt>
                <c:pt idx="2">
                  <c:v>1309500</c:v>
                </c:pt>
              </c:numCache>
            </c:numRef>
          </c:val>
        </c:ser>
        <c:dLbls>
          <c:showLegendKey val="0"/>
          <c:showVal val="0"/>
          <c:showCatName val="0"/>
          <c:showSerName val="0"/>
          <c:showPercent val="0"/>
          <c:showBubbleSize val="0"/>
        </c:dLbls>
        <c:gapWidth val="150"/>
        <c:overlap val="100"/>
        <c:axId val="516901152"/>
        <c:axId val="516901544"/>
      </c:barChart>
      <c:catAx>
        <c:axId val="516901152"/>
        <c:scaling>
          <c:orientation val="minMax"/>
        </c:scaling>
        <c:delete val="0"/>
        <c:axPos val="b"/>
        <c:numFmt formatCode="General" sourceLinked="1"/>
        <c:majorTickMark val="out"/>
        <c:minorTickMark val="none"/>
        <c:tickLblPos val="nextTo"/>
        <c:txPr>
          <a:bodyPr/>
          <a:lstStyle/>
          <a:p>
            <a:pPr>
              <a:defRPr sz="1800" b="1"/>
            </a:pPr>
            <a:endParaRPr lang="en-US"/>
          </a:p>
        </c:txPr>
        <c:crossAx val="516901544"/>
        <c:crosses val="autoZero"/>
        <c:auto val="1"/>
        <c:lblAlgn val="ctr"/>
        <c:lblOffset val="100"/>
        <c:noMultiLvlLbl val="0"/>
      </c:catAx>
      <c:valAx>
        <c:axId val="51690154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516901152"/>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Funding </a:t>
            </a:r>
          </a:p>
          <a:p>
            <a:pPr>
              <a:defRPr/>
            </a:pPr>
            <a:r>
              <a:rPr lang="en-US"/>
              <a:t>(Including Council)</a:t>
            </a:r>
          </a:p>
        </c:rich>
      </c:tx>
      <c:layout/>
      <c:overlay val="0"/>
    </c:title>
    <c:autoTitleDeleted val="0"/>
    <c:plotArea>
      <c:layout>
        <c:manualLayout>
          <c:layoutTarget val="inner"/>
          <c:xMode val="edge"/>
          <c:yMode val="edge"/>
          <c:x val="0.145671997185919"/>
          <c:y val="0.27372871660273201"/>
          <c:w val="0.50148839642467402"/>
          <c:h val="0.50971204686370697"/>
        </c:manualLayout>
      </c:layout>
      <c:barChart>
        <c:barDir val="col"/>
        <c:grouping val="stacked"/>
        <c:varyColors val="0"/>
        <c:ser>
          <c:idx val="3"/>
          <c:order val="0"/>
          <c:tx>
            <c:strRef>
              <c:f>'Category (2015-2019)'!$E$18</c:f>
              <c:strCache>
                <c:ptCount val="1"/>
                <c:pt idx="0">
                  <c:v>RTF Manager</c:v>
                </c:pt>
              </c:strCache>
            </c:strRef>
          </c:tx>
          <c:invertIfNegative val="0"/>
          <c:dPt>
            <c:idx val="0"/>
            <c:invertIfNegative val="0"/>
            <c:bubble3D val="0"/>
            <c:spPr>
              <a:solidFill>
                <a:schemeClr val="bg1">
                  <a:lumMod val="50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(2015-2019)'!$E$19:$E$23</c:f>
              <c:numCache>
                <c:formatCode>"$"#,##0_);\("$"#,##0\)</c:formatCode>
                <c:ptCount val="5"/>
                <c:pt idx="0">
                  <c:v>125000</c:v>
                </c:pt>
                <c:pt idx="1">
                  <c:v>135000</c:v>
                </c:pt>
                <c:pt idx="2">
                  <c:v>147000</c:v>
                </c:pt>
                <c:pt idx="3">
                  <c:v>153700</c:v>
                </c:pt>
                <c:pt idx="4">
                  <c:v>160700</c:v>
                </c:pt>
              </c:numCache>
            </c:numRef>
          </c:val>
        </c:ser>
        <c:ser>
          <c:idx val="0"/>
          <c:order val="1"/>
          <c:tx>
            <c:strRef>
              <c:f>'Category (2015-2019)'!$C$18</c:f>
              <c:strCache>
                <c:ptCount val="1"/>
                <c:pt idx="0">
                  <c:v>Contract RFP</c:v>
                </c:pt>
              </c:strCache>
            </c:strRef>
          </c:tx>
          <c:invertIfNegative val="0"/>
          <c:dPt>
            <c:idx val="0"/>
            <c:invertIfNegative val="0"/>
            <c:bubble3D val="0"/>
            <c:spPr>
              <a:solidFill>
                <a:schemeClr val="bg1">
                  <a:lumMod val="6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(2015-2019)'!$C$19:$C$23</c:f>
              <c:numCache>
                <c:formatCode>"$"#,##0_);\("$"#,##0\)</c:formatCode>
                <c:ptCount val="5"/>
                <c:pt idx="0">
                  <c:v>425600</c:v>
                </c:pt>
                <c:pt idx="1">
                  <c:v>508000</c:v>
                </c:pt>
                <c:pt idx="2">
                  <c:v>480300</c:v>
                </c:pt>
                <c:pt idx="3">
                  <c:v>467800</c:v>
                </c:pt>
                <c:pt idx="4">
                  <c:v>479600</c:v>
                </c:pt>
              </c:numCache>
            </c:numRef>
          </c:val>
        </c:ser>
        <c:ser>
          <c:idx val="1"/>
          <c:order val="2"/>
          <c:tx>
            <c:strRef>
              <c:f>'Category (2015-2019)'!$D$18</c:f>
              <c:strCache>
                <c:ptCount val="1"/>
                <c:pt idx="0">
                  <c:v>Contract Analyst Team</c:v>
                </c:pt>
              </c:strCache>
            </c:strRef>
          </c:tx>
          <c:invertIfNegative val="0"/>
          <c:dPt>
            <c:idx val="0"/>
            <c:invertIfNegative val="0"/>
            <c:bubble3D val="0"/>
            <c:spPr>
              <a:solidFill>
                <a:schemeClr val="bg1">
                  <a:lumMod val="7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(2015-2019)'!$D$19:$D$23</c:f>
              <c:numCache>
                <c:formatCode>"$"#,##0_);\("$"#,##0\)</c:formatCode>
                <c:ptCount val="5"/>
                <c:pt idx="0">
                  <c:v>1087000</c:v>
                </c:pt>
                <c:pt idx="1">
                  <c:v>1020000</c:v>
                </c:pt>
                <c:pt idx="2">
                  <c:v>1162500</c:v>
                </c:pt>
                <c:pt idx="3">
                  <c:v>1212000</c:v>
                </c:pt>
                <c:pt idx="4">
                  <c:v>1234600</c:v>
                </c:pt>
              </c:numCache>
            </c:numRef>
          </c:val>
        </c:ser>
        <c:ser>
          <c:idx val="2"/>
          <c:order val="3"/>
          <c:tx>
            <c:strRef>
              <c:f>'Category (2015-2019)'!$G$18</c:f>
              <c:strCache>
                <c:ptCount val="1"/>
                <c:pt idx="0">
                  <c:v>Council Staff (In-Kind)</c:v>
                </c:pt>
              </c:strCache>
            </c:strRef>
          </c:tx>
          <c:invertIfNegative val="0"/>
          <c:dPt>
            <c:idx val="0"/>
            <c:invertIfNegative val="0"/>
            <c:bubble3D val="0"/>
            <c:spPr>
              <a:solidFill>
                <a:schemeClr val="bg1">
                  <a:lumMod val="8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(2015-2019)'!$G$19:$G$23</c:f>
              <c:numCache>
                <c:formatCode>"$"#,##0_);\("$"#,##0\)</c:formatCode>
                <c:ptCount val="5"/>
                <c:pt idx="0">
                  <c:v>201600</c:v>
                </c:pt>
                <c:pt idx="1">
                  <c:v>148100</c:v>
                </c:pt>
                <c:pt idx="2">
                  <c:v>204200</c:v>
                </c:pt>
                <c:pt idx="3">
                  <c:v>219400</c:v>
                </c:pt>
                <c:pt idx="4">
                  <c:v>226400</c:v>
                </c:pt>
              </c:numCache>
            </c:numRef>
          </c:val>
        </c:ser>
        <c:dLbls>
          <c:showLegendKey val="0"/>
          <c:showVal val="0"/>
          <c:showCatName val="0"/>
          <c:showSerName val="0"/>
          <c:showPercent val="0"/>
          <c:showBubbleSize val="0"/>
        </c:dLbls>
        <c:gapWidth val="55"/>
        <c:overlap val="100"/>
        <c:axId val="516902328"/>
        <c:axId val="516902720"/>
      </c:barChart>
      <c:catAx>
        <c:axId val="51690232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16902720"/>
        <c:crosses val="autoZero"/>
        <c:auto val="1"/>
        <c:lblAlgn val="ctr"/>
        <c:lblOffset val="100"/>
        <c:noMultiLvlLbl val="0"/>
      </c:catAx>
      <c:valAx>
        <c:axId val="516902720"/>
        <c:scaling>
          <c:orientation val="minMax"/>
        </c:scaling>
        <c:delete val="0"/>
        <c:axPos val="l"/>
        <c:majorGridlines/>
        <c:numFmt formatCode="&quot;$&quot;#,##0_);\(&quot;$&quot;#,##0\)" sourceLinked="1"/>
        <c:majorTickMark val="none"/>
        <c:minorTickMark val="none"/>
        <c:tickLblPos val="nextTo"/>
        <c:crossAx val="516902328"/>
        <c:crosses val="autoZero"/>
        <c:crossBetween val="between"/>
      </c:valAx>
    </c:plotArea>
    <c:legend>
      <c:legendPos val="r"/>
      <c:layout>
        <c:manualLayout>
          <c:xMode val="edge"/>
          <c:yMode val="edge"/>
          <c:x val="0.71588895867366864"/>
          <c:y val="0.33105379943449686"/>
          <c:w val="0.22109326759687031"/>
          <c:h val="0.24540001202139924"/>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(Not including Council)</a:t>
            </a:r>
          </a:p>
        </c:rich>
      </c:tx>
      <c:layout/>
      <c:overlay val="0"/>
    </c:title>
    <c:autoTitleDeleted val="0"/>
    <c:plotArea>
      <c:layout/>
      <c:barChart>
        <c:barDir val="col"/>
        <c:grouping val="stacked"/>
        <c:varyColors val="0"/>
        <c:ser>
          <c:idx val="2"/>
          <c:order val="0"/>
          <c:tx>
            <c:strRef>
              <c:f>'Category (2015-2019)'!$B$38</c:f>
              <c:strCache>
                <c:ptCount val="1"/>
                <c:pt idx="0">
                  <c:v>RTF Management</c:v>
                </c:pt>
              </c:strCache>
            </c:strRef>
          </c:tx>
          <c:invertIfNegative val="0"/>
          <c:dPt>
            <c:idx val="0"/>
            <c:invertIfNegative val="0"/>
            <c:bubble3D val="0"/>
            <c:spPr>
              <a:solidFill>
                <a:schemeClr val="bg1">
                  <a:lumMod val="8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457500</c:v>
                </c:pt>
                <c:pt idx="2">
                  <c:v>476300</c:v>
                </c:pt>
                <c:pt idx="3">
                  <c:v>519500</c:v>
                </c:pt>
                <c:pt idx="4">
                  <c:v>541100</c:v>
                </c:pt>
              </c:numCache>
            </c:numRef>
          </c:val>
        </c:ser>
        <c:ser>
          <c:idx val="1"/>
          <c:order val="1"/>
          <c:tx>
            <c:strRef>
              <c:f>'Category (2015-2019)'!$B$37</c:f>
              <c:strCache>
                <c:ptCount val="1"/>
                <c:pt idx="0">
                  <c:v>Tools, Research, Data &amp; Regional Coordination</c:v>
                </c:pt>
              </c:strCache>
            </c:strRef>
          </c:tx>
          <c:invertIfNegative val="0"/>
          <c:dPt>
            <c:idx val="0"/>
            <c:invertIfNegative val="0"/>
            <c:bubble3D val="0"/>
            <c:spPr>
              <a:solidFill>
                <a:schemeClr val="bg1">
                  <a:lumMod val="50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220000</c:v>
                </c:pt>
                <c:pt idx="2">
                  <c:v>155000</c:v>
                </c:pt>
                <c:pt idx="3">
                  <c:v>165100</c:v>
                </c:pt>
                <c:pt idx="4">
                  <c:v>167800</c:v>
                </c:pt>
              </c:numCache>
            </c:numRef>
          </c:val>
        </c:ser>
        <c:ser>
          <c:idx val="0"/>
          <c:order val="2"/>
          <c:tx>
            <c:strRef>
              <c:f>'Category (2015-2019)'!$B$36</c:f>
              <c:strCache>
                <c:ptCount val="1"/>
                <c:pt idx="0">
                  <c:v>Measure Review &amp; Technical Analysis</c:v>
                </c:pt>
              </c:strCache>
            </c:strRef>
          </c:tx>
          <c:invertIfNegative val="0"/>
          <c:dPt>
            <c:idx val="0"/>
            <c:invertIfNegative val="0"/>
            <c:bubble3D val="0"/>
            <c:spPr>
              <a:solidFill>
                <a:schemeClr val="bg1">
                  <a:lumMod val="7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985500</c:v>
                </c:pt>
                <c:pt idx="2">
                  <c:v>1158500</c:v>
                </c:pt>
                <c:pt idx="3">
                  <c:v>1149100</c:v>
                </c:pt>
                <c:pt idx="4">
                  <c:v>1166300</c:v>
                </c:pt>
              </c:numCache>
            </c:numRef>
          </c:val>
        </c:ser>
        <c:dLbls>
          <c:showLegendKey val="0"/>
          <c:showVal val="0"/>
          <c:showCatName val="0"/>
          <c:showSerName val="0"/>
          <c:showPercent val="0"/>
          <c:showBubbleSize val="0"/>
        </c:dLbls>
        <c:gapWidth val="150"/>
        <c:overlap val="100"/>
        <c:axId val="516903504"/>
        <c:axId val="516903896"/>
      </c:barChart>
      <c:catAx>
        <c:axId val="516903504"/>
        <c:scaling>
          <c:orientation val="minMax"/>
        </c:scaling>
        <c:delete val="0"/>
        <c:axPos val="b"/>
        <c:numFmt formatCode="General" sourceLinked="1"/>
        <c:majorTickMark val="out"/>
        <c:minorTickMark val="none"/>
        <c:tickLblPos val="nextTo"/>
        <c:crossAx val="516903896"/>
        <c:crosses val="autoZero"/>
        <c:auto val="1"/>
        <c:lblAlgn val="ctr"/>
        <c:lblOffset val="100"/>
        <c:noMultiLvlLbl val="0"/>
      </c:catAx>
      <c:valAx>
        <c:axId val="516903896"/>
        <c:scaling>
          <c:orientation val="minMax"/>
        </c:scaling>
        <c:delete val="0"/>
        <c:axPos val="l"/>
        <c:majorGridlines/>
        <c:numFmt formatCode="&quot;$&quot;#,##0_);\(&quot;$&quot;#,##0\)" sourceLinked="1"/>
        <c:majorTickMark val="out"/>
        <c:minorTickMark val="none"/>
        <c:tickLblPos val="nextTo"/>
        <c:crossAx val="516903504"/>
        <c:crosses val="autoZero"/>
        <c:crossBetween val="between"/>
        <c:majorUnit val="200000"/>
      </c:valAx>
    </c:plotArea>
    <c:legend>
      <c:legendPos val="r"/>
      <c:layout>
        <c:manualLayout>
          <c:xMode val="edge"/>
          <c:yMode val="edge"/>
          <c:x val="0.66851531058620062"/>
          <c:y val="0.36263201793653299"/>
          <c:w val="0.31481802274716864"/>
          <c:h val="0.43651645585118232"/>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(Including Council)</a:t>
            </a:r>
          </a:p>
        </c:rich>
      </c:tx>
      <c:layout/>
      <c:overlay val="0"/>
    </c:title>
    <c:autoTitleDeleted val="0"/>
    <c:plotArea>
      <c:layout/>
      <c:barChart>
        <c:barDir val="col"/>
        <c:grouping val="stacked"/>
        <c:varyColors val="0"/>
        <c:ser>
          <c:idx val="0"/>
          <c:order val="0"/>
          <c:tx>
            <c:strRef>
              <c:f>'Category (2015-2019)'!$B$45</c:f>
              <c:strCache>
                <c:ptCount val="1"/>
                <c:pt idx="0">
                  <c:v>RTF Management</c:v>
                </c:pt>
              </c:strCache>
            </c:strRef>
          </c:tx>
          <c:spPr>
            <a:solidFill>
              <a:schemeClr val="accent3"/>
            </a:solidFill>
          </c:spPr>
          <c:invertIfNegative val="0"/>
          <c:dPt>
            <c:idx val="0"/>
            <c:invertIfNegative val="0"/>
            <c:bubble3D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578000</c:v>
                </c:pt>
                <c:pt idx="2">
                  <c:v>620300</c:v>
                </c:pt>
                <c:pt idx="3">
                  <c:v>676700</c:v>
                </c:pt>
                <c:pt idx="4">
                  <c:v>704600</c:v>
                </c:pt>
              </c:numCache>
            </c:numRef>
          </c:val>
        </c:ser>
        <c:ser>
          <c:idx val="1"/>
          <c:order val="1"/>
          <c:tx>
            <c:strRef>
              <c:f>'Category (2015-2019)'!$B$44</c:f>
              <c:strCache>
                <c:ptCount val="1"/>
                <c:pt idx="0">
                  <c:v>Tools, Research, Data &amp; Regional Coordination</c:v>
                </c:pt>
              </c:strCache>
            </c:strRef>
          </c:tx>
          <c:invertIfNegative val="0"/>
          <c:dPt>
            <c:idx val="0"/>
            <c:invertIfNegative val="0"/>
            <c:bubble3D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236000</c:v>
                </c:pt>
                <c:pt idx="2">
                  <c:v>177000</c:v>
                </c:pt>
                <c:pt idx="3">
                  <c:v>189200</c:v>
                </c:pt>
                <c:pt idx="4">
                  <c:v>192100</c:v>
                </c:pt>
              </c:numCache>
            </c:numRef>
          </c:val>
        </c:ser>
        <c:ser>
          <c:idx val="2"/>
          <c:order val="2"/>
          <c:tx>
            <c:strRef>
              <c:f>'Category (2015-2019)'!$B$43</c:f>
              <c:strCache>
                <c:ptCount val="1"/>
                <c:pt idx="0">
                  <c:v>Measure Review &amp; Technical Analysis</c:v>
                </c:pt>
              </c:strCache>
            </c:strRef>
          </c:tx>
          <c:spPr>
            <a:solidFill>
              <a:schemeClr val="accent1"/>
            </a:solidFill>
          </c:spPr>
          <c:invertIfNegative val="0"/>
          <c:dPt>
            <c:idx val="0"/>
            <c:invertIfNegative val="0"/>
            <c:bubble3D val="0"/>
            <c:spPr>
              <a:solidFill>
                <a:schemeClr val="bg1">
                  <a:lumMod val="6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997100</c:v>
                </c:pt>
                <c:pt idx="2">
                  <c:v>1196700</c:v>
                </c:pt>
                <c:pt idx="3">
                  <c:v>1187200</c:v>
                </c:pt>
                <c:pt idx="4">
                  <c:v>1204900</c:v>
                </c:pt>
              </c:numCache>
            </c:numRef>
          </c:val>
        </c:ser>
        <c:dLbls>
          <c:showLegendKey val="0"/>
          <c:showVal val="0"/>
          <c:showCatName val="0"/>
          <c:showSerName val="0"/>
          <c:showPercent val="0"/>
          <c:showBubbleSize val="0"/>
        </c:dLbls>
        <c:gapWidth val="150"/>
        <c:overlap val="100"/>
        <c:axId val="517549480"/>
        <c:axId val="517549872"/>
      </c:barChart>
      <c:catAx>
        <c:axId val="517549480"/>
        <c:scaling>
          <c:orientation val="minMax"/>
        </c:scaling>
        <c:delete val="0"/>
        <c:axPos val="b"/>
        <c:numFmt formatCode="General" sourceLinked="1"/>
        <c:majorTickMark val="out"/>
        <c:minorTickMark val="none"/>
        <c:tickLblPos val="nextTo"/>
        <c:crossAx val="517549872"/>
        <c:crosses val="autoZero"/>
        <c:auto val="1"/>
        <c:lblAlgn val="ctr"/>
        <c:lblOffset val="100"/>
        <c:noMultiLvlLbl val="0"/>
      </c:catAx>
      <c:valAx>
        <c:axId val="517549872"/>
        <c:scaling>
          <c:orientation val="minMax"/>
        </c:scaling>
        <c:delete val="0"/>
        <c:axPos val="l"/>
        <c:majorGridlines/>
        <c:numFmt formatCode="&quot;$&quot;#,##0_);\(&quot;$&quot;#,##0\)" sourceLinked="1"/>
        <c:majorTickMark val="out"/>
        <c:minorTickMark val="none"/>
        <c:tickLblPos val="nextTo"/>
        <c:crossAx val="517549480"/>
        <c:crosses val="autoZero"/>
        <c:crossBetween val="between"/>
      </c:valAx>
    </c:plotArea>
    <c:legend>
      <c:legendPos val="r"/>
      <c:layout>
        <c:manualLayout>
          <c:xMode val="edge"/>
          <c:yMode val="edge"/>
          <c:x val="0.66851531058620062"/>
          <c:y val="0.39761744067706489"/>
          <c:w val="0.31481802274716864"/>
          <c:h val="0.44429099423796531"/>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11" l="0.70000000000000162" r="0.70000000000000162" t="0.75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21" l="0.70000000000000162" r="0.700000000000001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layout/>
      <c:overlay val="1"/>
    </c:title>
    <c:autoTitleDeleted val="0"/>
    <c:plotArea>
      <c:layout/>
      <c:barChart>
        <c:barDir val="col"/>
        <c:grouping val="stacked"/>
        <c:varyColors val="0"/>
        <c:ser>
          <c:idx val="8"/>
          <c:order val="0"/>
          <c:tx>
            <c:strRef>
              <c:f>'Category (2017)'!$B$14</c:f>
              <c:strCache>
                <c:ptCount val="1"/>
                <c:pt idx="0">
                  <c:v>RTF Management</c:v>
                </c:pt>
              </c:strCache>
            </c:strRef>
          </c:tx>
          <c:invertIfNegative val="0"/>
          <c:cat>
            <c:numLit>
              <c:formatCode>General</c:formatCode>
              <c:ptCount val="3"/>
              <c:pt idx="0">
                <c:v>2015</c:v>
              </c:pt>
              <c:pt idx="1">
                <c:v>2016</c:v>
              </c:pt>
              <c:pt idx="2">
                <c:v>2017</c:v>
              </c:pt>
            </c:numLit>
          </c:cat>
          <c:val>
            <c:numRef>
              <c:f>('Category (2017)'!$Q$14,'Category (2017)'!$J$14,'Category (2017)'!$C$14)</c:f>
              <c:numCache>
                <c:formatCode>"$"#,##0_);\("$"#,##0\)</c:formatCode>
                <c:ptCount val="3"/>
                <c:pt idx="0">
                  <c:v>8300</c:v>
                </c:pt>
                <c:pt idx="1">
                  <c:v>8300</c:v>
                </c:pt>
                <c:pt idx="2">
                  <c:v>4300</c:v>
                </c:pt>
              </c:numCache>
            </c:numRef>
          </c:val>
        </c:ser>
        <c:ser>
          <c:idx val="7"/>
          <c:order val="1"/>
          <c:tx>
            <c:strRef>
              <c:f>'Category (2017)'!$B$13</c:f>
              <c:strCache>
                <c:ptCount val="1"/>
                <c:pt idx="0">
                  <c:v>RTF Member Support &amp; Administration</c:v>
                </c:pt>
              </c:strCache>
            </c:strRef>
          </c:tx>
          <c:invertIfNegative val="0"/>
          <c:cat>
            <c:numLit>
              <c:formatCode>General</c:formatCode>
              <c:ptCount val="3"/>
              <c:pt idx="0">
                <c:v>2015</c:v>
              </c:pt>
              <c:pt idx="1">
                <c:v>2016</c:v>
              </c:pt>
              <c:pt idx="2">
                <c:v>2017</c:v>
              </c:pt>
            </c:numLit>
          </c:cat>
          <c:val>
            <c:numRef>
              <c:f>('Category (2017)'!$Q$13,'Category (2017)'!$J$13,'Category (2017)'!$C$13)</c:f>
              <c:numCache>
                <c:formatCode>"$"#,##0_);\("$"#,##0\)</c:formatCode>
                <c:ptCount val="3"/>
                <c:pt idx="0">
                  <c:v>146800</c:v>
                </c:pt>
                <c:pt idx="1">
                  <c:v>169200</c:v>
                </c:pt>
                <c:pt idx="2">
                  <c:v>165000</c:v>
                </c:pt>
              </c:numCache>
            </c:numRef>
          </c:val>
        </c:ser>
        <c:ser>
          <c:idx val="6"/>
          <c:order val="2"/>
          <c:tx>
            <c:strRef>
              <c:f>'Category (2017)'!$B$12</c:f>
              <c:strCache>
                <c:ptCount val="1"/>
                <c:pt idx="0">
                  <c:v>Website, Database support, Conservation Tracking </c:v>
                </c:pt>
              </c:strCache>
            </c:strRef>
          </c:tx>
          <c:invertIfNegative val="0"/>
          <c:cat>
            <c:numLit>
              <c:formatCode>General</c:formatCode>
              <c:ptCount val="3"/>
              <c:pt idx="0">
                <c:v>2015</c:v>
              </c:pt>
              <c:pt idx="1">
                <c:v>2016</c:v>
              </c:pt>
              <c:pt idx="2">
                <c:v>2017</c:v>
              </c:pt>
            </c:numLit>
          </c:cat>
          <c:val>
            <c:numRef>
              <c:f>('Category (2017)'!$Q$12,'Category (2017)'!$J$12,'Category (2017)'!$C$12)</c:f>
              <c:numCache>
                <c:formatCode>"$"#,##0_);\("$"#,##0\)</c:formatCode>
                <c:ptCount val="3"/>
                <c:pt idx="0">
                  <c:v>20000</c:v>
                </c:pt>
                <c:pt idx="1">
                  <c:v>60000</c:v>
                </c:pt>
                <c:pt idx="2">
                  <c:v>70000</c:v>
                </c:pt>
              </c:numCache>
            </c:numRef>
          </c:val>
        </c:ser>
        <c:ser>
          <c:idx val="5"/>
          <c:order val="3"/>
          <c:tx>
            <c:strRef>
              <c:f>'Category (2017)'!$B$11</c:f>
              <c:strCache>
                <c:ptCount val="1"/>
                <c:pt idx="0">
                  <c:v>Regional Coordination (Research and Data Development)</c:v>
                </c:pt>
              </c:strCache>
            </c:strRef>
          </c:tx>
          <c:invertIfNegative val="0"/>
          <c:cat>
            <c:numLit>
              <c:formatCode>General</c:formatCode>
              <c:ptCount val="3"/>
              <c:pt idx="0">
                <c:v>2015</c:v>
              </c:pt>
              <c:pt idx="1">
                <c:v>2016</c:v>
              </c:pt>
              <c:pt idx="2">
                <c:v>2017</c:v>
              </c:pt>
            </c:numLit>
          </c:cat>
          <c:val>
            <c:numRef>
              <c:f>('Category (2017)'!$Q$11,'Category (2017)'!$J$11,'Category (2017)'!$C$11)</c:f>
              <c:numCache>
                <c:formatCode>"$"#,##0_);\("$"#,##0\)</c:formatCode>
                <c:ptCount val="3"/>
                <c:pt idx="0">
                  <c:v>12500</c:v>
                </c:pt>
                <c:pt idx="1">
                  <c:v>15000</c:v>
                </c:pt>
                <c:pt idx="2">
                  <c:v>20000</c:v>
                </c:pt>
              </c:numCache>
            </c:numRef>
          </c:val>
        </c:ser>
        <c:ser>
          <c:idx val="4"/>
          <c:order val="4"/>
          <c:tx>
            <c:strRef>
              <c:f>'Category (2017)'!$B$10</c:f>
              <c:strCache>
                <c:ptCount val="1"/>
                <c:pt idx="0">
                  <c:v>Research Projects &amp; Data Development</c:v>
                </c:pt>
              </c:strCache>
            </c:strRef>
          </c:tx>
          <c:invertIfNegative val="0"/>
          <c:cat>
            <c:numLit>
              <c:formatCode>General</c:formatCode>
              <c:ptCount val="3"/>
              <c:pt idx="0">
                <c:v>2015</c:v>
              </c:pt>
              <c:pt idx="1">
                <c:v>2016</c:v>
              </c:pt>
              <c:pt idx="2">
                <c:v>2017</c:v>
              </c:pt>
            </c:numLit>
          </c:cat>
          <c:val>
            <c:numRef>
              <c:f>('Category (2017)'!$Q$10,'Category (2017)'!$J$10,'Category (2017)'!$C$10)</c:f>
              <c:numCache>
                <c:formatCode>"$"#,##0_);\("$"#,##0\)</c:formatCode>
                <c:ptCount val="3"/>
                <c:pt idx="0">
                  <c:v>0</c:v>
                </c:pt>
                <c:pt idx="1">
                  <c:v>0</c:v>
                </c:pt>
                <c:pt idx="2">
                  <c:v>0</c:v>
                </c:pt>
              </c:numCache>
            </c:numRef>
          </c:val>
        </c:ser>
        <c:ser>
          <c:idx val="3"/>
          <c:order val="5"/>
          <c:tx>
            <c:strRef>
              <c:f>'Category (2017)'!$B$9</c:f>
              <c:strCache>
                <c:ptCount val="1"/>
                <c:pt idx="0">
                  <c:v>Tool Development</c:v>
                </c:pt>
              </c:strCache>
            </c:strRef>
          </c:tx>
          <c:invertIfNegative val="0"/>
          <c:cat>
            <c:numLit>
              <c:formatCode>General</c:formatCode>
              <c:ptCount val="3"/>
              <c:pt idx="0">
                <c:v>2015</c:v>
              </c:pt>
              <c:pt idx="1">
                <c:v>2016</c:v>
              </c:pt>
              <c:pt idx="2">
                <c:v>2017</c:v>
              </c:pt>
            </c:numLit>
          </c:cat>
          <c:val>
            <c:numRef>
              <c:f>('Category (2017)'!$Q$9,'Category (2017)'!$J$9,'Category (2017)'!$C$9)</c:f>
              <c:numCache>
                <c:formatCode>"$"#,##0_);\("$"#,##0\)</c:formatCode>
                <c:ptCount val="3"/>
                <c:pt idx="0">
                  <c:v>10500</c:v>
                </c:pt>
                <c:pt idx="1">
                  <c:v>10000</c:v>
                </c:pt>
                <c:pt idx="2">
                  <c:v>0</c:v>
                </c:pt>
              </c:numCache>
            </c:numRef>
          </c:val>
        </c:ser>
        <c:ser>
          <c:idx val="2"/>
          <c:order val="6"/>
          <c:tx>
            <c:strRef>
              <c:f>'Category (2017)'!$B$8</c:f>
              <c:strCache>
                <c:ptCount val="1"/>
                <c:pt idx="0">
                  <c:v>Standardization of Technical Analysis</c:v>
                </c:pt>
              </c:strCache>
            </c:strRef>
          </c:tx>
          <c:invertIfNegative val="0"/>
          <c:cat>
            <c:numLit>
              <c:formatCode>General</c:formatCode>
              <c:ptCount val="3"/>
              <c:pt idx="0">
                <c:v>2015</c:v>
              </c:pt>
              <c:pt idx="1">
                <c:v>2016</c:v>
              </c:pt>
              <c:pt idx="2">
                <c:v>2017</c:v>
              </c:pt>
            </c:numLit>
          </c:cat>
          <c:val>
            <c:numRef>
              <c:f>('Category (2017)'!$Q$8,'Category (2017)'!$J$8,'Category (2017)'!$C$8)</c:f>
              <c:numCache>
                <c:formatCode>"$"#,##0_);\("$"#,##0\)</c:formatCode>
                <c:ptCount val="3"/>
                <c:pt idx="0">
                  <c:v>25000</c:v>
                </c:pt>
                <c:pt idx="1">
                  <c:v>30000</c:v>
                </c:pt>
                <c:pt idx="2">
                  <c:v>125000</c:v>
                </c:pt>
              </c:numCache>
            </c:numRef>
          </c:val>
        </c:ser>
        <c:ser>
          <c:idx val="1"/>
          <c:order val="7"/>
          <c:tx>
            <c:strRef>
              <c:f>'Category (2017)'!$B$7</c:f>
              <c:strCache>
                <c:ptCount val="1"/>
                <c:pt idx="0">
                  <c:v>New Measure Development &amp; Review of Unsolicited Proposals</c:v>
                </c:pt>
              </c:strCache>
            </c:strRef>
          </c:tx>
          <c:invertIfNegative val="0"/>
          <c:cat>
            <c:numLit>
              <c:formatCode>General</c:formatCode>
              <c:ptCount val="3"/>
              <c:pt idx="0">
                <c:v>2015</c:v>
              </c:pt>
              <c:pt idx="1">
                <c:v>2016</c:v>
              </c:pt>
              <c:pt idx="2">
                <c:v>2017</c:v>
              </c:pt>
            </c:numLit>
          </c:cat>
          <c:val>
            <c:numRef>
              <c:f>('Category (2017)'!$Q$7,'Category (2017)'!$J$7,'Category (2017)'!$C$7)</c:f>
              <c:numCache>
                <c:formatCode>"$"#,##0_);\("$"#,##0\)</c:formatCode>
                <c:ptCount val="3"/>
                <c:pt idx="0">
                  <c:v>90000</c:v>
                </c:pt>
                <c:pt idx="1">
                  <c:v>88000</c:v>
                </c:pt>
                <c:pt idx="2">
                  <c:v>48000</c:v>
                </c:pt>
              </c:numCache>
            </c:numRef>
          </c:val>
        </c:ser>
        <c:ser>
          <c:idx val="0"/>
          <c:order val="8"/>
          <c:tx>
            <c:strRef>
              <c:f>'Category (2017)'!$B$6</c:f>
              <c:strCache>
                <c:ptCount val="1"/>
                <c:pt idx="0">
                  <c:v>Existing Measure Review &amp; Updates</c:v>
                </c:pt>
              </c:strCache>
            </c:strRef>
          </c:tx>
          <c:invertIfNegative val="0"/>
          <c:cat>
            <c:numLit>
              <c:formatCode>General</c:formatCode>
              <c:ptCount val="3"/>
              <c:pt idx="0">
                <c:v>2015</c:v>
              </c:pt>
              <c:pt idx="1">
                <c:v>2016</c:v>
              </c:pt>
              <c:pt idx="2">
                <c:v>2017</c:v>
              </c:pt>
            </c:numLit>
          </c:cat>
          <c:val>
            <c:numRef>
              <c:f>('Category (2017)'!$Q$6,'Category (2017)'!$J$6,'Category (2017)'!$C$6)</c:f>
              <c:numCache>
                <c:formatCode>"$"#,##0_);\("$"#,##0\)</c:formatCode>
                <c:ptCount val="3"/>
                <c:pt idx="0">
                  <c:v>112500</c:v>
                </c:pt>
                <c:pt idx="1">
                  <c:v>127500</c:v>
                </c:pt>
                <c:pt idx="2">
                  <c:v>48000</c:v>
                </c:pt>
              </c:numCache>
            </c:numRef>
          </c:val>
        </c:ser>
        <c:dLbls>
          <c:showLegendKey val="0"/>
          <c:showVal val="0"/>
          <c:showCatName val="0"/>
          <c:showSerName val="0"/>
          <c:showPercent val="0"/>
          <c:showBubbleSize val="0"/>
        </c:dLbls>
        <c:gapWidth val="150"/>
        <c:overlap val="100"/>
        <c:axId val="153255520"/>
        <c:axId val="153255912"/>
      </c:barChart>
      <c:catAx>
        <c:axId val="153255520"/>
        <c:scaling>
          <c:orientation val="minMax"/>
        </c:scaling>
        <c:delete val="0"/>
        <c:axPos val="b"/>
        <c:numFmt formatCode="General" sourceLinked="1"/>
        <c:majorTickMark val="out"/>
        <c:minorTickMark val="none"/>
        <c:tickLblPos val="nextTo"/>
        <c:txPr>
          <a:bodyPr/>
          <a:lstStyle/>
          <a:p>
            <a:pPr>
              <a:defRPr sz="1800" b="1"/>
            </a:pPr>
            <a:endParaRPr lang="en-US"/>
          </a:p>
        </c:txPr>
        <c:crossAx val="153255912"/>
        <c:crosses val="autoZero"/>
        <c:auto val="1"/>
        <c:lblAlgn val="ctr"/>
        <c:lblOffset val="100"/>
        <c:noMultiLvlLbl val="0"/>
      </c:catAx>
      <c:valAx>
        <c:axId val="15325591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153255520"/>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21" l="0.70000000000000162" r="0.700000000000001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Analyst vs. Contract RFP: By Category</a:t>
            </a:r>
            <a:endParaRPr lang="en-US"/>
          </a:p>
        </c:rich>
      </c:tx>
      <c:layout/>
      <c:overlay val="0"/>
    </c:title>
    <c:autoTitleDeleted val="0"/>
    <c:plotArea>
      <c:layout/>
      <c:barChart>
        <c:barDir val="col"/>
        <c:grouping val="stacked"/>
        <c:varyColors val="0"/>
        <c:ser>
          <c:idx val="0"/>
          <c:order val="0"/>
          <c:tx>
            <c:strRef>
              <c:f>'Category (2017)'!$X$6</c:f>
              <c:strCache>
                <c:ptCount val="1"/>
                <c:pt idx="0">
                  <c:v>Technical Analysis</c:v>
                </c:pt>
              </c:strCache>
            </c:strRef>
          </c:tx>
          <c:invertIfNegative val="0"/>
          <c:cat>
            <c:strRef>
              <c:f>('Category (2017)'!$Y$5:$Z$5,'Category (2017)'!$AD$5:$AE$5,'Category (2017)'!$AI$5:$AJ$5)</c:f>
              <c:strCache>
                <c:ptCount val="6"/>
                <c:pt idx="0">
                  <c:v>Contract RFP 
2015</c:v>
                </c:pt>
                <c:pt idx="1">
                  <c:v>RTF Contract Analyst Team 2015</c:v>
                </c:pt>
                <c:pt idx="2">
                  <c:v>Contract RFP
2016</c:v>
                </c:pt>
                <c:pt idx="3">
                  <c:v>RTF Contract Analyst Team 
2016</c:v>
                </c:pt>
                <c:pt idx="4">
                  <c:v>Contract RFP
2017</c:v>
                </c:pt>
                <c:pt idx="5">
                  <c:v>RTF Contract Analyst Team 
2017</c:v>
                </c:pt>
              </c:strCache>
            </c:strRef>
          </c:cat>
          <c:val>
            <c:numRef>
              <c:f>('Category (2017)'!$Y$6:$Z$6,'Category (2017)'!$AD$6:$AE$6,'Category (2017)'!$AI$6:$AJ$6)</c:f>
              <c:numCache>
                <c:formatCode>"$"#,##0_);\("$"#,##0\)</c:formatCode>
                <c:ptCount val="6"/>
                <c:pt idx="0">
                  <c:v>227500</c:v>
                </c:pt>
                <c:pt idx="1">
                  <c:v>822000</c:v>
                </c:pt>
                <c:pt idx="2">
                  <c:v>245500</c:v>
                </c:pt>
                <c:pt idx="3">
                  <c:v>740000</c:v>
                </c:pt>
                <c:pt idx="4">
                  <c:v>221000</c:v>
                </c:pt>
                <c:pt idx="5">
                  <c:v>937500</c:v>
                </c:pt>
              </c:numCache>
            </c:numRef>
          </c:val>
        </c:ser>
        <c:ser>
          <c:idx val="4"/>
          <c:order val="1"/>
          <c:tx>
            <c:strRef>
              <c:f>'Category (2017)'!$X$9</c:f>
              <c:strCache>
                <c:ptCount val="1"/>
                <c:pt idx="0">
                  <c:v>Tool Development, Research, Regional Coordination </c:v>
                </c:pt>
              </c:strCache>
            </c:strRef>
          </c:tx>
          <c:spPr>
            <a:solidFill>
              <a:schemeClr val="accent1">
                <a:lumMod val="20000"/>
                <a:lumOff val="80000"/>
              </a:schemeClr>
            </a:solidFill>
          </c:spPr>
          <c:invertIfNegative val="0"/>
          <c:cat>
            <c:strRef>
              <c:f>('Category (2017)'!$Y$5:$Z$5,'Category (2017)'!$AD$5:$AE$5,'Category (2017)'!$AI$5:$AJ$5)</c:f>
              <c:strCache>
                <c:ptCount val="6"/>
                <c:pt idx="0">
                  <c:v>Contract RFP 
2015</c:v>
                </c:pt>
                <c:pt idx="1">
                  <c:v>RTF Contract Analyst Team 2015</c:v>
                </c:pt>
                <c:pt idx="2">
                  <c:v>Contract RFP
2016</c:v>
                </c:pt>
                <c:pt idx="3">
                  <c:v>RTF Contract Analyst Team 
2016</c:v>
                </c:pt>
                <c:pt idx="4">
                  <c:v>Contract RFP
2017</c:v>
                </c:pt>
                <c:pt idx="5">
                  <c:v>RTF Contract Analyst Team 
2017</c:v>
                </c:pt>
              </c:strCache>
            </c:strRef>
          </c:cat>
          <c:val>
            <c:numRef>
              <c:f>('Category (2017)'!$Y$9:$Z$9,'Category (2017)'!$AD$9:$AE$9,'Category (2017)'!$AI$9:$AJ$9)</c:f>
              <c:numCache>
                <c:formatCode>"$"#,##0_);\("$"#,##0\)</c:formatCode>
                <c:ptCount val="6"/>
                <c:pt idx="0">
                  <c:v>23000</c:v>
                </c:pt>
                <c:pt idx="1">
                  <c:v>245000</c:v>
                </c:pt>
                <c:pt idx="2">
                  <c:v>25000</c:v>
                </c:pt>
                <c:pt idx="3">
                  <c:v>195000</c:v>
                </c:pt>
                <c:pt idx="4">
                  <c:v>20000</c:v>
                </c:pt>
                <c:pt idx="5">
                  <c:v>135000</c:v>
                </c:pt>
              </c:numCache>
            </c:numRef>
          </c:val>
        </c:ser>
        <c:ser>
          <c:idx val="6"/>
          <c:order val="2"/>
          <c:tx>
            <c:strRef>
              <c:f>'Category (2017)'!$X$12</c:f>
              <c:strCache>
                <c:ptCount val="1"/>
                <c:pt idx="0">
                  <c:v>Administration</c:v>
                </c:pt>
              </c:strCache>
            </c:strRef>
          </c:tx>
          <c:spPr>
            <a:solidFill>
              <a:schemeClr val="accent5">
                <a:lumMod val="60000"/>
                <a:lumOff val="40000"/>
              </a:schemeClr>
            </a:solidFill>
          </c:spPr>
          <c:invertIfNegative val="0"/>
          <c:cat>
            <c:strRef>
              <c:f>('Category (2017)'!$Y$5:$Z$5,'Category (2017)'!$AD$5:$AE$5,'Category (2017)'!$AI$5:$AJ$5)</c:f>
              <c:strCache>
                <c:ptCount val="6"/>
                <c:pt idx="0">
                  <c:v>Contract RFP 
2015</c:v>
                </c:pt>
                <c:pt idx="1">
                  <c:v>RTF Contract Analyst Team 2015</c:v>
                </c:pt>
                <c:pt idx="2">
                  <c:v>Contract RFP
2016</c:v>
                </c:pt>
                <c:pt idx="3">
                  <c:v>RTF Contract Analyst Team 
2016</c:v>
                </c:pt>
                <c:pt idx="4">
                  <c:v>Contract RFP
2017</c:v>
                </c:pt>
                <c:pt idx="5">
                  <c:v>RTF Contract Analyst Team 
2017</c:v>
                </c:pt>
              </c:strCache>
            </c:strRef>
          </c:cat>
          <c:val>
            <c:numRef>
              <c:f>('Category (2017)'!$Y$12:$Z$12,'Category (2017)'!$AD$12:$AE$12,'Category (2017)'!$AI$12:$AJ$12)</c:f>
              <c:numCache>
                <c:formatCode>"$"#,##0_);\("$"#,##0\)</c:formatCode>
                <c:ptCount val="6"/>
                <c:pt idx="0">
                  <c:v>175100</c:v>
                </c:pt>
                <c:pt idx="1">
                  <c:v>20000</c:v>
                </c:pt>
                <c:pt idx="2">
                  <c:v>237500</c:v>
                </c:pt>
                <c:pt idx="3">
                  <c:v>85000</c:v>
                </c:pt>
                <c:pt idx="4">
                  <c:v>239300</c:v>
                </c:pt>
                <c:pt idx="5">
                  <c:v>90000</c:v>
                </c:pt>
              </c:numCache>
            </c:numRef>
          </c:val>
        </c:ser>
        <c:dLbls>
          <c:showLegendKey val="0"/>
          <c:showVal val="0"/>
          <c:showCatName val="0"/>
          <c:showSerName val="0"/>
          <c:showPercent val="0"/>
          <c:showBubbleSize val="0"/>
        </c:dLbls>
        <c:gapWidth val="55"/>
        <c:overlap val="100"/>
        <c:axId val="153256696"/>
        <c:axId val="516343120"/>
      </c:barChart>
      <c:catAx>
        <c:axId val="153256696"/>
        <c:scaling>
          <c:orientation val="minMax"/>
        </c:scaling>
        <c:delete val="0"/>
        <c:axPos val="b"/>
        <c:numFmt formatCode="General" sourceLinked="0"/>
        <c:majorTickMark val="none"/>
        <c:minorTickMark val="none"/>
        <c:tickLblPos val="nextTo"/>
        <c:crossAx val="516343120"/>
        <c:crosses val="autoZero"/>
        <c:auto val="1"/>
        <c:lblAlgn val="ctr"/>
        <c:lblOffset val="100"/>
        <c:noMultiLvlLbl val="0"/>
      </c:catAx>
      <c:valAx>
        <c:axId val="516343120"/>
        <c:scaling>
          <c:orientation val="minMax"/>
        </c:scaling>
        <c:delete val="0"/>
        <c:axPos val="l"/>
        <c:majorGridlines/>
        <c:numFmt formatCode="&quot;$&quot;#,##0_);\(&quot;$&quot;#,##0\)" sourceLinked="1"/>
        <c:majorTickMark val="none"/>
        <c:minorTickMark val="none"/>
        <c:tickLblPos val="nextTo"/>
        <c:crossAx val="153256696"/>
        <c:crosses val="autoZero"/>
        <c:crossBetween val="between"/>
      </c:valAx>
    </c:plotArea>
    <c:legend>
      <c:legendPos val="r"/>
      <c:layout/>
      <c:overlay val="0"/>
    </c:legend>
    <c:plotVisOnly val="1"/>
    <c:dispBlanksAs val="gap"/>
    <c:showDLblsOverMax val="0"/>
  </c:chart>
  <c:txPr>
    <a:bodyPr/>
    <a:lstStyle/>
    <a:p>
      <a:pPr>
        <a:defRPr sz="1200"/>
      </a:pPr>
      <a:endParaRPr lang="en-US"/>
    </a:p>
  </c:txPr>
  <c:printSettings>
    <c:headerFooter/>
    <c:pageMargins b="0.7500000000000101" l="0.70000000000000162" r="0.70000000000000162" t="0.75000000000001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Contract Analyst vs. Contract RFP: Overall</a:t>
            </a:r>
          </a:p>
        </c:rich>
      </c:tx>
      <c:layout/>
      <c:overlay val="0"/>
    </c:title>
    <c:autoTitleDeleted val="0"/>
    <c:plotArea>
      <c:layout/>
      <c:barChart>
        <c:barDir val="col"/>
        <c:grouping val="stacked"/>
        <c:varyColors val="0"/>
        <c:ser>
          <c:idx val="0"/>
          <c:order val="0"/>
          <c:tx>
            <c:strRef>
              <c:f>'Category (2017)'!$AO$6</c:f>
              <c:strCache>
                <c:ptCount val="1"/>
                <c:pt idx="0">
                  <c:v>Contract RFP</c:v>
                </c:pt>
              </c:strCache>
            </c:strRef>
          </c:tx>
          <c:invertIfNegative val="0"/>
          <c:cat>
            <c:numRef>
              <c:f>'Category (2017)'!$AP$5:$AR$5</c:f>
              <c:numCache>
                <c:formatCode>General</c:formatCode>
                <c:ptCount val="3"/>
                <c:pt idx="0">
                  <c:v>2015</c:v>
                </c:pt>
                <c:pt idx="1">
                  <c:v>2016</c:v>
                </c:pt>
                <c:pt idx="2">
                  <c:v>2017</c:v>
                </c:pt>
              </c:numCache>
            </c:numRef>
          </c:cat>
          <c:val>
            <c:numRef>
              <c:f>'Category (2017)'!$AP$6:$AR$6</c:f>
              <c:numCache>
                <c:formatCode>"$"#,##0_);\("$"#,##0\)</c:formatCode>
                <c:ptCount val="3"/>
                <c:pt idx="0">
                  <c:v>425600</c:v>
                </c:pt>
                <c:pt idx="1">
                  <c:v>508000</c:v>
                </c:pt>
                <c:pt idx="2">
                  <c:v>480300</c:v>
                </c:pt>
              </c:numCache>
            </c:numRef>
          </c:val>
        </c:ser>
        <c:ser>
          <c:idx val="1"/>
          <c:order val="1"/>
          <c:tx>
            <c:strRef>
              <c:f>'Category (2017)'!$AO$7</c:f>
              <c:strCache>
                <c:ptCount val="1"/>
                <c:pt idx="0">
                  <c:v>Contract Analysts</c:v>
                </c:pt>
              </c:strCache>
            </c:strRef>
          </c:tx>
          <c:spPr>
            <a:solidFill>
              <a:schemeClr val="accent1">
                <a:lumMod val="40000"/>
                <a:lumOff val="60000"/>
              </a:schemeClr>
            </a:solidFill>
          </c:spPr>
          <c:invertIfNegative val="0"/>
          <c:cat>
            <c:numRef>
              <c:f>'Category (2017)'!$AP$5:$AR$5</c:f>
              <c:numCache>
                <c:formatCode>General</c:formatCode>
                <c:ptCount val="3"/>
                <c:pt idx="0">
                  <c:v>2015</c:v>
                </c:pt>
                <c:pt idx="1">
                  <c:v>2016</c:v>
                </c:pt>
                <c:pt idx="2">
                  <c:v>2017</c:v>
                </c:pt>
              </c:numCache>
            </c:numRef>
          </c:cat>
          <c:val>
            <c:numRef>
              <c:f>'Category (2017)'!$AP$7:$AR$7</c:f>
              <c:numCache>
                <c:formatCode>"$"#,##0_);\("$"#,##0\)</c:formatCode>
                <c:ptCount val="3"/>
                <c:pt idx="0">
                  <c:v>1087000</c:v>
                </c:pt>
                <c:pt idx="1">
                  <c:v>1020000</c:v>
                </c:pt>
                <c:pt idx="2">
                  <c:v>1162500</c:v>
                </c:pt>
              </c:numCache>
            </c:numRef>
          </c:val>
        </c:ser>
        <c:ser>
          <c:idx val="2"/>
          <c:order val="2"/>
          <c:tx>
            <c:strRef>
              <c:f>'Category (2017)'!$AO$8</c:f>
              <c:strCache>
                <c:ptCount val="1"/>
                <c:pt idx="0">
                  <c:v>RTF Manager</c:v>
                </c:pt>
              </c:strCache>
            </c:strRef>
          </c:tx>
          <c:invertIfNegative val="0"/>
          <c:val>
            <c:numRef>
              <c:f>'Category (2017)'!$AP$8:$AR$8</c:f>
              <c:numCache>
                <c:formatCode>"$"#,##0_);\("$"#,##0\)</c:formatCode>
                <c:ptCount val="3"/>
                <c:pt idx="0">
                  <c:v>0</c:v>
                </c:pt>
                <c:pt idx="1">
                  <c:v>135000</c:v>
                </c:pt>
                <c:pt idx="2">
                  <c:v>147000</c:v>
                </c:pt>
              </c:numCache>
            </c:numRef>
          </c:val>
        </c:ser>
        <c:dLbls>
          <c:showLegendKey val="0"/>
          <c:showVal val="0"/>
          <c:showCatName val="0"/>
          <c:showSerName val="0"/>
          <c:showPercent val="0"/>
          <c:showBubbleSize val="0"/>
        </c:dLbls>
        <c:gapWidth val="150"/>
        <c:overlap val="100"/>
        <c:axId val="516343904"/>
        <c:axId val="516344296"/>
      </c:barChart>
      <c:catAx>
        <c:axId val="516343904"/>
        <c:scaling>
          <c:orientation val="minMax"/>
        </c:scaling>
        <c:delete val="0"/>
        <c:axPos val="b"/>
        <c:numFmt formatCode="General" sourceLinked="1"/>
        <c:majorTickMark val="out"/>
        <c:minorTickMark val="none"/>
        <c:tickLblPos val="nextTo"/>
        <c:crossAx val="516344296"/>
        <c:crosses val="autoZero"/>
        <c:auto val="1"/>
        <c:lblAlgn val="ctr"/>
        <c:lblOffset val="100"/>
        <c:noMultiLvlLbl val="0"/>
      </c:catAx>
      <c:valAx>
        <c:axId val="516344296"/>
        <c:scaling>
          <c:orientation val="minMax"/>
        </c:scaling>
        <c:delete val="0"/>
        <c:axPos val="l"/>
        <c:majorGridlines/>
        <c:numFmt formatCode="&quot;$&quot;#,##0_);\(&quot;$&quot;#,##0\)" sourceLinked="1"/>
        <c:majorTickMark val="out"/>
        <c:minorTickMark val="none"/>
        <c:tickLblPos val="nextTo"/>
        <c:crossAx val="516343904"/>
        <c:crosses val="autoZero"/>
        <c:crossBetween val="between"/>
      </c:valAx>
    </c:plotArea>
    <c:legend>
      <c:legendPos val="r"/>
      <c:layout/>
      <c:overlay val="0"/>
    </c:legend>
    <c:plotVisOnly val="1"/>
    <c:dispBlanksAs val="gap"/>
    <c:showDLblsOverMax val="0"/>
  </c:chart>
  <c:txPr>
    <a:bodyPr/>
    <a:lstStyle/>
    <a:p>
      <a:pPr>
        <a:defRPr sz="1400"/>
      </a:pPr>
      <a:endParaRPr lang="en-US"/>
    </a:p>
  </c:txPr>
  <c:printSettings>
    <c:headerFooter/>
    <c:pageMargins b="0.7500000000000101" l="0.70000000000000162" r="0.70000000000000162" t="0.75000000000001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2016 Breakdown</a:t>
            </a:r>
          </a:p>
        </c:rich>
      </c:tx>
      <c:layout/>
      <c:overlay val="0"/>
    </c:title>
    <c:autoTitleDeleted val="0"/>
    <c:plotArea>
      <c:layout/>
      <c:pieChart>
        <c:varyColors val="1"/>
        <c:ser>
          <c:idx val="0"/>
          <c:order val="0"/>
          <c:tx>
            <c:v>2013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(2017)'!$AH$6,'Category (2017)'!$AH$9,'Category (2017)'!$AH$12)</c:f>
              <c:numCache>
                <c:formatCode>0%</c:formatCode>
                <c:ptCount val="3"/>
                <c:pt idx="0">
                  <c:v>0.59260372820204454</c:v>
                </c:pt>
                <c:pt idx="1">
                  <c:v>0.132291040288635</c:v>
                </c:pt>
                <c:pt idx="2">
                  <c:v>0.27510523150932048</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2017 Breakdown</a:t>
            </a:r>
          </a:p>
        </c:rich>
      </c:tx>
      <c:layout/>
      <c:overlay val="0"/>
    </c:title>
    <c:autoTitleDeleted val="0"/>
    <c:plotArea>
      <c:layout/>
      <c:pieChart>
        <c:varyColors val="1"/>
        <c:ser>
          <c:idx val="0"/>
          <c:order val="0"/>
          <c:tx>
            <c:v>2014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(2017)'!$AM$6,'Category (2017)'!$AM$9,'Category (2017)'!$AM$12)</c:f>
              <c:numCache>
                <c:formatCode>0%</c:formatCode>
                <c:ptCount val="3"/>
                <c:pt idx="0">
                  <c:v>0.64727902558945138</c:v>
                </c:pt>
                <c:pt idx="1">
                  <c:v>8.6601854955860993E-2</c:v>
                </c:pt>
                <c:pt idx="2">
                  <c:v>0.26611911945468769</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legend>
      <c:legendPos val="b"/>
      <c:layout/>
      <c:overlay val="0"/>
      <c:txPr>
        <a:bodyPr/>
        <a:lstStyle/>
        <a:p>
          <a:pPr rtl="0">
            <a:defRPr/>
          </a:pPr>
          <a:endParaRPr lang="en-US"/>
        </a:p>
      </c:txPr>
    </c:legend>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layout/>
      <c:overlay val="1"/>
    </c:title>
    <c:autoTitleDeleted val="0"/>
    <c:plotArea>
      <c:layout/>
      <c:barChart>
        <c:barDir val="col"/>
        <c:grouping val="stacked"/>
        <c:varyColors val="0"/>
        <c:ser>
          <c:idx val="8"/>
          <c:order val="0"/>
          <c:tx>
            <c:strRef>
              <c:f>'Category (2017)'!$B$14</c:f>
              <c:strCache>
                <c:ptCount val="1"/>
                <c:pt idx="0">
                  <c:v>RTF Management</c:v>
                </c:pt>
              </c:strCache>
            </c:strRef>
          </c:tx>
          <c:invertIfNegative val="0"/>
          <c:cat>
            <c:numLit>
              <c:formatCode>General</c:formatCode>
              <c:ptCount val="3"/>
              <c:pt idx="0">
                <c:v>2015</c:v>
              </c:pt>
              <c:pt idx="1">
                <c:v>2016</c:v>
              </c:pt>
              <c:pt idx="2">
                <c:v>2017</c:v>
              </c:pt>
            </c:numLit>
          </c:cat>
          <c:val>
            <c:numRef>
              <c:f>('Category (2017)'!$R$14,'Category (2017)'!$K$14,'Category (2017)'!$D$14)</c:f>
              <c:numCache>
                <c:formatCode>"$"#,##0_);\("$"#,##0\)</c:formatCode>
                <c:ptCount val="3"/>
                <c:pt idx="0">
                  <c:v>0</c:v>
                </c:pt>
                <c:pt idx="1">
                  <c:v>0</c:v>
                </c:pt>
                <c:pt idx="2">
                  <c:v>5000</c:v>
                </c:pt>
              </c:numCache>
            </c:numRef>
          </c:val>
        </c:ser>
        <c:ser>
          <c:idx val="7"/>
          <c:order val="1"/>
          <c:tx>
            <c:strRef>
              <c:f>'Category (2017)'!$B$13</c:f>
              <c:strCache>
                <c:ptCount val="1"/>
                <c:pt idx="0">
                  <c:v>RTF Member Support &amp; Administration</c:v>
                </c:pt>
              </c:strCache>
            </c:strRef>
          </c:tx>
          <c:invertIfNegative val="0"/>
          <c:cat>
            <c:numLit>
              <c:formatCode>General</c:formatCode>
              <c:ptCount val="3"/>
              <c:pt idx="0">
                <c:v>2015</c:v>
              </c:pt>
              <c:pt idx="1">
                <c:v>2016</c:v>
              </c:pt>
              <c:pt idx="2">
                <c:v>2017</c:v>
              </c:pt>
            </c:numLit>
          </c:cat>
          <c:val>
            <c:numRef>
              <c:f>('Category (2017)'!$R$13,'Category (2017)'!$K$13,'Category (2017)'!$D$13)</c:f>
              <c:numCache>
                <c:formatCode>"$"#,##0_);\("$"#,##0\)</c:formatCode>
                <c:ptCount val="3"/>
                <c:pt idx="0">
                  <c:v>0</c:v>
                </c:pt>
                <c:pt idx="1">
                  <c:v>65000</c:v>
                </c:pt>
                <c:pt idx="2">
                  <c:v>75000</c:v>
                </c:pt>
              </c:numCache>
            </c:numRef>
          </c:val>
        </c:ser>
        <c:ser>
          <c:idx val="6"/>
          <c:order val="2"/>
          <c:tx>
            <c:strRef>
              <c:f>'Category (2017)'!$B$12</c:f>
              <c:strCache>
                <c:ptCount val="1"/>
                <c:pt idx="0">
                  <c:v>Website, Database support, Conservation Tracking </c:v>
                </c:pt>
              </c:strCache>
            </c:strRef>
          </c:tx>
          <c:invertIfNegative val="0"/>
          <c:cat>
            <c:numLit>
              <c:formatCode>General</c:formatCode>
              <c:ptCount val="3"/>
              <c:pt idx="0">
                <c:v>2015</c:v>
              </c:pt>
              <c:pt idx="1">
                <c:v>2016</c:v>
              </c:pt>
              <c:pt idx="2">
                <c:v>2017</c:v>
              </c:pt>
            </c:numLit>
          </c:cat>
          <c:val>
            <c:numRef>
              <c:f>('Category (2017)'!$R$12,'Category (2017)'!$K$12,'Category (2017)'!$D$12)</c:f>
              <c:numCache>
                <c:formatCode>"$"#,##0_);\("$"#,##0\)</c:formatCode>
                <c:ptCount val="3"/>
                <c:pt idx="0">
                  <c:v>20000</c:v>
                </c:pt>
                <c:pt idx="1">
                  <c:v>20000</c:v>
                </c:pt>
                <c:pt idx="2">
                  <c:v>10000</c:v>
                </c:pt>
              </c:numCache>
            </c:numRef>
          </c:val>
        </c:ser>
        <c:ser>
          <c:idx val="5"/>
          <c:order val="3"/>
          <c:tx>
            <c:strRef>
              <c:f>'Category (2017)'!$B$11</c:f>
              <c:strCache>
                <c:ptCount val="1"/>
                <c:pt idx="0">
                  <c:v>Regional Coordination (Research and Data Development)</c:v>
                </c:pt>
              </c:strCache>
            </c:strRef>
          </c:tx>
          <c:invertIfNegative val="0"/>
          <c:cat>
            <c:numLit>
              <c:formatCode>General</c:formatCode>
              <c:ptCount val="3"/>
              <c:pt idx="0">
                <c:v>2015</c:v>
              </c:pt>
              <c:pt idx="1">
                <c:v>2016</c:v>
              </c:pt>
              <c:pt idx="2">
                <c:v>2017</c:v>
              </c:pt>
            </c:numLit>
          </c:cat>
          <c:val>
            <c:numRef>
              <c:f>('Category (2017)'!$R$11,'Category (2017)'!$K$11,'Category (2017)'!$D$11)</c:f>
              <c:numCache>
                <c:formatCode>"$"#,##0_);\("$"#,##0\)</c:formatCode>
                <c:ptCount val="3"/>
                <c:pt idx="0">
                  <c:v>125000</c:v>
                </c:pt>
                <c:pt idx="1">
                  <c:v>135000</c:v>
                </c:pt>
                <c:pt idx="2">
                  <c:v>115000</c:v>
                </c:pt>
              </c:numCache>
            </c:numRef>
          </c:val>
        </c:ser>
        <c:ser>
          <c:idx val="4"/>
          <c:order val="4"/>
          <c:tx>
            <c:strRef>
              <c:f>'Category (2017)'!$B$10</c:f>
              <c:strCache>
                <c:ptCount val="1"/>
                <c:pt idx="0">
                  <c:v>Research Projects &amp; Data Development</c:v>
                </c:pt>
              </c:strCache>
            </c:strRef>
          </c:tx>
          <c:invertIfNegative val="0"/>
          <c:cat>
            <c:numLit>
              <c:formatCode>General</c:formatCode>
              <c:ptCount val="3"/>
              <c:pt idx="0">
                <c:v>2015</c:v>
              </c:pt>
              <c:pt idx="1">
                <c:v>2016</c:v>
              </c:pt>
              <c:pt idx="2">
                <c:v>2017</c:v>
              </c:pt>
            </c:numLit>
          </c:cat>
          <c:val>
            <c:numRef>
              <c:f>('Category (2017)'!$R$10,'Category (2017)'!$K$10,'Category (2017)'!$D$10)</c:f>
              <c:numCache>
                <c:formatCode>"$"#,##0_);\("$"#,##0\)</c:formatCode>
                <c:ptCount val="3"/>
                <c:pt idx="0">
                  <c:v>40000</c:v>
                </c:pt>
                <c:pt idx="1">
                  <c:v>0</c:v>
                </c:pt>
                <c:pt idx="2">
                  <c:v>0</c:v>
                </c:pt>
              </c:numCache>
            </c:numRef>
          </c:val>
        </c:ser>
        <c:ser>
          <c:idx val="3"/>
          <c:order val="5"/>
          <c:tx>
            <c:strRef>
              <c:f>'Category (2017)'!$B$9</c:f>
              <c:strCache>
                <c:ptCount val="1"/>
                <c:pt idx="0">
                  <c:v>Tool Development</c:v>
                </c:pt>
              </c:strCache>
            </c:strRef>
          </c:tx>
          <c:invertIfNegative val="0"/>
          <c:cat>
            <c:numLit>
              <c:formatCode>General</c:formatCode>
              <c:ptCount val="3"/>
              <c:pt idx="0">
                <c:v>2015</c:v>
              </c:pt>
              <c:pt idx="1">
                <c:v>2016</c:v>
              </c:pt>
              <c:pt idx="2">
                <c:v>2017</c:v>
              </c:pt>
            </c:numLit>
          </c:cat>
          <c:val>
            <c:numRef>
              <c:f>('Category (2017)'!$R$9,'Category (2017)'!$K$9,'Category (2017)'!$D$9)</c:f>
              <c:numCache>
                <c:formatCode>"$"#,##0_);\("$"#,##0\)</c:formatCode>
                <c:ptCount val="3"/>
                <c:pt idx="0">
                  <c:v>80000</c:v>
                </c:pt>
                <c:pt idx="1">
                  <c:v>60000</c:v>
                </c:pt>
                <c:pt idx="2">
                  <c:v>20000</c:v>
                </c:pt>
              </c:numCache>
            </c:numRef>
          </c:val>
        </c:ser>
        <c:ser>
          <c:idx val="2"/>
          <c:order val="6"/>
          <c:tx>
            <c:strRef>
              <c:f>'Category (2017)'!$B$8</c:f>
              <c:strCache>
                <c:ptCount val="1"/>
                <c:pt idx="0">
                  <c:v>Standardization of Technical Analysis</c:v>
                </c:pt>
              </c:strCache>
            </c:strRef>
          </c:tx>
          <c:invertIfNegative val="0"/>
          <c:cat>
            <c:numLit>
              <c:formatCode>General</c:formatCode>
              <c:ptCount val="3"/>
              <c:pt idx="0">
                <c:v>2015</c:v>
              </c:pt>
              <c:pt idx="1">
                <c:v>2016</c:v>
              </c:pt>
              <c:pt idx="2">
                <c:v>2017</c:v>
              </c:pt>
            </c:numLit>
          </c:cat>
          <c:val>
            <c:numRef>
              <c:f>('Category (2017)'!$R$8,'Category (2017)'!$K$8,'Category (2017)'!$D$8)</c:f>
              <c:numCache>
                <c:formatCode>"$"#,##0_);\("$"#,##0\)</c:formatCode>
                <c:ptCount val="3"/>
                <c:pt idx="0">
                  <c:v>84000</c:v>
                </c:pt>
                <c:pt idx="1">
                  <c:v>175000</c:v>
                </c:pt>
                <c:pt idx="2">
                  <c:v>225000</c:v>
                </c:pt>
              </c:numCache>
            </c:numRef>
          </c:val>
        </c:ser>
        <c:ser>
          <c:idx val="1"/>
          <c:order val="7"/>
          <c:tx>
            <c:strRef>
              <c:f>'Category (2017)'!$B$7</c:f>
              <c:strCache>
                <c:ptCount val="1"/>
                <c:pt idx="0">
                  <c:v>New Measure Development &amp; Review of Unsolicited Proposals</c:v>
                </c:pt>
              </c:strCache>
            </c:strRef>
          </c:tx>
          <c:invertIfNegative val="0"/>
          <c:cat>
            <c:numLit>
              <c:formatCode>General</c:formatCode>
              <c:ptCount val="3"/>
              <c:pt idx="0">
                <c:v>2015</c:v>
              </c:pt>
              <c:pt idx="1">
                <c:v>2016</c:v>
              </c:pt>
              <c:pt idx="2">
                <c:v>2017</c:v>
              </c:pt>
            </c:numLit>
          </c:cat>
          <c:val>
            <c:numRef>
              <c:f>('Category (2017)'!$R$7,'Category (2017)'!$K$7,'Category (2017)'!$D$7)</c:f>
              <c:numCache>
                <c:formatCode>"$"#,##0_);\("$"#,##0\)</c:formatCode>
                <c:ptCount val="3"/>
                <c:pt idx="0">
                  <c:v>310000</c:v>
                </c:pt>
                <c:pt idx="1">
                  <c:v>240000</c:v>
                </c:pt>
                <c:pt idx="2">
                  <c:v>367500</c:v>
                </c:pt>
              </c:numCache>
            </c:numRef>
          </c:val>
        </c:ser>
        <c:ser>
          <c:idx val="0"/>
          <c:order val="8"/>
          <c:tx>
            <c:strRef>
              <c:f>'Category (2017)'!$B$6</c:f>
              <c:strCache>
                <c:ptCount val="1"/>
                <c:pt idx="0">
                  <c:v>Existing Measure Review &amp; Updates</c:v>
                </c:pt>
              </c:strCache>
            </c:strRef>
          </c:tx>
          <c:invertIfNegative val="0"/>
          <c:cat>
            <c:numLit>
              <c:formatCode>General</c:formatCode>
              <c:ptCount val="3"/>
              <c:pt idx="0">
                <c:v>2015</c:v>
              </c:pt>
              <c:pt idx="1">
                <c:v>2016</c:v>
              </c:pt>
              <c:pt idx="2">
                <c:v>2017</c:v>
              </c:pt>
            </c:numLit>
          </c:cat>
          <c:val>
            <c:numRef>
              <c:f>('Category (2017)'!$R$6,'Category (2017)'!$K$6,'Category (2017)'!$D$6)</c:f>
              <c:numCache>
                <c:formatCode>"$"#,##0_);\("$"#,##0\)</c:formatCode>
                <c:ptCount val="3"/>
                <c:pt idx="0">
                  <c:v>428000</c:v>
                </c:pt>
                <c:pt idx="1">
                  <c:v>325000</c:v>
                </c:pt>
                <c:pt idx="2">
                  <c:v>345000</c:v>
                </c:pt>
              </c:numCache>
            </c:numRef>
          </c:val>
        </c:ser>
        <c:dLbls>
          <c:showLegendKey val="0"/>
          <c:showVal val="0"/>
          <c:showCatName val="0"/>
          <c:showSerName val="0"/>
          <c:showPercent val="0"/>
          <c:showBubbleSize val="0"/>
        </c:dLbls>
        <c:gapWidth val="150"/>
        <c:overlap val="100"/>
        <c:axId val="516630408"/>
        <c:axId val="516630800"/>
      </c:barChart>
      <c:catAx>
        <c:axId val="516630408"/>
        <c:scaling>
          <c:orientation val="minMax"/>
        </c:scaling>
        <c:delete val="0"/>
        <c:axPos val="b"/>
        <c:numFmt formatCode="General" sourceLinked="1"/>
        <c:majorTickMark val="out"/>
        <c:minorTickMark val="none"/>
        <c:tickLblPos val="nextTo"/>
        <c:txPr>
          <a:bodyPr/>
          <a:lstStyle/>
          <a:p>
            <a:pPr>
              <a:defRPr sz="1800" b="1"/>
            </a:pPr>
            <a:endParaRPr lang="en-US"/>
          </a:p>
        </c:txPr>
        <c:crossAx val="516630800"/>
        <c:crosses val="autoZero"/>
        <c:auto val="1"/>
        <c:lblAlgn val="ctr"/>
        <c:lblOffset val="100"/>
        <c:noMultiLvlLbl val="0"/>
      </c:catAx>
      <c:valAx>
        <c:axId val="51663080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516630408"/>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2015 Breakdown</a:t>
            </a:r>
          </a:p>
        </c:rich>
      </c:tx>
      <c:layout/>
      <c:overlay val="0"/>
    </c:title>
    <c:autoTitleDeleted val="0"/>
    <c:plotArea>
      <c:layout/>
      <c:pieChart>
        <c:varyColors val="1"/>
        <c:ser>
          <c:idx val="0"/>
          <c:order val="0"/>
          <c:tx>
            <c:v>2012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val>
            <c:numRef>
              <c:f>('Category (2017)'!$AC$6,'Category (2017)'!$AC$9,'Category (2017)'!$AC$12)</c:f>
              <c:numCache>
                <c:formatCode>0%</c:formatCode>
                <c:ptCount val="3"/>
                <c:pt idx="0">
                  <c:v>0.64087689301416706</c:v>
                </c:pt>
                <c:pt idx="1">
                  <c:v>0.16365412799218368</c:v>
                </c:pt>
                <c:pt idx="2">
                  <c:v>0.19546897899364923</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layout>
        <c:manualLayout>
          <c:xMode val="edge"/>
          <c:yMode val="edge"/>
          <c:x val="0.33696413386391294"/>
          <c:y val="1.3665202537823329E-2"/>
        </c:manualLayout>
      </c:layout>
      <c:overlay val="1"/>
    </c:title>
    <c:autoTitleDeleted val="0"/>
    <c:plotArea>
      <c:layout/>
      <c:barChart>
        <c:barDir val="col"/>
        <c:grouping val="percentStacked"/>
        <c:varyColors val="0"/>
        <c:ser>
          <c:idx val="1"/>
          <c:order val="0"/>
          <c:tx>
            <c:strRef>
              <c:f>'Category (2017)'!$O$123</c:f>
              <c:strCache>
                <c:ptCount val="1"/>
                <c:pt idx="0">
                  <c:v>Contract RFP</c:v>
                </c:pt>
              </c:strCache>
            </c:strRef>
          </c:tx>
          <c:invertIfNegative val="0"/>
          <c:cat>
            <c:numRef>
              <c:f>'Category (2017)'!$Q$122:$R$122</c:f>
              <c:numCache>
                <c:formatCode>General</c:formatCode>
                <c:ptCount val="2"/>
                <c:pt idx="0">
                  <c:v>2016</c:v>
                </c:pt>
                <c:pt idx="1">
                  <c:v>2017</c:v>
                </c:pt>
              </c:numCache>
            </c:numRef>
          </c:cat>
          <c:val>
            <c:numRef>
              <c:f>'Category (2017)'!$Q$123:$R$123</c:f>
              <c:numCache>
                <c:formatCode>"$"#,##0_);\("$"#,##0\)</c:formatCode>
                <c:ptCount val="2"/>
                <c:pt idx="0">
                  <c:v>508000</c:v>
                </c:pt>
                <c:pt idx="1">
                  <c:v>480300</c:v>
                </c:pt>
              </c:numCache>
            </c:numRef>
          </c:val>
        </c:ser>
        <c:ser>
          <c:idx val="0"/>
          <c:order val="1"/>
          <c:tx>
            <c:strRef>
              <c:f>'Category (2017)'!$O$125</c:f>
              <c:strCache>
                <c:ptCount val="1"/>
                <c:pt idx="0">
                  <c:v>Contract Analyst Team and RTF Manager</c:v>
                </c:pt>
              </c:strCache>
            </c:strRef>
          </c:tx>
          <c:invertIfNegative val="0"/>
          <c:cat>
            <c:numRef>
              <c:f>'Category (2017)'!$Q$122:$R$122</c:f>
              <c:numCache>
                <c:formatCode>General</c:formatCode>
                <c:ptCount val="2"/>
                <c:pt idx="0">
                  <c:v>2016</c:v>
                </c:pt>
                <c:pt idx="1">
                  <c:v>2017</c:v>
                </c:pt>
              </c:numCache>
            </c:numRef>
          </c:cat>
          <c:val>
            <c:numRef>
              <c:f>'Category (2017)'!$Q$125:$R$125</c:f>
              <c:numCache>
                <c:formatCode>"$"#,##0_);\("$"#,##0\)</c:formatCode>
                <c:ptCount val="2"/>
                <c:pt idx="0">
                  <c:v>1155000</c:v>
                </c:pt>
                <c:pt idx="1">
                  <c:v>1309500</c:v>
                </c:pt>
              </c:numCache>
            </c:numRef>
          </c:val>
        </c:ser>
        <c:dLbls>
          <c:showLegendKey val="0"/>
          <c:showVal val="0"/>
          <c:showCatName val="0"/>
          <c:showSerName val="0"/>
          <c:showPercent val="0"/>
          <c:showBubbleSize val="0"/>
        </c:dLbls>
        <c:gapWidth val="150"/>
        <c:overlap val="100"/>
        <c:axId val="516346648"/>
        <c:axId val="516345864"/>
      </c:barChart>
      <c:catAx>
        <c:axId val="516346648"/>
        <c:scaling>
          <c:orientation val="minMax"/>
        </c:scaling>
        <c:delete val="0"/>
        <c:axPos val="b"/>
        <c:numFmt formatCode="General" sourceLinked="1"/>
        <c:majorTickMark val="out"/>
        <c:minorTickMark val="none"/>
        <c:tickLblPos val="nextTo"/>
        <c:txPr>
          <a:bodyPr/>
          <a:lstStyle/>
          <a:p>
            <a:pPr>
              <a:defRPr sz="1800" b="1"/>
            </a:pPr>
            <a:endParaRPr lang="en-US"/>
          </a:p>
        </c:txPr>
        <c:crossAx val="516345864"/>
        <c:crosses val="autoZero"/>
        <c:auto val="1"/>
        <c:lblAlgn val="ctr"/>
        <c:lblOffset val="100"/>
        <c:noMultiLvlLbl val="0"/>
      </c:catAx>
      <c:valAx>
        <c:axId val="516345864"/>
        <c:scaling>
          <c:orientation val="minMax"/>
        </c:scaling>
        <c:delete val="0"/>
        <c:axPos val="l"/>
        <c:numFmt formatCode="0%" sourceLinked="1"/>
        <c:majorTickMark val="out"/>
        <c:minorTickMark val="none"/>
        <c:tickLblPos val="nextTo"/>
        <c:txPr>
          <a:bodyPr/>
          <a:lstStyle/>
          <a:p>
            <a:pPr>
              <a:defRPr sz="1200"/>
            </a:pPr>
            <a:endParaRPr lang="en-US"/>
          </a:p>
        </c:txPr>
        <c:crossAx val="516346648"/>
        <c:crosses val="autoZero"/>
        <c:crossBetween val="between"/>
      </c:valAx>
    </c:plotArea>
    <c:legend>
      <c:legendPos val="r"/>
      <c:layout/>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13</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13</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44823</xdr:colOff>
      <xdr:row>4</xdr:row>
      <xdr:rowOff>44825</xdr:rowOff>
    </xdr:from>
    <xdr:to>
      <xdr:col>61</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585507</xdr:colOff>
      <xdr:row>10</xdr:row>
      <xdr:rowOff>261237</xdr:rowOff>
    </xdr:from>
    <xdr:to>
      <xdr:col>45</xdr:col>
      <xdr:colOff>383801</xdr:colOff>
      <xdr:row>21</xdr:row>
      <xdr:rowOff>60932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22413</xdr:colOff>
      <xdr:row>16</xdr:row>
      <xdr:rowOff>11207</xdr:rowOff>
    </xdr:from>
    <xdr:to>
      <xdr:col>29</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885266</xdr:colOff>
      <xdr:row>16</xdr:row>
      <xdr:rowOff>1</xdr:rowOff>
    </xdr:from>
    <xdr:to>
      <xdr:col>36</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14</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33619</xdr:colOff>
      <xdr:row>16</xdr:row>
      <xdr:rowOff>0</xdr:rowOff>
    </xdr:from>
    <xdr:to>
      <xdr:col>24</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14</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449036</xdr:colOff>
      <xdr:row>36</xdr:row>
      <xdr:rowOff>13607</xdr:rowOff>
    </xdr:from>
    <xdr:to>
      <xdr:col>32</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13</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14</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14</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L/RTF/RTF%20PAC/Funding/PAC-projections-2015-2019-by_fund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11"/>
  <sheetViews>
    <sheetView workbookViewId="0"/>
  </sheetViews>
  <sheetFormatPr defaultColWidth="8.85546875" defaultRowHeight="15" x14ac:dyDescent="0.25"/>
  <cols>
    <col min="2" max="2" width="27.85546875" customWidth="1"/>
    <col min="3" max="3" width="92" customWidth="1"/>
    <col min="4" max="4" width="9.7109375" bestFit="1" customWidth="1"/>
  </cols>
  <sheetData>
    <row r="1" spans="2:3" ht="18.75" x14ac:dyDescent="0.3">
      <c r="B1" s="183" t="s">
        <v>111</v>
      </c>
    </row>
    <row r="2" spans="2:3" x14ac:dyDescent="0.25">
      <c r="B2" s="5" t="s">
        <v>358</v>
      </c>
      <c r="C2" s="4"/>
    </row>
    <row r="4" spans="2:3" ht="15.75" x14ac:dyDescent="0.25">
      <c r="B4" s="90" t="s">
        <v>108</v>
      </c>
      <c r="C4" s="90" t="s">
        <v>109</v>
      </c>
    </row>
    <row r="5" spans="2:3" ht="15.75" x14ac:dyDescent="0.25">
      <c r="B5" s="91" t="s">
        <v>111</v>
      </c>
      <c r="C5" s="35"/>
    </row>
    <row r="6" spans="2:3" ht="78.75" x14ac:dyDescent="0.25">
      <c r="B6" s="322" t="s">
        <v>306</v>
      </c>
      <c r="C6" s="323" t="s">
        <v>307</v>
      </c>
    </row>
    <row r="7" spans="2:3" ht="63" x14ac:dyDescent="0.25">
      <c r="B7" s="322" t="s">
        <v>308</v>
      </c>
      <c r="C7" s="323" t="s">
        <v>309</v>
      </c>
    </row>
    <row r="8" spans="2:3" ht="31.5" x14ac:dyDescent="0.25">
      <c r="B8" s="322" t="s">
        <v>197</v>
      </c>
      <c r="C8" s="92" t="s">
        <v>232</v>
      </c>
    </row>
    <row r="9" spans="2:3" ht="15.75" x14ac:dyDescent="0.25">
      <c r="B9" s="91" t="s">
        <v>113</v>
      </c>
      <c r="C9" s="92" t="s">
        <v>115</v>
      </c>
    </row>
    <row r="10" spans="2:3" ht="31.5" x14ac:dyDescent="0.25">
      <c r="B10" s="91" t="s">
        <v>114</v>
      </c>
      <c r="C10" s="92" t="s">
        <v>195</v>
      </c>
    </row>
    <row r="11" spans="2:3" ht="31.5" x14ac:dyDescent="0.25">
      <c r="B11" s="91" t="s">
        <v>134</v>
      </c>
      <c r="C11" s="92" t="s">
        <v>166</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125"/>
  <sheetViews>
    <sheetView zoomScale="80" zoomScaleNormal="80" zoomScalePageLayoutView="85" workbookViewId="0"/>
  </sheetViews>
  <sheetFormatPr defaultColWidth="8.85546875" defaultRowHeight="15" x14ac:dyDescent="0.25"/>
  <cols>
    <col min="2" max="2" width="52.7109375" customWidth="1"/>
    <col min="3" max="7" width="14.28515625" customWidth="1"/>
    <col min="8" max="8" width="10.7109375" bestFit="1" customWidth="1"/>
    <col min="9" max="9" width="12.28515625" bestFit="1" customWidth="1"/>
    <col min="10" max="14" width="14.28515625" customWidth="1"/>
    <col min="15" max="15" width="10.85546875" customWidth="1"/>
    <col min="16" max="16" width="12.42578125" customWidth="1"/>
    <col min="17" max="21" width="14.28515625" customWidth="1"/>
    <col min="22" max="22" width="10.85546875" customWidth="1"/>
    <col min="23" max="23" width="16" customWidth="1"/>
    <col min="24" max="24" width="16.85546875" customWidth="1"/>
    <col min="25" max="38" width="12.85546875" customWidth="1"/>
    <col min="39" max="39" width="10.5703125" bestFit="1" customWidth="1"/>
    <col min="40" max="40" width="14.42578125" customWidth="1"/>
    <col min="41" max="41" width="14" customWidth="1"/>
    <col min="42" max="44" width="13" bestFit="1" customWidth="1"/>
    <col min="65" max="65" width="12.7109375" bestFit="1" customWidth="1"/>
    <col min="71" max="71" width="10.85546875" customWidth="1"/>
  </cols>
  <sheetData>
    <row r="1" spans="2:65" ht="18.75" x14ac:dyDescent="0.3">
      <c r="B1" s="183" t="s">
        <v>196</v>
      </c>
    </row>
    <row r="2" spans="2:65" x14ac:dyDescent="0.25">
      <c r="B2" s="1" t="str">
        <f>'Table of Contents'!B2</f>
        <v>PROPOSED Work Plan (September 8, 2016)</v>
      </c>
    </row>
    <row r="3" spans="2:65" x14ac:dyDescent="0.25">
      <c r="B3" s="2"/>
      <c r="J3" s="372"/>
      <c r="K3" s="372"/>
      <c r="L3" s="372"/>
      <c r="M3" s="372"/>
      <c r="N3" s="372"/>
      <c r="Q3" s="375"/>
      <c r="R3" s="375"/>
      <c r="S3" s="375"/>
      <c r="T3" s="375"/>
      <c r="U3" s="375"/>
    </row>
    <row r="4" spans="2:65" ht="26.25" customHeight="1" x14ac:dyDescent="0.25">
      <c r="B4" s="19"/>
      <c r="C4" s="356" t="s">
        <v>310</v>
      </c>
      <c r="D4" s="353"/>
      <c r="E4" s="353"/>
      <c r="F4" s="353"/>
      <c r="G4" s="354"/>
      <c r="H4" s="19"/>
      <c r="J4" s="356" t="s">
        <v>305</v>
      </c>
      <c r="K4" s="353"/>
      <c r="L4" s="353"/>
      <c r="M4" s="353"/>
      <c r="N4" s="354"/>
      <c r="O4" s="11"/>
      <c r="Q4" s="373" t="s">
        <v>267</v>
      </c>
      <c r="R4" s="374"/>
      <c r="S4" s="374"/>
      <c r="T4" s="374"/>
      <c r="U4" s="374"/>
      <c r="W4" s="11"/>
      <c r="Y4" s="356" t="s">
        <v>267</v>
      </c>
      <c r="Z4" s="353"/>
      <c r="AA4" s="353"/>
      <c r="AB4" s="353"/>
      <c r="AC4" s="355"/>
      <c r="AD4" s="352" t="s">
        <v>305</v>
      </c>
      <c r="AE4" s="353"/>
      <c r="AF4" s="353"/>
      <c r="AG4" s="353"/>
      <c r="AH4" s="355"/>
      <c r="AI4" s="352" t="s">
        <v>310</v>
      </c>
      <c r="AJ4" s="353"/>
      <c r="AK4" s="353"/>
      <c r="AL4" s="354"/>
      <c r="AM4" s="11"/>
      <c r="AN4" s="11"/>
      <c r="AO4" s="11"/>
      <c r="AP4" s="11"/>
    </row>
    <row r="5" spans="2:65" ht="78.75" x14ac:dyDescent="0.25">
      <c r="B5" s="52" t="s">
        <v>49</v>
      </c>
      <c r="C5" s="321" t="s">
        <v>311</v>
      </c>
      <c r="D5" s="321" t="s">
        <v>315</v>
      </c>
      <c r="E5" s="54" t="s">
        <v>313</v>
      </c>
      <c r="F5" s="54" t="s">
        <v>314</v>
      </c>
      <c r="G5" s="55" t="s">
        <v>316</v>
      </c>
      <c r="H5" s="53" t="s">
        <v>165</v>
      </c>
      <c r="I5" s="19"/>
      <c r="J5" s="340" t="s">
        <v>268</v>
      </c>
      <c r="K5" s="340" t="s">
        <v>269</v>
      </c>
      <c r="L5" s="54" t="s">
        <v>270</v>
      </c>
      <c r="M5" s="54" t="s">
        <v>271</v>
      </c>
      <c r="N5" s="55" t="s">
        <v>273</v>
      </c>
      <c r="O5" s="53" t="s">
        <v>165</v>
      </c>
      <c r="P5" s="19"/>
      <c r="Q5" s="340" t="s">
        <v>274</v>
      </c>
      <c r="R5" s="340" t="s">
        <v>255</v>
      </c>
      <c r="S5" s="54" t="s">
        <v>254</v>
      </c>
      <c r="T5" s="56" t="s">
        <v>276</v>
      </c>
      <c r="U5" s="57" t="s">
        <v>275</v>
      </c>
      <c r="V5" s="53" t="s">
        <v>165</v>
      </c>
      <c r="X5" s="84" t="s">
        <v>49</v>
      </c>
      <c r="Y5" s="340" t="s">
        <v>274</v>
      </c>
      <c r="Z5" s="340" t="s">
        <v>255</v>
      </c>
      <c r="AA5" s="54" t="s">
        <v>254</v>
      </c>
      <c r="AB5" s="56" t="s">
        <v>276</v>
      </c>
      <c r="AC5" s="56" t="s">
        <v>165</v>
      </c>
      <c r="AD5" s="85" t="s">
        <v>268</v>
      </c>
      <c r="AE5" s="340" t="s">
        <v>277</v>
      </c>
      <c r="AF5" s="54" t="s">
        <v>270</v>
      </c>
      <c r="AG5" s="340" t="s">
        <v>271</v>
      </c>
      <c r="AH5" s="53" t="s">
        <v>165</v>
      </c>
      <c r="AI5" s="85" t="s">
        <v>311</v>
      </c>
      <c r="AJ5" s="321" t="s">
        <v>312</v>
      </c>
      <c r="AK5" s="54" t="s">
        <v>313</v>
      </c>
      <c r="AL5" s="321" t="s">
        <v>314</v>
      </c>
      <c r="AM5" s="53" t="s">
        <v>165</v>
      </c>
      <c r="AN5" s="11"/>
      <c r="AO5" s="89"/>
      <c r="AP5" s="53">
        <v>2015</v>
      </c>
      <c r="AQ5" s="53">
        <v>2016</v>
      </c>
      <c r="AR5" s="53">
        <v>2017</v>
      </c>
    </row>
    <row r="6" spans="2:65" ht="53.25" customHeight="1" x14ac:dyDescent="0.25">
      <c r="B6" s="58" t="s">
        <v>52</v>
      </c>
      <c r="C6" s="59">
        <f>'Category Detail (2017)'!B16</f>
        <v>48000</v>
      </c>
      <c r="D6" s="59">
        <f>'Category Detail (2017)'!C16</f>
        <v>345000</v>
      </c>
      <c r="E6" s="60">
        <f>'Category Detail (2017)'!D16</f>
        <v>0</v>
      </c>
      <c r="F6" s="60">
        <f>'Category Detail (2017)'!E16</f>
        <v>393000</v>
      </c>
      <c r="G6" s="61">
        <f>'Category Detail (2017)'!F16</f>
        <v>14000</v>
      </c>
      <c r="H6" s="197">
        <f>F6/$F$15</f>
        <v>0.21957760643647334</v>
      </c>
      <c r="I6" s="203"/>
      <c r="J6" s="59">
        <v>127500</v>
      </c>
      <c r="K6" s="59">
        <v>325000</v>
      </c>
      <c r="L6" s="60">
        <v>0</v>
      </c>
      <c r="M6" s="60">
        <v>452500</v>
      </c>
      <c r="N6" s="61">
        <v>8400</v>
      </c>
      <c r="O6" s="62">
        <f>M6/$M$15</f>
        <v>0.27209861695730608</v>
      </c>
      <c r="P6" s="19"/>
      <c r="Q6" s="59">
        <v>112500</v>
      </c>
      <c r="R6" s="59">
        <v>428000</v>
      </c>
      <c r="S6" s="59">
        <v>0</v>
      </c>
      <c r="T6" s="64">
        <v>540500</v>
      </c>
      <c r="U6" s="65">
        <v>9600</v>
      </c>
      <c r="V6" s="62">
        <f>T6/$T$15</f>
        <v>0.3300561797752809</v>
      </c>
      <c r="X6" s="376" t="s">
        <v>171</v>
      </c>
      <c r="Y6" s="357">
        <f>SUM(Q6:Q8)</f>
        <v>227500</v>
      </c>
      <c r="Z6" s="357">
        <f>SUM(R6:R8)</f>
        <v>822000</v>
      </c>
      <c r="AA6" s="357">
        <f>SUM(S6:S8)</f>
        <v>0</v>
      </c>
      <c r="AB6" s="357">
        <f>SUM(T6:T8)</f>
        <v>1049500</v>
      </c>
      <c r="AC6" s="363">
        <f>AB6/$AB$15</f>
        <v>0.64087689301416706</v>
      </c>
      <c r="AD6" s="406">
        <f>SUM(J6:J8)</f>
        <v>245500</v>
      </c>
      <c r="AE6" s="357">
        <f>SUM(K6:K8)</f>
        <v>740000</v>
      </c>
      <c r="AF6" s="357">
        <f>SUM(L6:L8)</f>
        <v>0</v>
      </c>
      <c r="AG6" s="357">
        <f>SUM(M6:M8)</f>
        <v>985500</v>
      </c>
      <c r="AH6" s="363">
        <f>AG6/$AG$15</f>
        <v>0.59260372820204454</v>
      </c>
      <c r="AI6" s="403">
        <f>SUM(C6:C8)</f>
        <v>221000</v>
      </c>
      <c r="AJ6" s="357">
        <f>SUM(D6:D8)</f>
        <v>937500</v>
      </c>
      <c r="AK6" s="357">
        <f>SUM(E6:E8)</f>
        <v>0</v>
      </c>
      <c r="AL6" s="357">
        <f>SUM(F6:F8)</f>
        <v>1158500</v>
      </c>
      <c r="AM6" s="400">
        <f>AL6/$AL$15</f>
        <v>0.64727902558945138</v>
      </c>
      <c r="AN6" s="11"/>
      <c r="AO6" s="89" t="s">
        <v>174</v>
      </c>
      <c r="AP6" s="88">
        <f>Y15</f>
        <v>425600</v>
      </c>
      <c r="AQ6" s="88">
        <f>AD15</f>
        <v>508000</v>
      </c>
      <c r="AR6" s="88">
        <f>AI15</f>
        <v>480300</v>
      </c>
    </row>
    <row r="7" spans="2:65" ht="60" customHeight="1" x14ac:dyDescent="0.25">
      <c r="B7" s="58" t="s">
        <v>67</v>
      </c>
      <c r="C7" s="59">
        <f>'Category Detail (2017)'!B25</f>
        <v>48000</v>
      </c>
      <c r="D7" s="59">
        <f>'Category Detail (2017)'!C25</f>
        <v>367500</v>
      </c>
      <c r="E7" s="59">
        <f>'Category Detail (2017)'!D25</f>
        <v>0</v>
      </c>
      <c r="F7" s="60">
        <f>'Category Detail (2017)'!E25</f>
        <v>415500</v>
      </c>
      <c r="G7" s="61">
        <f>'Category Detail (2017)'!F25</f>
        <v>12200</v>
      </c>
      <c r="H7" s="197">
        <f>F7/$F$15</f>
        <v>0.2321488434461951</v>
      </c>
      <c r="I7" s="63"/>
      <c r="J7" s="59">
        <v>88000</v>
      </c>
      <c r="K7" s="59">
        <v>240000</v>
      </c>
      <c r="L7" s="59">
        <v>0</v>
      </c>
      <c r="M7" s="60">
        <v>328000</v>
      </c>
      <c r="N7" s="61">
        <v>2700</v>
      </c>
      <c r="O7" s="62">
        <f t="shared" ref="O7:O14" si="0">M7/$M$15</f>
        <v>0.19723391461214673</v>
      </c>
      <c r="P7" s="19"/>
      <c r="Q7" s="59">
        <v>90000</v>
      </c>
      <c r="R7" s="59">
        <v>310000</v>
      </c>
      <c r="S7" s="59">
        <v>0</v>
      </c>
      <c r="T7" s="64">
        <v>400000</v>
      </c>
      <c r="U7" s="65">
        <v>5100</v>
      </c>
      <c r="V7" s="62">
        <f t="shared" ref="V7:V14" si="1">T7/$T$15</f>
        <v>0.24425989252564728</v>
      </c>
      <c r="X7" s="377"/>
      <c r="Y7" s="358"/>
      <c r="Z7" s="358"/>
      <c r="AA7" s="358"/>
      <c r="AB7" s="358"/>
      <c r="AC7" s="364"/>
      <c r="AD7" s="407"/>
      <c r="AE7" s="358"/>
      <c r="AF7" s="358"/>
      <c r="AG7" s="358"/>
      <c r="AH7" s="364"/>
      <c r="AI7" s="404"/>
      <c r="AJ7" s="358"/>
      <c r="AK7" s="358"/>
      <c r="AL7" s="358"/>
      <c r="AM7" s="401"/>
      <c r="AN7" s="11"/>
      <c r="AO7" s="89" t="s">
        <v>272</v>
      </c>
      <c r="AP7" s="88">
        <f>Z15</f>
        <v>1087000</v>
      </c>
      <c r="AQ7" s="88">
        <f>AE15</f>
        <v>1020000</v>
      </c>
      <c r="AR7" s="88">
        <f>AJ15</f>
        <v>1162500</v>
      </c>
    </row>
    <row r="8" spans="2:65" ht="38.25" customHeight="1" x14ac:dyDescent="0.25">
      <c r="B8" s="58" t="s">
        <v>50</v>
      </c>
      <c r="C8" s="59">
        <f>'Category Detail (2017)'!B33</f>
        <v>125000</v>
      </c>
      <c r="D8" s="59">
        <f>'Category Detail (2017)'!C33</f>
        <v>225000</v>
      </c>
      <c r="E8" s="59">
        <f>'Category Detail (2017)'!D33</f>
        <v>0</v>
      </c>
      <c r="F8" s="60">
        <f>'Category Detail (2017)'!E33</f>
        <v>350000</v>
      </c>
      <c r="G8" s="61">
        <f>'Category Detail (2017)'!F33</f>
        <v>12000</v>
      </c>
      <c r="H8" s="197">
        <f t="shared" ref="H8:H14" si="2">F8/$F$15</f>
        <v>0.19555257570678289</v>
      </c>
      <c r="I8" s="63"/>
      <c r="J8" s="59">
        <v>30000</v>
      </c>
      <c r="K8" s="59">
        <v>175000</v>
      </c>
      <c r="L8" s="59">
        <v>0</v>
      </c>
      <c r="M8" s="60">
        <v>205000</v>
      </c>
      <c r="N8" s="61">
        <v>500</v>
      </c>
      <c r="O8" s="62">
        <f t="shared" si="0"/>
        <v>0.1232711966325917</v>
      </c>
      <c r="P8" s="19"/>
      <c r="Q8" s="59">
        <v>25000</v>
      </c>
      <c r="R8" s="59">
        <v>84000</v>
      </c>
      <c r="S8" s="59">
        <v>0</v>
      </c>
      <c r="T8" s="64">
        <v>109000</v>
      </c>
      <c r="U8" s="65">
        <v>900</v>
      </c>
      <c r="V8" s="62">
        <f t="shared" si="1"/>
        <v>6.6560820713238891E-2</v>
      </c>
      <c r="X8" s="378"/>
      <c r="Y8" s="359"/>
      <c r="Z8" s="359"/>
      <c r="AA8" s="359"/>
      <c r="AB8" s="359"/>
      <c r="AC8" s="365"/>
      <c r="AD8" s="408"/>
      <c r="AE8" s="359"/>
      <c r="AF8" s="359"/>
      <c r="AG8" s="359"/>
      <c r="AH8" s="365"/>
      <c r="AI8" s="405"/>
      <c r="AJ8" s="359"/>
      <c r="AK8" s="359"/>
      <c r="AL8" s="359"/>
      <c r="AM8" s="402"/>
      <c r="AN8" s="11"/>
      <c r="AO8" s="89" t="s">
        <v>176</v>
      </c>
      <c r="AP8" s="88">
        <v>0</v>
      </c>
      <c r="AQ8" s="88">
        <f>AF15</f>
        <v>135000</v>
      </c>
      <c r="AR8" s="88">
        <f>AK15</f>
        <v>147000</v>
      </c>
    </row>
    <row r="9" spans="2:65" ht="38.25" customHeight="1" x14ac:dyDescent="0.25">
      <c r="B9" s="66" t="s">
        <v>66</v>
      </c>
      <c r="C9" s="67">
        <f>'Category Detail (2017)'!B38</f>
        <v>0</v>
      </c>
      <c r="D9" s="67">
        <f>'Category Detail (2017)'!C38</f>
        <v>20000</v>
      </c>
      <c r="E9" s="67">
        <f>'Category Detail (2017)'!D38</f>
        <v>0</v>
      </c>
      <c r="F9" s="68">
        <f>'Category Detail (2017)'!E38</f>
        <v>20000</v>
      </c>
      <c r="G9" s="69">
        <f>'Category Detail (2017)'!F38</f>
        <v>5000</v>
      </c>
      <c r="H9" s="198">
        <f t="shared" si="2"/>
        <v>1.1174432897530451E-2</v>
      </c>
      <c r="I9" s="203"/>
      <c r="J9" s="67">
        <v>10000</v>
      </c>
      <c r="K9" s="67">
        <v>60000</v>
      </c>
      <c r="L9" s="67">
        <v>0</v>
      </c>
      <c r="M9" s="68">
        <v>70000</v>
      </c>
      <c r="N9" s="69">
        <v>7000</v>
      </c>
      <c r="O9" s="70">
        <f t="shared" si="0"/>
        <v>4.2092603728202047E-2</v>
      </c>
      <c r="P9" s="19"/>
      <c r="Q9" s="67">
        <v>10500</v>
      </c>
      <c r="R9" s="67">
        <v>80000</v>
      </c>
      <c r="S9" s="67">
        <v>0</v>
      </c>
      <c r="T9" s="71">
        <v>90500</v>
      </c>
      <c r="U9" s="72">
        <v>15000</v>
      </c>
      <c r="V9" s="70">
        <f t="shared" si="1"/>
        <v>5.5263800683927701E-2</v>
      </c>
      <c r="X9" s="409" t="s">
        <v>172</v>
      </c>
      <c r="Y9" s="360">
        <f>SUM(Q9:Q11)</f>
        <v>23000</v>
      </c>
      <c r="Z9" s="360">
        <f>SUM(R9:R11)</f>
        <v>245000</v>
      </c>
      <c r="AA9" s="360">
        <f>SUM(S9:S11)</f>
        <v>0</v>
      </c>
      <c r="AB9" s="360">
        <f>SUM(T9:T11)</f>
        <v>268000</v>
      </c>
      <c r="AC9" s="369">
        <f>AB9/$AB$15</f>
        <v>0.16365412799218368</v>
      </c>
      <c r="AD9" s="394">
        <f>SUM(J9:J11)</f>
        <v>25000</v>
      </c>
      <c r="AE9" s="360">
        <f>SUM(K9:K11)</f>
        <v>195000</v>
      </c>
      <c r="AF9" s="360">
        <f>SUM(L9:L11)</f>
        <v>0</v>
      </c>
      <c r="AG9" s="360">
        <f>SUM(M9:M11)</f>
        <v>220000</v>
      </c>
      <c r="AH9" s="369">
        <f>AG9/$AG$15</f>
        <v>0.132291040288635</v>
      </c>
      <c r="AI9" s="366">
        <f>SUM(C9:C11)</f>
        <v>20000</v>
      </c>
      <c r="AJ9" s="360">
        <f>SUM(D9:D11)</f>
        <v>135000</v>
      </c>
      <c r="AK9" s="360">
        <f>SUM(E9:E11)</f>
        <v>0</v>
      </c>
      <c r="AL9" s="360">
        <f>SUM(F9:F11)</f>
        <v>155000</v>
      </c>
      <c r="AM9" s="379">
        <f>AL9/$AL$15</f>
        <v>8.6601854955860993E-2</v>
      </c>
      <c r="AN9" s="11"/>
      <c r="AO9" s="87" t="s">
        <v>20</v>
      </c>
      <c r="AP9" s="78">
        <f>SUM(AP6:AP7)</f>
        <v>1512600</v>
      </c>
      <c r="AQ9" s="78">
        <f>SUM(AQ6:AQ7)</f>
        <v>1528000</v>
      </c>
      <c r="AR9" s="78">
        <f>SUM(AR6:AR7)</f>
        <v>1642800</v>
      </c>
    </row>
    <row r="10" spans="2:65" ht="38.25" customHeight="1" x14ac:dyDescent="0.25">
      <c r="B10" s="66" t="s">
        <v>28</v>
      </c>
      <c r="C10" s="67">
        <f>'Category Detail (2017)'!B43</f>
        <v>0</v>
      </c>
      <c r="D10" s="67">
        <f>'Category Detail (2017)'!C43</f>
        <v>0</v>
      </c>
      <c r="E10" s="67">
        <f>'Category Detail (2017)'!D43</f>
        <v>0</v>
      </c>
      <c r="F10" s="68">
        <f>'Category Detail (2017)'!E43</f>
        <v>0</v>
      </c>
      <c r="G10" s="69">
        <f>'Category Detail (2017)'!F43</f>
        <v>0</v>
      </c>
      <c r="H10" s="198">
        <f t="shared" si="2"/>
        <v>0</v>
      </c>
      <c r="I10" s="63"/>
      <c r="J10" s="67">
        <v>0</v>
      </c>
      <c r="K10" s="67">
        <v>0</v>
      </c>
      <c r="L10" s="67">
        <v>0</v>
      </c>
      <c r="M10" s="68">
        <v>0</v>
      </c>
      <c r="N10" s="69">
        <v>0</v>
      </c>
      <c r="O10" s="70">
        <f t="shared" si="0"/>
        <v>0</v>
      </c>
      <c r="P10" s="19"/>
      <c r="Q10" s="67">
        <v>0</v>
      </c>
      <c r="R10" s="67">
        <v>40000</v>
      </c>
      <c r="S10" s="67">
        <v>0</v>
      </c>
      <c r="T10" s="71">
        <v>40000</v>
      </c>
      <c r="U10" s="72">
        <v>20000</v>
      </c>
      <c r="V10" s="70">
        <f t="shared" si="1"/>
        <v>2.4425989252564728E-2</v>
      </c>
      <c r="X10" s="410"/>
      <c r="Y10" s="361"/>
      <c r="Z10" s="361"/>
      <c r="AA10" s="361"/>
      <c r="AB10" s="361"/>
      <c r="AC10" s="370"/>
      <c r="AD10" s="395"/>
      <c r="AE10" s="361"/>
      <c r="AF10" s="361"/>
      <c r="AG10" s="361"/>
      <c r="AH10" s="370"/>
      <c r="AI10" s="367"/>
      <c r="AJ10" s="361"/>
      <c r="AK10" s="361"/>
      <c r="AL10" s="361"/>
      <c r="AM10" s="380"/>
      <c r="AN10" s="11"/>
      <c r="AO10" s="11"/>
      <c r="AP10" s="11"/>
      <c r="AQ10" s="11"/>
      <c r="AR10" s="11"/>
    </row>
    <row r="11" spans="2:65" ht="38.25" customHeight="1" x14ac:dyDescent="0.25">
      <c r="B11" s="66" t="s">
        <v>287</v>
      </c>
      <c r="C11" s="67">
        <f>'Category Detail (2017)'!B50</f>
        <v>20000</v>
      </c>
      <c r="D11" s="67">
        <f>'Category Detail (2017)'!C50</f>
        <v>115000</v>
      </c>
      <c r="E11" s="67">
        <f>'Category Detail (2017)'!D50</f>
        <v>0</v>
      </c>
      <c r="F11" s="68">
        <f>'Category Detail (2017)'!E50</f>
        <v>135000</v>
      </c>
      <c r="G11" s="69">
        <f>'Category Detail (2017)'!F50</f>
        <v>17000</v>
      </c>
      <c r="H11" s="198">
        <f t="shared" si="2"/>
        <v>7.5427422058330543E-2</v>
      </c>
      <c r="I11" s="63"/>
      <c r="J11" s="67">
        <v>15000</v>
      </c>
      <c r="K11" s="67">
        <v>135000</v>
      </c>
      <c r="L11" s="67">
        <v>0</v>
      </c>
      <c r="M11" s="68">
        <v>150000</v>
      </c>
      <c r="N11" s="69">
        <v>9000</v>
      </c>
      <c r="O11" s="70">
        <f t="shared" si="0"/>
        <v>9.0198436560432957E-2</v>
      </c>
      <c r="P11" s="19"/>
      <c r="Q11" s="67">
        <v>12500</v>
      </c>
      <c r="R11" s="67">
        <v>125000</v>
      </c>
      <c r="S11" s="67">
        <v>0</v>
      </c>
      <c r="T11" s="71">
        <v>137500</v>
      </c>
      <c r="U11" s="72">
        <v>4000</v>
      </c>
      <c r="V11" s="70">
        <f t="shared" si="1"/>
        <v>8.3964338055691257E-2</v>
      </c>
      <c r="X11" s="411"/>
      <c r="Y11" s="362"/>
      <c r="Z11" s="362"/>
      <c r="AA11" s="362"/>
      <c r="AB11" s="362"/>
      <c r="AC11" s="371"/>
      <c r="AD11" s="396"/>
      <c r="AE11" s="362"/>
      <c r="AF11" s="362"/>
      <c r="AG11" s="362"/>
      <c r="AH11" s="371"/>
      <c r="AI11" s="368"/>
      <c r="AJ11" s="362"/>
      <c r="AK11" s="362"/>
      <c r="AL11" s="362"/>
      <c r="AM11" s="381"/>
      <c r="AN11" s="11"/>
      <c r="AO11" s="11"/>
      <c r="AP11" s="11"/>
      <c r="AQ11" s="11"/>
      <c r="AR11" s="11"/>
    </row>
    <row r="12" spans="2:65" ht="38.25" customHeight="1" x14ac:dyDescent="0.25">
      <c r="B12" s="73" t="s">
        <v>48</v>
      </c>
      <c r="C12" s="194">
        <f>'Category Detail (2017)'!B56</f>
        <v>70000</v>
      </c>
      <c r="D12" s="194">
        <f>'Category Detail (2017)'!C56</f>
        <v>10000</v>
      </c>
      <c r="E12" s="194">
        <f>'Category Detail (2017)'!D56</f>
        <v>0</v>
      </c>
      <c r="F12" s="195">
        <f>'Category Detail (2017)'!E56</f>
        <v>80000</v>
      </c>
      <c r="G12" s="74">
        <f>'Category Detail (2017)'!F56</f>
        <v>35000</v>
      </c>
      <c r="H12" s="199">
        <f t="shared" si="2"/>
        <v>4.4697731590121803E-2</v>
      </c>
      <c r="I12" s="203"/>
      <c r="J12" s="194">
        <v>60000</v>
      </c>
      <c r="K12" s="194">
        <v>20000</v>
      </c>
      <c r="L12" s="194">
        <v>0</v>
      </c>
      <c r="M12" s="195">
        <v>80000</v>
      </c>
      <c r="N12" s="74">
        <v>18000</v>
      </c>
      <c r="O12" s="75">
        <f t="shared" si="0"/>
        <v>4.810583283223091E-2</v>
      </c>
      <c r="P12" s="19"/>
      <c r="Q12" s="194">
        <v>20000</v>
      </c>
      <c r="R12" s="194">
        <v>20000</v>
      </c>
      <c r="S12" s="194">
        <v>0</v>
      </c>
      <c r="T12" s="76">
        <v>40000</v>
      </c>
      <c r="U12" s="196">
        <v>55000</v>
      </c>
      <c r="V12" s="75">
        <f t="shared" si="1"/>
        <v>2.4425989252564728E-2</v>
      </c>
      <c r="X12" s="412" t="s">
        <v>173</v>
      </c>
      <c r="Y12" s="388">
        <f>SUM(Q12:Q14)</f>
        <v>175100</v>
      </c>
      <c r="Z12" s="388">
        <f>SUM(R12:R14)</f>
        <v>20000</v>
      </c>
      <c r="AA12" s="388">
        <f>SUM(S12:S14)</f>
        <v>125000</v>
      </c>
      <c r="AB12" s="388">
        <f>SUM(T12:T14)</f>
        <v>320100</v>
      </c>
      <c r="AC12" s="391">
        <f>AB12/$AB$15</f>
        <v>0.19546897899364923</v>
      </c>
      <c r="AD12" s="385">
        <f>SUM(J12:J14)</f>
        <v>237500</v>
      </c>
      <c r="AE12" s="388">
        <f>SUM(K12:K14)</f>
        <v>85000</v>
      </c>
      <c r="AF12" s="388">
        <f>SUM(L12:L14)</f>
        <v>135000</v>
      </c>
      <c r="AG12" s="388">
        <f>SUM(M12:M14)</f>
        <v>457500</v>
      </c>
      <c r="AH12" s="391">
        <f>AG12/$AG$15</f>
        <v>0.27510523150932048</v>
      </c>
      <c r="AI12" s="397">
        <f>SUM(C12:C14)</f>
        <v>239300</v>
      </c>
      <c r="AJ12" s="388">
        <f>SUM(D12:D14)</f>
        <v>90000</v>
      </c>
      <c r="AK12" s="388">
        <f>SUM(E12:E14)</f>
        <v>147000</v>
      </c>
      <c r="AL12" s="388">
        <f>SUM(F12:F14)</f>
        <v>476300</v>
      </c>
      <c r="AM12" s="382">
        <f>AL12/$AL$15</f>
        <v>0.26611911945468769</v>
      </c>
      <c r="AN12" s="11"/>
      <c r="AO12" s="11"/>
      <c r="AP12" s="11"/>
      <c r="AQ12" s="11"/>
      <c r="AR12" s="11"/>
    </row>
    <row r="13" spans="2:65" ht="38.25" customHeight="1" x14ac:dyDescent="0.25">
      <c r="B13" s="73" t="s">
        <v>19</v>
      </c>
      <c r="C13" s="194">
        <f>'Category Detail (2017)'!B63</f>
        <v>165000</v>
      </c>
      <c r="D13" s="194">
        <f>'Category Detail (2017)'!C63</f>
        <v>75000</v>
      </c>
      <c r="E13" s="194">
        <f>'Category Detail (2017)'!D63</f>
        <v>0</v>
      </c>
      <c r="F13" s="195">
        <f>'Category Detail (2017)'!E63</f>
        <v>240000</v>
      </c>
      <c r="G13" s="74">
        <f>'Category Detail (2017)'!F63</f>
        <v>10000</v>
      </c>
      <c r="H13" s="199">
        <f t="shared" si="2"/>
        <v>0.13409319477036541</v>
      </c>
      <c r="I13" s="63"/>
      <c r="J13" s="194">
        <v>169200</v>
      </c>
      <c r="K13" s="194">
        <v>65000</v>
      </c>
      <c r="L13" s="194">
        <v>0</v>
      </c>
      <c r="M13" s="195">
        <v>234200</v>
      </c>
      <c r="N13" s="74">
        <v>25000</v>
      </c>
      <c r="O13" s="75">
        <f t="shared" si="0"/>
        <v>0.14082982561635599</v>
      </c>
      <c r="P13" s="19"/>
      <c r="Q13" s="194">
        <v>146800</v>
      </c>
      <c r="R13" s="194">
        <v>0</v>
      </c>
      <c r="S13" s="194">
        <v>0</v>
      </c>
      <c r="T13" s="76">
        <v>146800</v>
      </c>
      <c r="U13" s="196">
        <v>5000</v>
      </c>
      <c r="V13" s="75">
        <f t="shared" si="1"/>
        <v>8.9643380556912552E-2</v>
      </c>
      <c r="X13" s="413"/>
      <c r="Y13" s="389"/>
      <c r="Z13" s="389"/>
      <c r="AA13" s="389"/>
      <c r="AB13" s="389"/>
      <c r="AC13" s="392"/>
      <c r="AD13" s="386"/>
      <c r="AE13" s="389"/>
      <c r="AF13" s="389"/>
      <c r="AG13" s="389"/>
      <c r="AH13" s="392"/>
      <c r="AI13" s="398"/>
      <c r="AJ13" s="389"/>
      <c r="AK13" s="389"/>
      <c r="AL13" s="389"/>
      <c r="AM13" s="383"/>
      <c r="AN13" s="11"/>
      <c r="AO13" s="11"/>
      <c r="AP13" s="11"/>
      <c r="AQ13" s="11"/>
      <c r="AR13" s="11"/>
    </row>
    <row r="14" spans="2:65" ht="38.25" customHeight="1" x14ac:dyDescent="0.25">
      <c r="B14" s="73" t="s">
        <v>51</v>
      </c>
      <c r="C14" s="194">
        <f>'Category Detail (2017)'!B74</f>
        <v>4300</v>
      </c>
      <c r="D14" s="194">
        <f>'Category Detail (2017)'!C74</f>
        <v>5000</v>
      </c>
      <c r="E14" s="194">
        <f>'Category Detail (2017)'!D74</f>
        <v>147000</v>
      </c>
      <c r="F14" s="195">
        <f>'Category Detail (2017)'!E74</f>
        <v>156300</v>
      </c>
      <c r="G14" s="74">
        <f>'Category Detail (2017)'!F74</f>
        <v>99000</v>
      </c>
      <c r="H14" s="199">
        <f t="shared" si="2"/>
        <v>8.7328193094200465E-2</v>
      </c>
      <c r="I14" s="63"/>
      <c r="J14" s="194">
        <v>8300</v>
      </c>
      <c r="K14" s="194">
        <v>0</v>
      </c>
      <c r="L14" s="194">
        <v>135000</v>
      </c>
      <c r="M14" s="195">
        <v>143300</v>
      </c>
      <c r="N14" s="74">
        <v>77500</v>
      </c>
      <c r="O14" s="75">
        <f t="shared" si="0"/>
        <v>8.6169573060733612E-2</v>
      </c>
      <c r="P14" s="19"/>
      <c r="Q14" s="194">
        <v>8300</v>
      </c>
      <c r="R14" s="194">
        <v>0</v>
      </c>
      <c r="S14" s="194">
        <v>125000</v>
      </c>
      <c r="T14" s="76">
        <v>133300</v>
      </c>
      <c r="U14" s="196">
        <v>87000</v>
      </c>
      <c r="V14" s="75">
        <f t="shared" si="1"/>
        <v>8.1399609184171953E-2</v>
      </c>
      <c r="X14" s="414"/>
      <c r="Y14" s="390"/>
      <c r="Z14" s="390"/>
      <c r="AA14" s="390"/>
      <c r="AB14" s="390"/>
      <c r="AC14" s="393"/>
      <c r="AD14" s="387"/>
      <c r="AE14" s="390"/>
      <c r="AF14" s="390"/>
      <c r="AG14" s="390"/>
      <c r="AH14" s="393"/>
      <c r="AI14" s="399"/>
      <c r="AJ14" s="390"/>
      <c r="AK14" s="390"/>
      <c r="AL14" s="390"/>
      <c r="AM14" s="384"/>
      <c r="AN14" s="11"/>
      <c r="AO14" s="11"/>
      <c r="AP14" s="11"/>
      <c r="AQ14" s="11"/>
      <c r="AR14" s="11"/>
    </row>
    <row r="15" spans="2:65" ht="38.25" customHeight="1" x14ac:dyDescent="0.25">
      <c r="B15" s="77" t="s">
        <v>20</v>
      </c>
      <c r="C15" s="78">
        <f>SUM(C6:C14)</f>
        <v>480300</v>
      </c>
      <c r="D15" s="78">
        <f t="shared" ref="D15:G15" si="3">SUM(D6:D14)</f>
        <v>1162500</v>
      </c>
      <c r="E15" s="78">
        <f t="shared" si="3"/>
        <v>147000</v>
      </c>
      <c r="F15" s="79">
        <f t="shared" si="3"/>
        <v>1789800</v>
      </c>
      <c r="G15" s="80">
        <f t="shared" si="3"/>
        <v>204200</v>
      </c>
      <c r="H15" s="81">
        <f>SUM(H6:H14)</f>
        <v>0.99999999999999989</v>
      </c>
      <c r="I15" s="63"/>
      <c r="J15" s="78">
        <f t="shared" ref="J15:O15" si="4">SUM(J6:J14)</f>
        <v>508000</v>
      </c>
      <c r="K15" s="78">
        <f t="shared" si="4"/>
        <v>1020000</v>
      </c>
      <c r="L15" s="78">
        <f t="shared" si="4"/>
        <v>135000</v>
      </c>
      <c r="M15" s="82">
        <f t="shared" si="4"/>
        <v>1663000</v>
      </c>
      <c r="N15" s="83">
        <f t="shared" si="4"/>
        <v>148100</v>
      </c>
      <c r="O15" s="81">
        <f t="shared" si="4"/>
        <v>0.99999999999999989</v>
      </c>
      <c r="P15" s="19"/>
      <c r="Q15" s="78">
        <f t="shared" ref="Q15:V15" si="5">SUM(Q6:Q14)</f>
        <v>425600</v>
      </c>
      <c r="R15" s="78">
        <f t="shared" si="5"/>
        <v>1087000</v>
      </c>
      <c r="S15" s="78">
        <f t="shared" si="5"/>
        <v>125000</v>
      </c>
      <c r="T15" s="82">
        <f t="shared" si="5"/>
        <v>1637600</v>
      </c>
      <c r="U15" s="83">
        <f t="shared" si="5"/>
        <v>201600</v>
      </c>
      <c r="V15" s="81">
        <f t="shared" si="5"/>
        <v>1</v>
      </c>
      <c r="X15" s="87" t="s">
        <v>20</v>
      </c>
      <c r="Y15" s="78">
        <f>SUM(Y6:Y14)</f>
        <v>425600</v>
      </c>
      <c r="Z15" s="78">
        <f t="shared" ref="Z15:AB15" si="6">SUM(Z6:Z14)</f>
        <v>1087000</v>
      </c>
      <c r="AA15" s="78">
        <f t="shared" si="6"/>
        <v>125000</v>
      </c>
      <c r="AB15" s="79">
        <f t="shared" si="6"/>
        <v>1637600</v>
      </c>
      <c r="AC15" s="201">
        <f>SUM(AC6:AC14)</f>
        <v>1</v>
      </c>
      <c r="AD15" s="83">
        <f t="shared" ref="AD15:AG15" si="7">SUM(AD6:AD14)</f>
        <v>508000</v>
      </c>
      <c r="AE15" s="78">
        <f t="shared" si="7"/>
        <v>1020000</v>
      </c>
      <c r="AF15" s="78">
        <f t="shared" si="7"/>
        <v>135000</v>
      </c>
      <c r="AG15" s="78">
        <f t="shared" si="7"/>
        <v>1663000</v>
      </c>
      <c r="AH15" s="81">
        <f>SUM(AH6:AH14)</f>
        <v>1</v>
      </c>
      <c r="AI15" s="191">
        <f t="shared" ref="AI15:AL15" si="8">SUM(AI6:AI14)</f>
        <v>480300</v>
      </c>
      <c r="AJ15" s="78">
        <f t="shared" si="8"/>
        <v>1162500</v>
      </c>
      <c r="AK15" s="78">
        <f t="shared" si="8"/>
        <v>147000</v>
      </c>
      <c r="AL15" s="78">
        <f t="shared" si="8"/>
        <v>1789800</v>
      </c>
      <c r="AM15" s="81">
        <f>SUM(AM6:AM14)</f>
        <v>1</v>
      </c>
      <c r="AN15" s="11"/>
      <c r="AO15" s="11"/>
      <c r="AP15" s="11"/>
      <c r="AQ15" s="11"/>
      <c r="AR15" s="11"/>
    </row>
    <row r="16" spans="2:65" x14ac:dyDescent="0.25">
      <c r="F16" s="202"/>
      <c r="J16" s="202"/>
      <c r="K16" s="202"/>
      <c r="L16" s="8"/>
      <c r="R16" s="8"/>
      <c r="S16" s="8"/>
      <c r="AO16" s="11"/>
      <c r="AP16" s="11"/>
      <c r="AQ16" s="11"/>
      <c r="AR16" s="11"/>
      <c r="BM16" s="200"/>
    </row>
    <row r="20" spans="16:16" x14ac:dyDescent="0.25">
      <c r="P20" s="202"/>
    </row>
    <row r="122" spans="15:19" x14ac:dyDescent="0.25">
      <c r="P122">
        <v>2015</v>
      </c>
      <c r="Q122">
        <v>2016</v>
      </c>
      <c r="R122">
        <v>2017</v>
      </c>
    </row>
    <row r="123" spans="15:19" x14ac:dyDescent="0.25">
      <c r="O123" s="223" t="s">
        <v>174</v>
      </c>
      <c r="P123" s="202">
        <f>Q15</f>
        <v>425600</v>
      </c>
      <c r="Q123" s="202">
        <f>J15</f>
        <v>508000</v>
      </c>
      <c r="R123" s="202">
        <f>C15</f>
        <v>480300</v>
      </c>
      <c r="S123" s="202"/>
    </row>
    <row r="124" spans="15:19" x14ac:dyDescent="0.25">
      <c r="P124">
        <v>2014</v>
      </c>
      <c r="Q124">
        <v>2015</v>
      </c>
      <c r="R124">
        <v>2016</v>
      </c>
    </row>
    <row r="125" spans="15:19" x14ac:dyDescent="0.25">
      <c r="O125" s="223" t="s">
        <v>256</v>
      </c>
      <c r="P125" s="202">
        <f>R15</f>
        <v>1087000</v>
      </c>
      <c r="Q125" s="202">
        <f>L15+K15</f>
        <v>1155000</v>
      </c>
      <c r="R125" s="202">
        <f>D15+E15</f>
        <v>1309500</v>
      </c>
      <c r="S125" s="202"/>
    </row>
  </sheetData>
  <mergeCells count="56">
    <mergeCell ref="X12:X14"/>
    <mergeCell ref="Y12:Y14"/>
    <mergeCell ref="Z12:Z14"/>
    <mergeCell ref="AB12:AB14"/>
    <mergeCell ref="AC12:AC14"/>
    <mergeCell ref="AA12:AA14"/>
    <mergeCell ref="X9:X11"/>
    <mergeCell ref="Y9:Y11"/>
    <mergeCell ref="Z9:Z11"/>
    <mergeCell ref="AB9:AB11"/>
    <mergeCell ref="AC9:AC11"/>
    <mergeCell ref="AM6:AM8"/>
    <mergeCell ref="AI6:AI8"/>
    <mergeCell ref="AJ6:AJ8"/>
    <mergeCell ref="AL6:AL8"/>
    <mergeCell ref="AD6:AD8"/>
    <mergeCell ref="AF6:AF8"/>
    <mergeCell ref="AM9:AM11"/>
    <mergeCell ref="AM12:AM14"/>
    <mergeCell ref="AJ9:AJ11"/>
    <mergeCell ref="AD12:AD14"/>
    <mergeCell ref="AE12:AE14"/>
    <mergeCell ref="AG12:AG14"/>
    <mergeCell ref="AH12:AH14"/>
    <mergeCell ref="AF12:AF14"/>
    <mergeCell ref="AD9:AD11"/>
    <mergeCell ref="AL12:AL14"/>
    <mergeCell ref="AL9:AL11"/>
    <mergeCell ref="AI12:AI14"/>
    <mergeCell ref="AJ12:AJ14"/>
    <mergeCell ref="AK12:AK14"/>
    <mergeCell ref="X6:X8"/>
    <mergeCell ref="Y6:Y8"/>
    <mergeCell ref="Z6:Z8"/>
    <mergeCell ref="AB6:AB8"/>
    <mergeCell ref="AC6:AC8"/>
    <mergeCell ref="AA6:AA8"/>
    <mergeCell ref="C4:G4"/>
    <mergeCell ref="J4:N4"/>
    <mergeCell ref="J3:N3"/>
    <mergeCell ref="Q4:U4"/>
    <mergeCell ref="Q3:U3"/>
    <mergeCell ref="AI4:AL4"/>
    <mergeCell ref="AD4:AH4"/>
    <mergeCell ref="Y4:AC4"/>
    <mergeCell ref="AK6:AK8"/>
    <mergeCell ref="AK9:AK11"/>
    <mergeCell ref="AE6:AE8"/>
    <mergeCell ref="AG6:AG8"/>
    <mergeCell ref="AH6:AH8"/>
    <mergeCell ref="AI9:AI11"/>
    <mergeCell ref="AF9:AF11"/>
    <mergeCell ref="AG9:AG11"/>
    <mergeCell ref="AH9:AH11"/>
    <mergeCell ref="AA9:AA11"/>
    <mergeCell ref="AE9:AE11"/>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topLeftCell="A7" zoomScale="80" zoomScaleNormal="80" workbookViewId="0">
      <pane ySplit="2" topLeftCell="A19" activePane="bottomLeft" state="frozen"/>
      <selection activeCell="A7" sqref="A7"/>
      <selection pane="bottomLeft" activeCell="E56" sqref="E56"/>
    </sheetView>
  </sheetViews>
  <sheetFormatPr defaultColWidth="8.85546875" defaultRowHeight="15.75" x14ac:dyDescent="0.2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10.28515625" style="19" customWidth="1"/>
    <col min="13" max="13" width="180.28515625" style="19" bestFit="1" customWidth="1"/>
    <col min="14" max="14" width="8.85546875" style="30"/>
    <col min="15" max="16384" width="8.85546875" style="19"/>
  </cols>
  <sheetData>
    <row r="1" spans="1:26" x14ac:dyDescent="0.25">
      <c r="A1" s="19" t="s">
        <v>234</v>
      </c>
    </row>
    <row r="2" spans="1:26" x14ac:dyDescent="0.25">
      <c r="A2" s="31" t="str">
        <f>'Table of Contents'!B2</f>
        <v>PROPOSED Work Plan (September 8, 2016)</v>
      </c>
    </row>
    <row r="3" spans="1:26" x14ac:dyDescent="0.25">
      <c r="A3" s="32"/>
    </row>
    <row r="4" spans="1:26" x14ac:dyDescent="0.25">
      <c r="A4" s="19" t="s">
        <v>104</v>
      </c>
    </row>
    <row r="5" spans="1:26" x14ac:dyDescent="0.25">
      <c r="A5" s="19" t="s">
        <v>105</v>
      </c>
    </row>
    <row r="7" spans="1:26" ht="29.25" customHeight="1" x14ac:dyDescent="0.25">
      <c r="E7" s="12">
        <f>E77</f>
        <v>1789800</v>
      </c>
      <c r="F7" s="93">
        <f>'Funding Shares'!E20</f>
        <v>1789800</v>
      </c>
      <c r="G7" s="93">
        <f>F7-E7</f>
        <v>0</v>
      </c>
      <c r="H7" s="415" t="s">
        <v>103</v>
      </c>
      <c r="I7" s="416"/>
      <c r="J7" s="416"/>
      <c r="K7" s="416"/>
      <c r="L7" s="417"/>
    </row>
    <row r="8" spans="1:26" s="37" customFormat="1" ht="63" x14ac:dyDescent="0.25">
      <c r="A8" s="33" t="s">
        <v>155</v>
      </c>
      <c r="B8" s="34" t="s">
        <v>174</v>
      </c>
      <c r="C8" s="286" t="s">
        <v>235</v>
      </c>
      <c r="D8" s="286" t="s">
        <v>176</v>
      </c>
      <c r="E8" s="34" t="s">
        <v>147</v>
      </c>
      <c r="F8" s="34" t="s">
        <v>146</v>
      </c>
      <c r="G8" s="34" t="s">
        <v>167</v>
      </c>
      <c r="H8" s="94" t="s">
        <v>70</v>
      </c>
      <c r="I8" s="94" t="s">
        <v>71</v>
      </c>
      <c r="J8" s="94" t="s">
        <v>237</v>
      </c>
      <c r="K8" s="94" t="s">
        <v>236</v>
      </c>
      <c r="L8" s="94" t="s">
        <v>27</v>
      </c>
      <c r="M8" s="13" t="s">
        <v>109</v>
      </c>
      <c r="N8" s="36"/>
    </row>
    <row r="9" spans="1:26" s="37" customFormat="1" x14ac:dyDescent="0.25">
      <c r="A9" s="14" t="s">
        <v>52</v>
      </c>
      <c r="B9" s="15"/>
      <c r="C9" s="15"/>
      <c r="D9" s="15"/>
      <c r="E9" s="15"/>
      <c r="F9" s="15"/>
      <c r="G9" s="18"/>
      <c r="H9" s="275"/>
      <c r="I9" s="276"/>
      <c r="J9" s="275"/>
      <c r="K9" s="275"/>
      <c r="L9" s="275"/>
      <c r="M9" s="18"/>
      <c r="N9" s="38"/>
      <c r="O9" s="18"/>
      <c r="P9" s="18"/>
      <c r="Q9" s="18"/>
      <c r="R9" s="18"/>
      <c r="S9" s="18"/>
      <c r="T9" s="18"/>
      <c r="U9" s="18"/>
      <c r="V9" s="18"/>
      <c r="W9" s="18"/>
      <c r="X9" s="18"/>
      <c r="Y9" s="18"/>
      <c r="Z9" s="18"/>
    </row>
    <row r="10" spans="1:26" s="37" customFormat="1" x14ac:dyDescent="0.25">
      <c r="A10" s="16" t="s">
        <v>317</v>
      </c>
      <c r="B10" s="40">
        <f>H10*I10</f>
        <v>0</v>
      </c>
      <c r="C10" s="40">
        <f t="shared" ref="C10:C15" si="0">H10*J10</f>
        <v>120000</v>
      </c>
      <c r="D10" s="40">
        <f>H10*K10</f>
        <v>0</v>
      </c>
      <c r="E10" s="40">
        <f>SUM(B10:D10)</f>
        <v>120000</v>
      </c>
      <c r="F10" s="40">
        <f>H10*L10</f>
        <v>3600</v>
      </c>
      <c r="G10" s="204"/>
      <c r="H10" s="277">
        <v>12</v>
      </c>
      <c r="I10" s="276">
        <v>0</v>
      </c>
      <c r="J10" s="278">
        <v>10000</v>
      </c>
      <c r="K10" s="278">
        <v>0</v>
      </c>
      <c r="L10" s="278">
        <v>300</v>
      </c>
      <c r="M10" s="17" t="s">
        <v>348</v>
      </c>
      <c r="N10" s="38"/>
      <c r="O10" s="18"/>
      <c r="P10" s="18"/>
      <c r="Q10" s="18"/>
      <c r="R10" s="18"/>
      <c r="S10" s="18"/>
      <c r="T10" s="18"/>
      <c r="U10" s="18"/>
      <c r="V10" s="18"/>
      <c r="W10" s="18"/>
      <c r="X10" s="18"/>
      <c r="Y10" s="18"/>
      <c r="Z10" s="18"/>
    </row>
    <row r="11" spans="1:26" s="37" customFormat="1" x14ac:dyDescent="0.25">
      <c r="A11" s="16" t="s">
        <v>318</v>
      </c>
      <c r="B11" s="40">
        <f>H11*I11</f>
        <v>0</v>
      </c>
      <c r="C11" s="40">
        <f t="shared" ref="C11" si="1">H11*J11</f>
        <v>125000</v>
      </c>
      <c r="D11" s="40">
        <f>H11*K11</f>
        <v>0</v>
      </c>
      <c r="E11" s="40">
        <f>SUM(B11:D11)</f>
        <v>125000</v>
      </c>
      <c r="F11" s="40">
        <f>H11*L11</f>
        <v>5000</v>
      </c>
      <c r="G11" s="204"/>
      <c r="H11" s="277">
        <v>5</v>
      </c>
      <c r="I11" s="276">
        <v>0</v>
      </c>
      <c r="J11" s="278">
        <v>25000</v>
      </c>
      <c r="K11" s="278">
        <v>0</v>
      </c>
      <c r="L11" s="278">
        <v>1000</v>
      </c>
      <c r="M11" s="17" t="s">
        <v>329</v>
      </c>
      <c r="N11" s="38"/>
      <c r="O11" s="18"/>
      <c r="P11" s="18"/>
      <c r="Q11" s="18"/>
      <c r="R11" s="18"/>
      <c r="S11" s="18"/>
      <c r="T11" s="18"/>
      <c r="U11" s="18"/>
      <c r="V11" s="18"/>
      <c r="W11" s="18"/>
      <c r="X11" s="18"/>
      <c r="Y11" s="18"/>
      <c r="Z11" s="18"/>
    </row>
    <row r="12" spans="1:26" s="37" customFormat="1" x14ac:dyDescent="0.25">
      <c r="A12" s="16" t="s">
        <v>181</v>
      </c>
      <c r="B12" s="40">
        <f t="shared" ref="B12" si="2">H12*I12</f>
        <v>0</v>
      </c>
      <c r="C12" s="40">
        <f t="shared" ref="C12:C13" si="3">H12*J12</f>
        <v>20000</v>
      </c>
      <c r="D12" s="40">
        <f t="shared" ref="D12" si="4">H12*K12</f>
        <v>0</v>
      </c>
      <c r="E12" s="40">
        <f t="shared" ref="E12" si="5">SUM(B12:D12)</f>
        <v>20000</v>
      </c>
      <c r="F12" s="40">
        <f t="shared" ref="F12" si="6">H12*L12</f>
        <v>1000</v>
      </c>
      <c r="G12" s="206"/>
      <c r="H12" s="277">
        <v>1</v>
      </c>
      <c r="I12" s="276">
        <v>0</v>
      </c>
      <c r="J12" s="278">
        <v>20000</v>
      </c>
      <c r="K12" s="278">
        <v>0</v>
      </c>
      <c r="L12" s="278">
        <v>1000</v>
      </c>
      <c r="M12" s="17" t="s">
        <v>319</v>
      </c>
      <c r="N12" s="38"/>
      <c r="O12" s="18"/>
      <c r="P12" s="18"/>
      <c r="Q12" s="18"/>
      <c r="R12" s="18"/>
      <c r="S12" s="18"/>
      <c r="T12" s="18"/>
      <c r="U12" s="18"/>
      <c r="V12" s="18"/>
      <c r="W12" s="18"/>
      <c r="X12" s="18"/>
      <c r="Y12" s="18"/>
      <c r="Z12" s="18"/>
    </row>
    <row r="13" spans="1:26" s="37" customFormat="1" x14ac:dyDescent="0.25">
      <c r="A13" s="17" t="s">
        <v>320</v>
      </c>
      <c r="B13" s="40">
        <f>H13*I13</f>
        <v>0</v>
      </c>
      <c r="C13" s="40">
        <f t="shared" si="3"/>
        <v>60000</v>
      </c>
      <c r="D13" s="40">
        <v>0</v>
      </c>
      <c r="E13" s="40">
        <f t="shared" ref="E13:E15" si="7">SUM(B13:D13)</f>
        <v>60000</v>
      </c>
      <c r="F13" s="40">
        <v>1200</v>
      </c>
      <c r="G13" s="204"/>
      <c r="H13" s="337">
        <v>1</v>
      </c>
      <c r="I13" s="276">
        <v>0</v>
      </c>
      <c r="J13" s="278">
        <v>60000</v>
      </c>
      <c r="K13" s="278">
        <v>0</v>
      </c>
      <c r="L13" s="278">
        <v>300</v>
      </c>
      <c r="M13" s="17" t="s">
        <v>349</v>
      </c>
      <c r="N13" s="39"/>
      <c r="O13" s="18"/>
      <c r="P13" s="18"/>
      <c r="Q13" s="18"/>
      <c r="R13" s="18"/>
      <c r="S13" s="18"/>
      <c r="T13" s="18"/>
      <c r="U13" s="18"/>
      <c r="V13" s="18"/>
      <c r="W13" s="18"/>
      <c r="X13" s="18"/>
      <c r="Y13" s="18"/>
      <c r="Z13" s="18"/>
    </row>
    <row r="14" spans="1:26" s="37" customFormat="1" x14ac:dyDescent="0.25">
      <c r="A14" s="17" t="s">
        <v>321</v>
      </c>
      <c r="B14" s="40">
        <f>H14*I14</f>
        <v>0</v>
      </c>
      <c r="C14" s="40">
        <f t="shared" si="0"/>
        <v>20000</v>
      </c>
      <c r="D14" s="40">
        <f>H14*K14</f>
        <v>0</v>
      </c>
      <c r="E14" s="40">
        <f t="shared" si="7"/>
        <v>20000</v>
      </c>
      <c r="F14" s="40">
        <f>H14*L14</f>
        <v>2000</v>
      </c>
      <c r="G14" s="204"/>
      <c r="H14" s="277">
        <v>2</v>
      </c>
      <c r="I14" s="276">
        <v>0</v>
      </c>
      <c r="J14" s="278">
        <v>10000</v>
      </c>
      <c r="K14" s="278">
        <v>0</v>
      </c>
      <c r="L14" s="278">
        <v>1000</v>
      </c>
      <c r="M14" s="17" t="s">
        <v>350</v>
      </c>
      <c r="N14" s="39"/>
      <c r="O14" s="18"/>
      <c r="P14" s="18"/>
      <c r="Q14" s="18"/>
      <c r="R14" s="18"/>
      <c r="S14" s="18"/>
      <c r="T14" s="18"/>
      <c r="U14" s="18"/>
      <c r="V14" s="18"/>
      <c r="W14" s="18"/>
      <c r="X14" s="18"/>
      <c r="Y14" s="18"/>
      <c r="Z14" s="18"/>
    </row>
    <row r="15" spans="1:26" s="37" customFormat="1" x14ac:dyDescent="0.25">
      <c r="A15" s="17" t="s">
        <v>283</v>
      </c>
      <c r="B15" s="40">
        <f t="shared" ref="B15" si="8">H15*I15</f>
        <v>48000</v>
      </c>
      <c r="C15" s="40">
        <f t="shared" si="0"/>
        <v>0</v>
      </c>
      <c r="D15" s="40">
        <f t="shared" ref="D15" si="9">H15*K15</f>
        <v>0</v>
      </c>
      <c r="E15" s="40">
        <f t="shared" si="7"/>
        <v>48000</v>
      </c>
      <c r="F15" s="40">
        <f t="shared" ref="F15" si="10">H15*L15</f>
        <v>1200</v>
      </c>
      <c r="G15" s="204"/>
      <c r="H15" s="277">
        <v>12</v>
      </c>
      <c r="I15" s="276">
        <v>4000</v>
      </c>
      <c r="J15" s="278">
        <v>0</v>
      </c>
      <c r="K15" s="278">
        <v>0</v>
      </c>
      <c r="L15" s="278">
        <v>100</v>
      </c>
      <c r="M15" s="17" t="s">
        <v>354</v>
      </c>
      <c r="N15" s="39"/>
      <c r="O15" s="18"/>
      <c r="P15" s="18"/>
      <c r="Q15" s="18"/>
      <c r="R15" s="18"/>
      <c r="S15" s="18"/>
      <c r="T15" s="18"/>
      <c r="U15" s="18"/>
      <c r="V15" s="18"/>
      <c r="W15" s="18"/>
      <c r="X15" s="18"/>
      <c r="Y15" s="18"/>
      <c r="Z15" s="18"/>
    </row>
    <row r="16" spans="1:26" s="37" customFormat="1" x14ac:dyDescent="0.25">
      <c r="A16" s="14" t="str">
        <f>CONCATENATE("Subtotal ",A9)</f>
        <v>Subtotal Existing Measure Review &amp; Updates</v>
      </c>
      <c r="B16" s="207">
        <f>SUM(B10:B15)</f>
        <v>48000</v>
      </c>
      <c r="C16" s="207">
        <f>SUM(C10:C15)</f>
        <v>345000</v>
      </c>
      <c r="D16" s="207">
        <f t="shared" ref="D16:F16" si="11">SUM(D10:D15)</f>
        <v>0</v>
      </c>
      <c r="E16" s="207">
        <f t="shared" si="11"/>
        <v>393000</v>
      </c>
      <c r="F16" s="207">
        <f t="shared" si="11"/>
        <v>14000</v>
      </c>
      <c r="G16" s="208">
        <f>E16/$E$77</f>
        <v>0.21957760643647334</v>
      </c>
      <c r="H16" s="277"/>
      <c r="I16" s="276"/>
      <c r="J16" s="279"/>
      <c r="K16" s="279"/>
      <c r="L16" s="278"/>
      <c r="M16" s="18"/>
      <c r="N16" s="38"/>
      <c r="O16" s="18"/>
      <c r="P16" s="18"/>
      <c r="Q16" s="18"/>
      <c r="R16" s="18"/>
      <c r="S16" s="18"/>
      <c r="T16" s="18"/>
      <c r="U16" s="18"/>
      <c r="V16" s="18"/>
      <c r="W16" s="18"/>
      <c r="X16" s="18"/>
      <c r="Y16" s="18"/>
      <c r="Z16" s="18"/>
    </row>
    <row r="17" spans="1:26" s="37" customFormat="1" x14ac:dyDescent="0.25">
      <c r="A17" s="18"/>
      <c r="B17" s="40"/>
      <c r="C17" s="40"/>
      <c r="D17" s="40"/>
      <c r="E17" s="40"/>
      <c r="F17" s="209"/>
      <c r="G17" s="205"/>
      <c r="H17" s="277"/>
      <c r="I17" s="277"/>
      <c r="J17" s="280"/>
      <c r="K17" s="280"/>
      <c r="L17" s="278"/>
      <c r="M17" s="18"/>
      <c r="N17" s="38"/>
      <c r="O17" s="18"/>
      <c r="P17" s="18"/>
      <c r="Q17" s="18"/>
      <c r="R17" s="18"/>
      <c r="S17" s="18"/>
      <c r="T17" s="18"/>
      <c r="U17" s="18"/>
      <c r="V17" s="18"/>
      <c r="W17" s="18"/>
      <c r="X17" s="18"/>
      <c r="Y17" s="18"/>
      <c r="Z17" s="18"/>
    </row>
    <row r="18" spans="1:26" s="37" customFormat="1" x14ac:dyDescent="0.25">
      <c r="A18" s="18"/>
      <c r="B18" s="40"/>
      <c r="C18" s="40"/>
      <c r="D18" s="40"/>
      <c r="E18" s="40"/>
      <c r="F18" s="209"/>
      <c r="G18" s="205"/>
      <c r="H18" s="277"/>
      <c r="I18" s="277" t="s">
        <v>164</v>
      </c>
      <c r="J18" s="278"/>
      <c r="K18" s="278"/>
      <c r="L18" s="278"/>
      <c r="M18" s="18"/>
      <c r="N18" s="38"/>
      <c r="O18" s="18"/>
      <c r="P18" s="18"/>
      <c r="Q18" s="18"/>
      <c r="R18" s="18"/>
      <c r="S18" s="18"/>
      <c r="T18" s="18"/>
      <c r="U18" s="18"/>
      <c r="V18" s="18"/>
      <c r="W18" s="18"/>
      <c r="X18" s="18"/>
      <c r="Y18" s="18"/>
      <c r="Z18" s="18"/>
    </row>
    <row r="19" spans="1:26" s="37" customFormat="1" x14ac:dyDescent="0.25">
      <c r="A19" s="14" t="s">
        <v>67</v>
      </c>
      <c r="B19" s="40"/>
      <c r="C19" s="40"/>
      <c r="D19" s="40"/>
      <c r="E19" s="40"/>
      <c r="F19" s="209"/>
      <c r="G19" s="205"/>
      <c r="H19" s="277"/>
      <c r="I19" s="276"/>
      <c r="J19" s="278"/>
      <c r="K19" s="278"/>
      <c r="L19" s="278"/>
      <c r="M19" s="18"/>
      <c r="N19" s="38"/>
      <c r="O19" s="18"/>
      <c r="P19" s="18"/>
      <c r="Q19" s="18"/>
      <c r="R19" s="18"/>
      <c r="S19" s="18"/>
      <c r="T19" s="18"/>
      <c r="U19" s="18"/>
      <c r="V19" s="18"/>
      <c r="W19" s="18"/>
      <c r="X19" s="18"/>
      <c r="Y19" s="18"/>
      <c r="Z19" s="18"/>
    </row>
    <row r="20" spans="1:26" s="37" customFormat="1" x14ac:dyDescent="0.25">
      <c r="A20" s="17" t="s">
        <v>154</v>
      </c>
      <c r="B20" s="40">
        <f t="shared" ref="B20:B21" si="12">H20*I20</f>
        <v>0</v>
      </c>
      <c r="C20" s="40">
        <f t="shared" ref="C20:C21" si="13">H20*J20</f>
        <v>40000</v>
      </c>
      <c r="D20" s="40">
        <f>H20*K20</f>
        <v>0</v>
      </c>
      <c r="E20" s="40">
        <f>SUM(B20:D20)</f>
        <v>40000</v>
      </c>
      <c r="F20" s="40">
        <f t="shared" ref="F20:F21" si="14">H20*L20</f>
        <v>5000</v>
      </c>
      <c r="G20" s="204"/>
      <c r="H20" s="277">
        <v>1</v>
      </c>
      <c r="I20" s="276"/>
      <c r="J20" s="278">
        <v>40000</v>
      </c>
      <c r="K20" s="278">
        <v>0</v>
      </c>
      <c r="L20" s="278">
        <v>5000</v>
      </c>
      <c r="M20" s="17" t="s">
        <v>355</v>
      </c>
      <c r="N20" s="41"/>
      <c r="O20" s="18"/>
      <c r="P20" s="18"/>
      <c r="Q20" s="18"/>
      <c r="R20" s="18"/>
      <c r="S20" s="18"/>
      <c r="T20" s="18"/>
      <c r="U20" s="18"/>
      <c r="V20" s="18"/>
      <c r="W20" s="18"/>
      <c r="X20" s="18"/>
      <c r="Y20" s="18"/>
      <c r="Z20" s="18"/>
    </row>
    <row r="21" spans="1:26" s="37" customFormat="1" x14ac:dyDescent="0.25">
      <c r="A21" s="17" t="s">
        <v>183</v>
      </c>
      <c r="B21" s="40">
        <f t="shared" si="12"/>
        <v>0</v>
      </c>
      <c r="C21" s="40">
        <f t="shared" si="13"/>
        <v>87500</v>
      </c>
      <c r="D21" s="40">
        <f>H21*K21</f>
        <v>0</v>
      </c>
      <c r="E21" s="40">
        <f t="shared" ref="E21:E24" si="15">SUM(B21:D21)</f>
        <v>87500</v>
      </c>
      <c r="F21" s="40">
        <f t="shared" si="14"/>
        <v>3500</v>
      </c>
      <c r="G21" s="204"/>
      <c r="H21" s="277">
        <v>7</v>
      </c>
      <c r="I21" s="276">
        <v>0</v>
      </c>
      <c r="J21" s="278">
        <v>12500</v>
      </c>
      <c r="K21" s="278">
        <v>0</v>
      </c>
      <c r="L21" s="278">
        <v>500</v>
      </c>
      <c r="M21" s="17" t="s">
        <v>351</v>
      </c>
      <c r="N21" s="38"/>
      <c r="O21" s="18"/>
      <c r="P21" s="18"/>
      <c r="Q21" s="18"/>
      <c r="R21" s="18"/>
      <c r="S21" s="18"/>
      <c r="T21" s="18"/>
      <c r="U21" s="18"/>
      <c r="V21" s="18"/>
      <c r="W21" s="18"/>
      <c r="X21" s="18"/>
      <c r="Y21" s="18"/>
      <c r="Z21" s="18"/>
    </row>
    <row r="22" spans="1:26" s="37" customFormat="1" x14ac:dyDescent="0.25">
      <c r="A22" s="17" t="s">
        <v>322</v>
      </c>
      <c r="B22" s="40">
        <f t="shared" ref="B22:B24" si="16">H22*I22</f>
        <v>0</v>
      </c>
      <c r="C22" s="40">
        <f t="shared" ref="C22:C24" si="17">H22*J22</f>
        <v>240000</v>
      </c>
      <c r="D22" s="40">
        <f>H22*K22</f>
        <v>0</v>
      </c>
      <c r="E22" s="40">
        <f t="shared" si="15"/>
        <v>240000</v>
      </c>
      <c r="F22" s="40">
        <f t="shared" ref="F22:F24" si="18">H22*L22</f>
        <v>3000</v>
      </c>
      <c r="G22" s="204"/>
      <c r="H22" s="277">
        <v>6</v>
      </c>
      <c r="I22" s="276">
        <v>0</v>
      </c>
      <c r="J22" s="278">
        <v>40000</v>
      </c>
      <c r="K22" s="278">
        <v>0</v>
      </c>
      <c r="L22" s="278">
        <v>500</v>
      </c>
      <c r="M22" s="17" t="s">
        <v>352</v>
      </c>
      <c r="N22" s="38"/>
      <c r="O22" s="18"/>
      <c r="P22" s="18"/>
      <c r="Q22" s="18"/>
      <c r="R22" s="18"/>
      <c r="S22" s="18"/>
      <c r="T22" s="18"/>
      <c r="U22" s="18"/>
      <c r="V22" s="18"/>
      <c r="W22" s="18"/>
      <c r="X22" s="18"/>
      <c r="Y22" s="18"/>
      <c r="Z22" s="18"/>
    </row>
    <row r="23" spans="1:26" s="37" customFormat="1" x14ac:dyDescent="0.25">
      <c r="A23" s="17" t="s">
        <v>337</v>
      </c>
      <c r="B23" s="40">
        <f t="shared" si="16"/>
        <v>20000</v>
      </c>
      <c r="C23" s="40">
        <f t="shared" si="17"/>
        <v>0</v>
      </c>
      <c r="D23" s="40">
        <f>H23*K23</f>
        <v>0</v>
      </c>
      <c r="E23" s="40">
        <f t="shared" si="15"/>
        <v>20000</v>
      </c>
      <c r="F23" s="40">
        <f t="shared" si="18"/>
        <v>0</v>
      </c>
      <c r="G23" s="204"/>
      <c r="H23" s="277">
        <v>1</v>
      </c>
      <c r="I23" s="276">
        <v>20000</v>
      </c>
      <c r="J23" s="278">
        <v>0</v>
      </c>
      <c r="K23" s="278">
        <v>0</v>
      </c>
      <c r="L23" s="278">
        <v>0</v>
      </c>
      <c r="M23" s="17" t="s">
        <v>338</v>
      </c>
      <c r="N23" s="38"/>
      <c r="O23" s="18"/>
      <c r="P23" s="18"/>
      <c r="Q23" s="18"/>
      <c r="R23" s="18"/>
      <c r="S23" s="18"/>
      <c r="T23" s="18"/>
      <c r="U23" s="18"/>
      <c r="V23" s="18"/>
      <c r="W23" s="18"/>
      <c r="X23" s="18"/>
      <c r="Y23" s="18"/>
      <c r="Z23" s="18"/>
    </row>
    <row r="24" spans="1:26" s="37" customFormat="1" x14ac:dyDescent="0.25">
      <c r="A24" s="17" t="s">
        <v>284</v>
      </c>
      <c r="B24" s="40">
        <f t="shared" si="16"/>
        <v>28000</v>
      </c>
      <c r="C24" s="40">
        <f t="shared" si="17"/>
        <v>0</v>
      </c>
      <c r="D24" s="40">
        <f>H24*K24</f>
        <v>0</v>
      </c>
      <c r="E24" s="40">
        <f t="shared" si="15"/>
        <v>28000</v>
      </c>
      <c r="F24" s="40">
        <f t="shared" si="18"/>
        <v>700</v>
      </c>
      <c r="G24" s="204"/>
      <c r="H24" s="277">
        <v>7</v>
      </c>
      <c r="I24" s="276">
        <v>4000</v>
      </c>
      <c r="J24" s="278">
        <v>0</v>
      </c>
      <c r="K24" s="278">
        <v>0</v>
      </c>
      <c r="L24" s="278">
        <v>100</v>
      </c>
      <c r="M24" s="17" t="s">
        <v>323</v>
      </c>
      <c r="N24" s="38"/>
      <c r="O24" s="18"/>
      <c r="P24" s="18"/>
      <c r="Q24" s="18"/>
      <c r="R24" s="18"/>
      <c r="S24" s="18"/>
      <c r="T24" s="18"/>
      <c r="U24" s="18"/>
      <c r="V24" s="18"/>
      <c r="W24" s="18"/>
      <c r="X24" s="18"/>
      <c r="Y24" s="18"/>
      <c r="Z24" s="18"/>
    </row>
    <row r="25" spans="1:26" s="37" customFormat="1" x14ac:dyDescent="0.25">
      <c r="A25" s="14" t="str">
        <f>CONCATENATE("Subtotal ",A19)</f>
        <v>Subtotal New Measure Development &amp; Review of Unsolicited Proposals</v>
      </c>
      <c r="B25" s="207">
        <f>SUM(B20:B24)</f>
        <v>48000</v>
      </c>
      <c r="C25" s="207">
        <f>SUM(C20:C24)</f>
        <v>367500</v>
      </c>
      <c r="D25" s="207">
        <f>SUM(D20:D24)</f>
        <v>0</v>
      </c>
      <c r="E25" s="207">
        <f>SUM(E20:E24)</f>
        <v>415500</v>
      </c>
      <c r="F25" s="207">
        <f>SUM(F20:F24)</f>
        <v>12200</v>
      </c>
      <c r="G25" s="208">
        <f>E25/$E$77</f>
        <v>0.2321488434461951</v>
      </c>
      <c r="H25" s="277"/>
      <c r="I25" s="277"/>
      <c r="J25" s="275"/>
      <c r="K25" s="275"/>
      <c r="L25" s="275"/>
      <c r="M25" s="17"/>
      <c r="N25" s="38"/>
      <c r="O25" s="18"/>
      <c r="P25" s="18"/>
      <c r="Q25" s="18"/>
      <c r="R25" s="18"/>
      <c r="S25" s="18"/>
      <c r="T25" s="18"/>
      <c r="U25" s="18"/>
      <c r="V25" s="18"/>
      <c r="W25" s="18"/>
      <c r="X25" s="18"/>
      <c r="Y25" s="18"/>
      <c r="Z25" s="18"/>
    </row>
    <row r="26" spans="1:26" s="37" customFormat="1" x14ac:dyDescent="0.25">
      <c r="A26" s="14"/>
      <c r="B26" s="40"/>
      <c r="C26" s="40"/>
      <c r="D26" s="40"/>
      <c r="E26" s="40"/>
      <c r="F26" s="209"/>
      <c r="G26" s="205"/>
      <c r="H26" s="277"/>
      <c r="I26" s="277"/>
      <c r="J26" s="275"/>
      <c r="K26" s="275"/>
      <c r="L26" s="275"/>
      <c r="M26" s="17"/>
      <c r="N26" s="38"/>
      <c r="O26" s="18"/>
      <c r="P26" s="18"/>
      <c r="Q26" s="18"/>
      <c r="R26" s="18"/>
      <c r="S26" s="18"/>
      <c r="T26" s="18"/>
      <c r="U26" s="18"/>
      <c r="V26" s="18"/>
      <c r="W26" s="18"/>
      <c r="X26" s="18"/>
      <c r="Y26" s="18"/>
      <c r="Z26" s="18"/>
    </row>
    <row r="27" spans="1:26" s="37" customFormat="1" x14ac:dyDescent="0.25">
      <c r="A27" s="18"/>
      <c r="B27" s="40"/>
      <c r="C27" s="40"/>
      <c r="D27" s="40"/>
      <c r="E27" s="40"/>
      <c r="F27" s="209"/>
      <c r="G27" s="205"/>
      <c r="H27" s="277"/>
      <c r="I27" s="277"/>
      <c r="J27" s="29"/>
      <c r="K27" s="29"/>
      <c r="L27" s="29"/>
      <c r="M27" s="17"/>
      <c r="N27" s="38"/>
      <c r="O27" s="18"/>
      <c r="P27" s="18"/>
      <c r="Q27" s="18"/>
      <c r="R27" s="18"/>
      <c r="S27" s="18"/>
      <c r="T27" s="18"/>
      <c r="U27" s="18"/>
      <c r="V27" s="18"/>
      <c r="W27" s="18"/>
      <c r="X27" s="18"/>
      <c r="Y27" s="18"/>
      <c r="Z27" s="18"/>
    </row>
    <row r="28" spans="1:26" x14ac:dyDescent="0.25">
      <c r="A28" s="14" t="s">
        <v>50</v>
      </c>
      <c r="B28" s="16"/>
      <c r="C28" s="16"/>
      <c r="D28" s="16"/>
      <c r="E28" s="16"/>
      <c r="F28" s="16"/>
      <c r="G28" s="16"/>
      <c r="H28" s="148"/>
      <c r="I28" s="148"/>
      <c r="J28" s="29"/>
      <c r="K28" s="29"/>
      <c r="L28" s="29"/>
      <c r="M28" s="17"/>
      <c r="N28" s="41"/>
      <c r="O28" s="42"/>
      <c r="P28" s="42"/>
      <c r="Q28" s="42"/>
      <c r="R28" s="42"/>
      <c r="S28" s="42"/>
      <c r="T28" s="42"/>
      <c r="U28" s="42"/>
      <c r="V28" s="42"/>
      <c r="W28" s="42"/>
      <c r="X28" s="42"/>
      <c r="Y28" s="42"/>
      <c r="Z28" s="42"/>
    </row>
    <row r="29" spans="1:26" x14ac:dyDescent="0.25">
      <c r="A29" s="17" t="s">
        <v>294</v>
      </c>
      <c r="B29" s="40">
        <v>25000</v>
      </c>
      <c r="C29" s="40">
        <v>45000</v>
      </c>
      <c r="D29" s="40">
        <v>0</v>
      </c>
      <c r="E29" s="40">
        <f>SUM(B29:D29)</f>
        <v>70000</v>
      </c>
      <c r="F29" s="40">
        <v>5000</v>
      </c>
      <c r="G29" s="16"/>
      <c r="H29" s="337" t="s">
        <v>298</v>
      </c>
      <c r="I29" s="276"/>
      <c r="J29" s="278"/>
      <c r="K29" s="278"/>
      <c r="L29" s="278"/>
      <c r="M29" s="17" t="s">
        <v>339</v>
      </c>
      <c r="N29" s="41"/>
      <c r="O29" s="42"/>
      <c r="P29" s="42"/>
      <c r="Q29" s="42"/>
      <c r="R29" s="42"/>
      <c r="S29" s="42"/>
      <c r="T29" s="42"/>
      <c r="U29" s="42"/>
      <c r="V29" s="42"/>
      <c r="W29" s="42"/>
      <c r="X29" s="42"/>
      <c r="Y29" s="42"/>
      <c r="Z29" s="42"/>
    </row>
    <row r="30" spans="1:26" x14ac:dyDescent="0.25">
      <c r="A30" s="17" t="s">
        <v>330</v>
      </c>
      <c r="B30" s="40">
        <v>100000</v>
      </c>
      <c r="C30" s="40">
        <v>15000</v>
      </c>
      <c r="D30" s="40">
        <v>0</v>
      </c>
      <c r="E30" s="40">
        <f t="shared" ref="E30:E32" si="19">SUM(B30:D30)</f>
        <v>115000</v>
      </c>
      <c r="F30" s="40">
        <v>5000</v>
      </c>
      <c r="G30" s="206"/>
      <c r="H30" s="337" t="s">
        <v>298</v>
      </c>
      <c r="I30" s="441"/>
      <c r="J30" s="278"/>
      <c r="K30" s="278"/>
      <c r="L30" s="278"/>
      <c r="M30" s="17" t="s">
        <v>331</v>
      </c>
      <c r="N30" s="41"/>
      <c r="O30" s="42"/>
      <c r="P30" s="42"/>
      <c r="Q30" s="42"/>
      <c r="R30" s="42"/>
      <c r="S30" s="42"/>
      <c r="T30" s="42"/>
      <c r="U30" s="42"/>
      <c r="V30" s="42"/>
      <c r="W30" s="42"/>
      <c r="X30" s="42"/>
      <c r="Y30" s="42"/>
      <c r="Z30" s="42"/>
    </row>
    <row r="31" spans="1:26" x14ac:dyDescent="0.25">
      <c r="A31" s="17" t="s">
        <v>257</v>
      </c>
      <c r="B31" s="40">
        <v>0</v>
      </c>
      <c r="C31" s="40">
        <v>15000</v>
      </c>
      <c r="D31" s="40">
        <v>0</v>
      </c>
      <c r="E31" s="40">
        <f>SUM(B31:D31)</f>
        <v>15000</v>
      </c>
      <c r="F31" s="40">
        <v>2000</v>
      </c>
      <c r="G31" s="16"/>
      <c r="H31" s="337" t="s">
        <v>298</v>
      </c>
      <c r="I31" s="276"/>
      <c r="J31" s="351"/>
      <c r="K31" s="278"/>
      <c r="L31" s="278"/>
      <c r="M31" s="17" t="s">
        <v>332</v>
      </c>
      <c r="N31" s="41"/>
      <c r="O31" s="42"/>
      <c r="P31" s="42"/>
      <c r="Q31" s="42"/>
      <c r="R31" s="42"/>
      <c r="S31" s="42"/>
      <c r="T31" s="42"/>
      <c r="U31" s="42"/>
      <c r="V31" s="42"/>
      <c r="W31" s="42"/>
      <c r="X31" s="42"/>
      <c r="Y31" s="42"/>
      <c r="Z31" s="42"/>
    </row>
    <row r="32" spans="1:26" x14ac:dyDescent="0.25">
      <c r="A32" s="17" t="s">
        <v>289</v>
      </c>
      <c r="B32" s="40">
        <v>0</v>
      </c>
      <c r="C32" s="40">
        <v>150000</v>
      </c>
      <c r="D32" s="40">
        <v>0</v>
      </c>
      <c r="E32" s="40">
        <f t="shared" si="19"/>
        <v>150000</v>
      </c>
      <c r="F32" s="40">
        <v>0</v>
      </c>
      <c r="G32" s="208"/>
      <c r="H32" s="337" t="s">
        <v>298</v>
      </c>
      <c r="I32" s="276"/>
      <c r="J32" s="278"/>
      <c r="K32" s="278"/>
      <c r="L32" s="278"/>
      <c r="M32" s="17" t="s">
        <v>301</v>
      </c>
      <c r="N32" s="41"/>
      <c r="O32" s="42"/>
      <c r="P32" s="42"/>
      <c r="Q32" s="42"/>
      <c r="R32" s="42"/>
      <c r="S32" s="42"/>
      <c r="T32" s="42"/>
      <c r="U32" s="42"/>
      <c r="V32" s="42"/>
      <c r="W32" s="42"/>
      <c r="X32" s="42"/>
      <c r="Y32" s="42"/>
      <c r="Z32" s="42"/>
    </row>
    <row r="33" spans="1:26" x14ac:dyDescent="0.25">
      <c r="A33" s="14" t="str">
        <f>CONCATENATE("Subtotal ",A28)</f>
        <v>Subtotal Standardization of Technical Analysis</v>
      </c>
      <c r="B33" s="207">
        <f>SUM(B29:B32)</f>
        <v>125000</v>
      </c>
      <c r="C33" s="207">
        <f t="shared" ref="C33:F33" si="20">SUM(C29:C32)</f>
        <v>225000</v>
      </c>
      <c r="D33" s="207">
        <f t="shared" si="20"/>
        <v>0</v>
      </c>
      <c r="E33" s="207">
        <f t="shared" si="20"/>
        <v>350000</v>
      </c>
      <c r="F33" s="207">
        <f t="shared" si="20"/>
        <v>12000</v>
      </c>
      <c r="G33" s="208">
        <f>E33/$E$77</f>
        <v>0.19555257570678289</v>
      </c>
      <c r="H33" s="148"/>
      <c r="I33" s="148"/>
      <c r="J33" s="29"/>
      <c r="K33" s="29"/>
      <c r="L33" s="29"/>
      <c r="M33" s="17"/>
      <c r="N33" s="41"/>
      <c r="O33" s="42"/>
      <c r="P33" s="42"/>
      <c r="Q33" s="42"/>
      <c r="R33" s="42"/>
      <c r="S33" s="42"/>
      <c r="T33" s="42"/>
      <c r="U33" s="42"/>
      <c r="V33" s="42"/>
      <c r="W33" s="42"/>
      <c r="X33" s="42"/>
      <c r="Y33" s="42"/>
      <c r="Z33" s="42"/>
    </row>
    <row r="34" spans="1:26" x14ac:dyDescent="0.25">
      <c r="B34" s="210"/>
      <c r="C34" s="210"/>
      <c r="D34" s="210"/>
      <c r="E34" s="210"/>
      <c r="F34" s="211"/>
      <c r="G34" s="212"/>
      <c r="H34" s="212"/>
      <c r="I34" s="212"/>
      <c r="M34" s="24"/>
    </row>
    <row r="35" spans="1:26" x14ac:dyDescent="0.25">
      <c r="A35" s="20" t="s">
        <v>66</v>
      </c>
      <c r="B35" s="46"/>
      <c r="C35" s="46"/>
      <c r="D35" s="46"/>
      <c r="E35" s="46"/>
      <c r="F35" s="22"/>
      <c r="G35" s="22"/>
      <c r="H35" s="22"/>
      <c r="I35" s="22"/>
      <c r="J35" s="23"/>
      <c r="K35" s="23"/>
      <c r="L35" s="23"/>
      <c r="M35" s="21"/>
      <c r="N35" s="44"/>
      <c r="O35" s="23"/>
      <c r="P35" s="23"/>
      <c r="Q35" s="23"/>
      <c r="R35" s="23"/>
      <c r="S35" s="23"/>
      <c r="T35" s="23"/>
      <c r="U35" s="23"/>
      <c r="V35" s="23"/>
      <c r="W35" s="23"/>
      <c r="X35" s="23"/>
      <c r="Y35" s="23"/>
      <c r="Z35" s="23"/>
    </row>
    <row r="36" spans="1:26" x14ac:dyDescent="0.25">
      <c r="A36" s="21" t="s">
        <v>180</v>
      </c>
      <c r="B36" s="46">
        <v>0</v>
      </c>
      <c r="C36" s="46">
        <v>20000</v>
      </c>
      <c r="D36" s="46">
        <v>0</v>
      </c>
      <c r="E36" s="46">
        <f>SUM(B36:D36)</f>
        <v>20000</v>
      </c>
      <c r="F36" s="46">
        <v>5000</v>
      </c>
      <c r="G36" s="22"/>
      <c r="H36" s="22"/>
      <c r="I36" s="213"/>
      <c r="J36" s="45"/>
      <c r="K36" s="45"/>
      <c r="L36" s="45"/>
      <c r="M36" s="21" t="s">
        <v>333</v>
      </c>
      <c r="N36" s="44"/>
      <c r="O36" s="23"/>
      <c r="P36" s="23"/>
      <c r="Q36" s="23"/>
      <c r="R36" s="23"/>
      <c r="S36" s="23"/>
      <c r="T36" s="23"/>
      <c r="U36" s="23"/>
      <c r="V36" s="23"/>
      <c r="W36" s="23"/>
      <c r="X36" s="23"/>
      <c r="Y36" s="23"/>
      <c r="Z36" s="23"/>
    </row>
    <row r="37" spans="1:26" x14ac:dyDescent="0.25">
      <c r="A37" s="22" t="s">
        <v>251</v>
      </c>
      <c r="B37" s="46">
        <v>0</v>
      </c>
      <c r="C37" s="46">
        <v>0</v>
      </c>
      <c r="D37" s="46">
        <v>0</v>
      </c>
      <c r="E37" s="46">
        <f>SUM(B37:D37)</f>
        <v>0</v>
      </c>
      <c r="F37" s="46">
        <v>0</v>
      </c>
      <c r="G37" s="22"/>
      <c r="H37" s="22"/>
      <c r="I37" s="213"/>
      <c r="J37" s="23"/>
      <c r="K37" s="23"/>
      <c r="L37" s="23"/>
      <c r="M37" s="21" t="s">
        <v>356</v>
      </c>
      <c r="N37" s="44"/>
      <c r="O37" s="23"/>
      <c r="P37" s="23"/>
      <c r="Q37" s="23"/>
      <c r="R37" s="23"/>
      <c r="S37" s="23"/>
      <c r="T37" s="23"/>
      <c r="U37" s="23"/>
      <c r="V37" s="23"/>
      <c r="W37" s="23"/>
      <c r="X37" s="23"/>
      <c r="Y37" s="23"/>
      <c r="Z37" s="23"/>
    </row>
    <row r="38" spans="1:26" x14ac:dyDescent="0.25">
      <c r="A38" s="20" t="str">
        <f>CONCATENATE("Subtotal ",A35)</f>
        <v>Subtotal Tool Development</v>
      </c>
      <c r="B38" s="214">
        <f>SUM(B36:B37)</f>
        <v>0</v>
      </c>
      <c r="C38" s="214">
        <f>SUM(C36:C37)</f>
        <v>20000</v>
      </c>
      <c r="D38" s="214">
        <f>SUM(D36:D37)</f>
        <v>0</v>
      </c>
      <c r="E38" s="214">
        <f>SUM(E36:E37)</f>
        <v>20000</v>
      </c>
      <c r="F38" s="214">
        <f>SUM(F36:F37)</f>
        <v>5000</v>
      </c>
      <c r="G38" s="215">
        <f>E38/$E$77</f>
        <v>1.1174432897530451E-2</v>
      </c>
      <c r="H38" s="22"/>
      <c r="I38" s="22"/>
      <c r="J38" s="23"/>
      <c r="K38" s="23"/>
      <c r="L38" s="23"/>
      <c r="M38" s="21"/>
      <c r="N38" s="44"/>
      <c r="O38" s="23"/>
      <c r="P38" s="23"/>
      <c r="Q38" s="23"/>
      <c r="R38" s="23"/>
      <c r="S38" s="23"/>
      <c r="T38" s="23"/>
      <c r="U38" s="23"/>
      <c r="V38" s="23"/>
      <c r="W38" s="23"/>
      <c r="X38" s="23"/>
      <c r="Y38" s="23"/>
      <c r="Z38" s="23"/>
    </row>
    <row r="39" spans="1:26" x14ac:dyDescent="0.25">
      <c r="A39" s="21"/>
      <c r="B39" s="46"/>
      <c r="C39" s="46"/>
      <c r="D39" s="46"/>
      <c r="E39" s="46"/>
      <c r="F39" s="22"/>
      <c r="G39" s="22"/>
      <c r="H39" s="22"/>
      <c r="I39" s="22"/>
      <c r="J39" s="23"/>
      <c r="K39" s="23"/>
      <c r="L39" s="23"/>
      <c r="M39" s="21"/>
      <c r="N39" s="44"/>
      <c r="O39" s="23"/>
      <c r="P39" s="23"/>
      <c r="Q39" s="23"/>
      <c r="R39" s="23"/>
      <c r="S39" s="23"/>
      <c r="T39" s="23"/>
      <c r="U39" s="23"/>
      <c r="V39" s="23"/>
      <c r="W39" s="23"/>
      <c r="X39" s="23"/>
      <c r="Y39" s="23"/>
      <c r="Z39" s="23"/>
    </row>
    <row r="40" spans="1:26" x14ac:dyDescent="0.25">
      <c r="A40" s="21"/>
      <c r="B40" s="46"/>
      <c r="C40" s="46"/>
      <c r="D40" s="46"/>
      <c r="E40" s="46"/>
      <c r="F40" s="22"/>
      <c r="G40" s="22"/>
      <c r="H40" s="22"/>
      <c r="I40" s="22"/>
      <c r="J40" s="23"/>
      <c r="K40" s="23"/>
      <c r="L40" s="23"/>
      <c r="M40" s="21"/>
      <c r="N40" s="44"/>
      <c r="O40" s="23"/>
      <c r="P40" s="23"/>
      <c r="Q40" s="23"/>
      <c r="R40" s="23"/>
      <c r="S40" s="23"/>
      <c r="T40" s="23"/>
      <c r="U40" s="23"/>
      <c r="V40" s="23"/>
      <c r="W40" s="23"/>
      <c r="X40" s="23"/>
      <c r="Y40" s="23"/>
      <c r="Z40" s="23"/>
    </row>
    <row r="41" spans="1:26" x14ac:dyDescent="0.25">
      <c r="A41" s="20" t="s">
        <v>28</v>
      </c>
      <c r="B41" s="46"/>
      <c r="C41" s="46"/>
      <c r="D41" s="46"/>
      <c r="E41" s="46"/>
      <c r="F41" s="22"/>
      <c r="G41" s="22"/>
      <c r="H41" s="22"/>
      <c r="I41" s="22"/>
      <c r="J41" s="23"/>
      <c r="K41" s="23"/>
      <c r="L41" s="23"/>
      <c r="M41" s="21"/>
      <c r="N41" s="44"/>
      <c r="O41" s="23"/>
      <c r="P41" s="23"/>
      <c r="Q41" s="23"/>
      <c r="R41" s="23"/>
      <c r="S41" s="23"/>
      <c r="T41" s="23"/>
      <c r="U41" s="23"/>
      <c r="V41" s="23"/>
      <c r="W41" s="23"/>
      <c r="X41" s="23"/>
      <c r="Y41" s="23"/>
      <c r="Z41" s="23"/>
    </row>
    <row r="42" spans="1:26" x14ac:dyDescent="0.25">
      <c r="A42" s="332" t="s">
        <v>288</v>
      </c>
      <c r="B42" s="46">
        <v>0</v>
      </c>
      <c r="C42" s="46">
        <v>0</v>
      </c>
      <c r="D42" s="46">
        <v>0</v>
      </c>
      <c r="E42" s="46">
        <f>SUM(B42:D42)</f>
        <v>0</v>
      </c>
      <c r="F42" s="327">
        <v>0</v>
      </c>
      <c r="G42" s="22"/>
      <c r="H42" s="22"/>
      <c r="I42" s="22"/>
      <c r="J42" s="23"/>
      <c r="K42" s="23"/>
      <c r="L42" s="23"/>
      <c r="M42" s="21" t="s">
        <v>293</v>
      </c>
      <c r="N42" s="44"/>
      <c r="O42" s="23"/>
      <c r="P42" s="23"/>
      <c r="Q42" s="23"/>
      <c r="R42" s="23"/>
      <c r="S42" s="23"/>
      <c r="T42" s="23"/>
      <c r="U42" s="23"/>
      <c r="V42" s="23"/>
      <c r="W42" s="23"/>
      <c r="X42" s="23"/>
      <c r="Y42" s="23"/>
      <c r="Z42" s="23"/>
    </row>
    <row r="43" spans="1:26" x14ac:dyDescent="0.25">
      <c r="A43" s="20" t="str">
        <f>CONCATENATE("Subtotal ",A41)</f>
        <v>Subtotal Research Projects &amp; Data Development</v>
      </c>
      <c r="B43" s="214">
        <f>SUM(B42:B42)</f>
        <v>0</v>
      </c>
      <c r="C43" s="214">
        <f>SUM(C42:C42)</f>
        <v>0</v>
      </c>
      <c r="D43" s="214">
        <f>SUM(D42:D42)</f>
        <v>0</v>
      </c>
      <c r="E43" s="214">
        <f>SUM(E42:E42)</f>
        <v>0</v>
      </c>
      <c r="F43" s="214">
        <f>SUM(F42:F42)</f>
        <v>0</v>
      </c>
      <c r="G43" s="215">
        <f>E43/$E$77</f>
        <v>0</v>
      </c>
      <c r="H43" s="22"/>
      <c r="I43" s="22"/>
      <c r="J43" s="23"/>
      <c r="K43" s="23"/>
      <c r="L43" s="23"/>
      <c r="M43" s="21"/>
      <c r="N43" s="44"/>
      <c r="O43" s="23"/>
      <c r="P43" s="23"/>
      <c r="Q43" s="23"/>
      <c r="R43" s="23"/>
      <c r="S43" s="23"/>
      <c r="T43" s="23"/>
      <c r="U43" s="23"/>
      <c r="V43" s="23"/>
      <c r="W43" s="23"/>
      <c r="X43" s="23"/>
      <c r="Y43" s="23"/>
      <c r="Z43" s="23"/>
    </row>
    <row r="44" spans="1:26" x14ac:dyDescent="0.25">
      <c r="A44" s="23"/>
      <c r="B44" s="46"/>
      <c r="C44" s="46"/>
      <c r="D44" s="46"/>
      <c r="E44" s="46"/>
      <c r="F44" s="22"/>
      <c r="G44" s="22"/>
      <c r="H44" s="22"/>
      <c r="I44" s="22"/>
      <c r="J44" s="350"/>
      <c r="K44" s="23"/>
      <c r="L44" s="23"/>
      <c r="M44" s="21"/>
      <c r="N44" s="44"/>
      <c r="O44" s="23"/>
      <c r="P44" s="23"/>
      <c r="Q44" s="23"/>
      <c r="R44" s="23"/>
      <c r="S44" s="23"/>
      <c r="T44" s="23"/>
      <c r="U44" s="23"/>
      <c r="V44" s="23"/>
      <c r="W44" s="23"/>
      <c r="X44" s="23"/>
      <c r="Y44" s="23"/>
      <c r="Z44" s="23"/>
    </row>
    <row r="45" spans="1:26" x14ac:dyDescent="0.25">
      <c r="A45" s="21"/>
      <c r="B45" s="46"/>
      <c r="C45" s="46"/>
      <c r="D45" s="46"/>
      <c r="E45" s="46"/>
      <c r="F45" s="22"/>
      <c r="G45" s="22"/>
      <c r="H45" s="22"/>
      <c r="I45" s="22"/>
      <c r="J45" s="23"/>
      <c r="K45" s="23"/>
      <c r="L45" s="23"/>
      <c r="M45" s="21"/>
      <c r="N45" s="44"/>
      <c r="O45" s="23"/>
      <c r="P45" s="23"/>
      <c r="Q45" s="23"/>
      <c r="R45" s="23"/>
      <c r="S45" s="23"/>
      <c r="T45" s="23"/>
      <c r="U45" s="23"/>
      <c r="V45" s="23"/>
      <c r="W45" s="23"/>
      <c r="X45" s="23"/>
      <c r="Y45" s="23"/>
      <c r="Z45" s="23"/>
    </row>
    <row r="46" spans="1:26" x14ac:dyDescent="0.25">
      <c r="A46" s="20" t="s">
        <v>287</v>
      </c>
      <c r="B46" s="46"/>
      <c r="C46" s="46"/>
      <c r="D46" s="46"/>
      <c r="E46" s="46"/>
      <c r="F46" s="22"/>
      <c r="G46" s="22"/>
      <c r="H46" s="22"/>
      <c r="I46" s="22"/>
      <c r="J46" s="23"/>
      <c r="K46" s="23"/>
      <c r="L46" s="23"/>
      <c r="M46" s="21"/>
      <c r="N46" s="44"/>
      <c r="O46" s="23"/>
      <c r="P46" s="23"/>
      <c r="Q46" s="23"/>
      <c r="R46" s="23"/>
      <c r="S46" s="23"/>
      <c r="T46" s="23"/>
      <c r="U46" s="23"/>
      <c r="V46" s="23"/>
      <c r="W46" s="23"/>
      <c r="X46" s="23"/>
      <c r="Y46" s="23"/>
      <c r="Z46" s="23"/>
    </row>
    <row r="47" spans="1:26" x14ac:dyDescent="0.25">
      <c r="A47" s="21" t="s">
        <v>225</v>
      </c>
      <c r="B47" s="46">
        <v>0</v>
      </c>
      <c r="C47" s="46">
        <v>75000</v>
      </c>
      <c r="D47" s="46">
        <v>0</v>
      </c>
      <c r="E47" s="46">
        <f>SUM(B47:D47)</f>
        <v>75000</v>
      </c>
      <c r="F47" s="327">
        <v>2000</v>
      </c>
      <c r="G47" s="22"/>
      <c r="H47" s="22"/>
      <c r="I47" s="22"/>
      <c r="J47" s="23"/>
      <c r="K47" s="23"/>
      <c r="L47" s="23"/>
      <c r="M47" s="21" t="s">
        <v>304</v>
      </c>
      <c r="N47" s="44"/>
      <c r="O47" s="23"/>
      <c r="P47" s="23"/>
      <c r="Q47" s="23"/>
      <c r="R47" s="23"/>
      <c r="S47" s="23"/>
      <c r="T47" s="23"/>
      <c r="U47" s="23"/>
      <c r="V47" s="23"/>
      <c r="W47" s="23"/>
      <c r="X47" s="23"/>
      <c r="Y47" s="23"/>
      <c r="Z47" s="23"/>
    </row>
    <row r="48" spans="1:26" x14ac:dyDescent="0.25">
      <c r="A48" s="21" t="s">
        <v>340</v>
      </c>
      <c r="B48" s="46">
        <v>0</v>
      </c>
      <c r="C48" s="46">
        <v>10000</v>
      </c>
      <c r="D48" s="46">
        <v>0</v>
      </c>
      <c r="E48" s="46">
        <f t="shared" ref="E48:E49" si="21">SUM(B48:D48)</f>
        <v>10000</v>
      </c>
      <c r="F48" s="327">
        <v>5000</v>
      </c>
      <c r="G48" s="215"/>
      <c r="H48" s="22"/>
      <c r="I48" s="22"/>
      <c r="J48" s="23"/>
      <c r="K48" s="23"/>
      <c r="L48" s="23"/>
      <c r="M48" s="21" t="s">
        <v>357</v>
      </c>
      <c r="N48" s="44"/>
      <c r="O48" s="23"/>
      <c r="P48" s="23"/>
      <c r="Q48" s="23"/>
      <c r="R48" s="23"/>
      <c r="S48" s="23"/>
      <c r="T48" s="23"/>
      <c r="U48" s="23"/>
      <c r="V48" s="23"/>
      <c r="W48" s="23"/>
      <c r="X48" s="23"/>
      <c r="Y48" s="23"/>
      <c r="Z48" s="23"/>
    </row>
    <row r="49" spans="1:26" x14ac:dyDescent="0.25">
      <c r="A49" s="21" t="s">
        <v>328</v>
      </c>
      <c r="B49" s="46">
        <v>20000</v>
      </c>
      <c r="C49" s="46">
        <v>30000</v>
      </c>
      <c r="D49" s="46">
        <v>0</v>
      </c>
      <c r="E49" s="46">
        <f t="shared" si="21"/>
        <v>50000</v>
      </c>
      <c r="F49" s="327">
        <v>10000</v>
      </c>
      <c r="G49" s="215"/>
      <c r="H49" s="22"/>
      <c r="I49" s="22"/>
      <c r="J49" s="23"/>
      <c r="K49" s="23"/>
      <c r="L49" s="23"/>
      <c r="M49" s="21" t="s">
        <v>334</v>
      </c>
      <c r="N49" s="44"/>
      <c r="O49" s="23"/>
      <c r="P49" s="23"/>
      <c r="Q49" s="23"/>
      <c r="R49" s="23"/>
      <c r="S49" s="23"/>
      <c r="T49" s="23"/>
      <c r="U49" s="23"/>
      <c r="V49" s="23"/>
      <c r="W49" s="23"/>
      <c r="X49" s="23"/>
      <c r="Y49" s="23"/>
      <c r="Z49" s="23"/>
    </row>
    <row r="50" spans="1:26" x14ac:dyDescent="0.25">
      <c r="A50" s="20" t="str">
        <f>CONCATENATE("Subtotal ",A46)</f>
        <v>Subtotal Regional Coordination (Research and Data Development)</v>
      </c>
      <c r="B50" s="214">
        <f>SUM(B47:B49)</f>
        <v>20000</v>
      </c>
      <c r="C50" s="214">
        <f>SUM(C47:C49)</f>
        <v>115000</v>
      </c>
      <c r="D50" s="214">
        <f>SUM(D47:D49)</f>
        <v>0</v>
      </c>
      <c r="E50" s="214">
        <f>SUM(E47:E49)</f>
        <v>135000</v>
      </c>
      <c r="F50" s="214">
        <f>SUM(F47:F49)</f>
        <v>17000</v>
      </c>
      <c r="G50" s="215">
        <f>E50/$E$77</f>
        <v>7.5427422058330543E-2</v>
      </c>
      <c r="H50" s="22"/>
      <c r="I50" s="22"/>
      <c r="J50" s="23"/>
      <c r="K50" s="23"/>
      <c r="L50" s="23"/>
      <c r="M50" s="21"/>
      <c r="N50" s="44"/>
      <c r="O50" s="23"/>
      <c r="P50" s="23"/>
      <c r="Q50" s="23"/>
      <c r="R50" s="23"/>
      <c r="S50" s="23"/>
      <c r="T50" s="23"/>
      <c r="U50" s="23"/>
      <c r="V50" s="23"/>
      <c r="W50" s="23"/>
      <c r="X50" s="23"/>
      <c r="Y50" s="23"/>
      <c r="Z50" s="23"/>
    </row>
    <row r="51" spans="1:26" x14ac:dyDescent="0.25">
      <c r="A51" s="23"/>
      <c r="B51" s="46"/>
      <c r="C51" s="46"/>
      <c r="D51" s="46"/>
      <c r="E51" s="46"/>
      <c r="F51" s="22"/>
      <c r="G51" s="22"/>
      <c r="H51" s="22"/>
      <c r="I51" s="22"/>
      <c r="J51" s="23"/>
      <c r="K51" s="23"/>
      <c r="L51" s="23"/>
      <c r="M51" s="21"/>
      <c r="N51" s="44"/>
      <c r="O51" s="23"/>
      <c r="P51" s="23"/>
      <c r="Q51" s="23"/>
      <c r="R51" s="23"/>
      <c r="S51" s="23"/>
      <c r="T51" s="23"/>
      <c r="U51" s="23"/>
      <c r="V51" s="23"/>
      <c r="W51" s="23"/>
      <c r="X51" s="23"/>
      <c r="Y51" s="23"/>
      <c r="Z51" s="23"/>
    </row>
    <row r="52" spans="1:26" x14ac:dyDescent="0.25">
      <c r="A52" s="24"/>
      <c r="B52" s="210"/>
      <c r="C52" s="210"/>
      <c r="D52" s="210"/>
      <c r="E52" s="210"/>
      <c r="F52" s="212"/>
      <c r="G52" s="212"/>
      <c r="H52" s="212"/>
      <c r="I52" s="212"/>
      <c r="M52" s="24"/>
    </row>
    <row r="53" spans="1:26" x14ac:dyDescent="0.25">
      <c r="A53" s="25" t="s">
        <v>48</v>
      </c>
      <c r="B53" s="216"/>
      <c r="C53" s="216"/>
      <c r="D53" s="216"/>
      <c r="E53" s="216"/>
      <c r="F53" s="217"/>
      <c r="G53" s="217"/>
      <c r="H53" s="217"/>
      <c r="I53" s="217"/>
      <c r="J53" s="27"/>
      <c r="K53" s="27"/>
      <c r="L53" s="27"/>
      <c r="M53" s="26"/>
      <c r="N53" s="47"/>
      <c r="O53" s="27"/>
      <c r="P53" s="27"/>
      <c r="Q53" s="27"/>
      <c r="R53" s="27"/>
      <c r="S53" s="27"/>
      <c r="T53" s="27"/>
      <c r="U53" s="27"/>
      <c r="V53" s="27"/>
      <c r="W53" s="27"/>
      <c r="X53" s="27"/>
      <c r="Y53" s="27"/>
      <c r="Z53" s="27"/>
    </row>
    <row r="54" spans="1:26" x14ac:dyDescent="0.25">
      <c r="A54" s="26" t="s">
        <v>182</v>
      </c>
      <c r="B54" s="216">
        <v>10000</v>
      </c>
      <c r="C54" s="216">
        <v>0</v>
      </c>
      <c r="D54" s="216">
        <v>0</v>
      </c>
      <c r="E54" s="216">
        <f>SUM(B54:D54)</f>
        <v>10000</v>
      </c>
      <c r="F54" s="216">
        <v>15000</v>
      </c>
      <c r="G54" s="217"/>
      <c r="H54" s="217"/>
      <c r="I54" s="217"/>
      <c r="J54" s="27"/>
      <c r="K54" s="27"/>
      <c r="L54" s="27"/>
      <c r="M54" s="26" t="s">
        <v>353</v>
      </c>
      <c r="N54" s="47"/>
      <c r="O54" s="27"/>
      <c r="P54" s="27"/>
      <c r="Q54" s="27"/>
      <c r="R54" s="27"/>
      <c r="S54" s="27"/>
      <c r="T54" s="27"/>
      <c r="U54" s="27"/>
      <c r="V54" s="27"/>
      <c r="W54" s="27"/>
      <c r="X54" s="27"/>
      <c r="Y54" s="27"/>
      <c r="Z54" s="27"/>
    </row>
    <row r="55" spans="1:26" x14ac:dyDescent="0.25">
      <c r="A55" s="26" t="s">
        <v>286</v>
      </c>
      <c r="B55" s="216">
        <v>60000</v>
      </c>
      <c r="C55" s="216">
        <v>10000</v>
      </c>
      <c r="D55" s="216">
        <v>0</v>
      </c>
      <c r="E55" s="216">
        <f>SUM(B55:D55)</f>
        <v>70000</v>
      </c>
      <c r="F55" s="216">
        <v>20000</v>
      </c>
      <c r="G55" s="217" t="s">
        <v>164</v>
      </c>
      <c r="H55" s="217"/>
      <c r="I55" s="217"/>
      <c r="J55" s="27"/>
      <c r="K55" s="27"/>
      <c r="L55" s="27"/>
      <c r="M55" s="26" t="s">
        <v>297</v>
      </c>
      <c r="N55" s="47"/>
      <c r="O55" s="27"/>
      <c r="P55" s="27"/>
      <c r="Q55" s="27"/>
      <c r="R55" s="27"/>
      <c r="S55" s="27"/>
      <c r="T55" s="27"/>
      <c r="U55" s="27"/>
      <c r="V55" s="27"/>
      <c r="W55" s="27"/>
      <c r="X55" s="27"/>
      <c r="Y55" s="27"/>
      <c r="Z55" s="27"/>
    </row>
    <row r="56" spans="1:26" x14ac:dyDescent="0.25">
      <c r="A56" s="25" t="str">
        <f>CONCATENATE("Subtotal ",A53)</f>
        <v xml:space="preserve">Subtotal Website, Database support, Conservation Tracking </v>
      </c>
      <c r="B56" s="218">
        <f>SUM(B54:B55)</f>
        <v>70000</v>
      </c>
      <c r="C56" s="218">
        <f>SUM(C54:C55)</f>
        <v>10000</v>
      </c>
      <c r="D56" s="218">
        <f>SUM(D54:D55)</f>
        <v>0</v>
      </c>
      <c r="E56" s="218">
        <f>SUM(E54:E55)</f>
        <v>80000</v>
      </c>
      <c r="F56" s="218">
        <f>SUM(F54:F55)</f>
        <v>35000</v>
      </c>
      <c r="G56" s="219">
        <f>E56/$E$77</f>
        <v>4.4697731590121803E-2</v>
      </c>
      <c r="H56" s="217"/>
      <c r="I56" s="217"/>
      <c r="J56" s="27"/>
      <c r="K56" s="27"/>
      <c r="L56" s="27"/>
      <c r="M56" s="26"/>
      <c r="N56" s="47"/>
      <c r="O56" s="27"/>
      <c r="P56" s="27"/>
      <c r="Q56" s="27"/>
      <c r="R56" s="27"/>
      <c r="S56" s="27"/>
      <c r="T56" s="27"/>
      <c r="U56" s="27"/>
      <c r="V56" s="27"/>
      <c r="W56" s="27"/>
      <c r="X56" s="27"/>
      <c r="Y56" s="27"/>
      <c r="Z56" s="27"/>
    </row>
    <row r="57" spans="1:26" x14ac:dyDescent="0.25">
      <c r="A57" s="25"/>
      <c r="B57" s="216"/>
      <c r="C57" s="216"/>
      <c r="D57" s="216"/>
      <c r="E57" s="216"/>
      <c r="F57" s="216"/>
      <c r="G57" s="217"/>
      <c r="H57" s="217"/>
      <c r="I57" s="217"/>
      <c r="J57" s="27"/>
      <c r="K57" s="27"/>
      <c r="L57" s="27"/>
      <c r="M57" s="26"/>
      <c r="N57" s="47"/>
      <c r="O57" s="27"/>
      <c r="P57" s="27"/>
      <c r="Q57" s="27"/>
      <c r="R57" s="27"/>
      <c r="S57" s="27"/>
      <c r="T57" s="27"/>
      <c r="U57" s="27"/>
      <c r="V57" s="27"/>
      <c r="W57" s="27"/>
      <c r="X57" s="27"/>
      <c r="Y57" s="27"/>
      <c r="Z57" s="27"/>
    </row>
    <row r="58" spans="1:26" x14ac:dyDescent="0.25">
      <c r="A58" s="26"/>
      <c r="B58" s="216"/>
      <c r="C58" s="216"/>
      <c r="D58" s="216"/>
      <c r="E58" s="216"/>
      <c r="F58" s="216"/>
      <c r="G58" s="217"/>
      <c r="H58" s="217"/>
      <c r="I58" s="217"/>
      <c r="J58" s="27"/>
      <c r="K58" s="27"/>
      <c r="L58" s="27"/>
      <c r="M58" s="26"/>
      <c r="N58" s="47"/>
      <c r="O58" s="27"/>
      <c r="P58" s="27"/>
      <c r="Q58" s="27"/>
      <c r="R58" s="27"/>
      <c r="S58" s="27"/>
      <c r="T58" s="27"/>
      <c r="U58" s="27"/>
      <c r="V58" s="27"/>
      <c r="W58" s="27"/>
      <c r="X58" s="27"/>
      <c r="Y58" s="27"/>
      <c r="Z58" s="27"/>
    </row>
    <row r="59" spans="1:26" x14ac:dyDescent="0.25">
      <c r="A59" s="25" t="s">
        <v>302</v>
      </c>
      <c r="B59" s="216"/>
      <c r="C59" s="216"/>
      <c r="D59" s="216"/>
      <c r="E59" s="216"/>
      <c r="F59" s="216"/>
      <c r="G59" s="217"/>
      <c r="H59" s="217"/>
      <c r="I59" s="217"/>
      <c r="J59" s="27"/>
      <c r="K59" s="27"/>
      <c r="L59" s="27"/>
      <c r="M59" s="26"/>
      <c r="N59" s="47"/>
      <c r="O59" s="27"/>
      <c r="P59" s="27"/>
      <c r="Q59" s="27"/>
      <c r="R59" s="27"/>
      <c r="S59" s="27"/>
      <c r="T59" s="27"/>
      <c r="U59" s="27"/>
      <c r="V59" s="27"/>
      <c r="W59" s="27"/>
      <c r="X59" s="27"/>
      <c r="Y59" s="27"/>
      <c r="Z59" s="27"/>
    </row>
    <row r="60" spans="1:26" x14ac:dyDescent="0.25">
      <c r="A60" s="26" t="s">
        <v>162</v>
      </c>
      <c r="B60" s="216">
        <v>35000</v>
      </c>
      <c r="C60" s="216">
        <v>0</v>
      </c>
      <c r="D60" s="216">
        <v>0</v>
      </c>
      <c r="E60" s="216">
        <f>SUM(B60:D60)</f>
        <v>35000</v>
      </c>
      <c r="F60" s="216">
        <v>10000</v>
      </c>
      <c r="G60" s="220"/>
      <c r="H60" s="220"/>
      <c r="I60" s="217"/>
      <c r="J60" s="27"/>
      <c r="K60" s="27"/>
      <c r="L60" s="27"/>
      <c r="M60" s="329" t="s">
        <v>335</v>
      </c>
      <c r="N60" s="47"/>
      <c r="O60" s="27"/>
      <c r="P60" s="27"/>
      <c r="Q60" s="27"/>
      <c r="R60" s="27"/>
      <c r="S60" s="27"/>
      <c r="T60" s="27"/>
      <c r="U60" s="27"/>
      <c r="V60" s="27"/>
      <c r="W60" s="27"/>
      <c r="X60" s="27"/>
      <c r="Y60" s="27"/>
      <c r="Z60" s="27"/>
    </row>
    <row r="61" spans="1:26" x14ac:dyDescent="0.25">
      <c r="A61" s="26" t="s">
        <v>290</v>
      </c>
      <c r="B61" s="216">
        <v>130000</v>
      </c>
      <c r="C61" s="216">
        <v>0</v>
      </c>
      <c r="D61" s="216">
        <v>0</v>
      </c>
      <c r="E61" s="216">
        <f>SUM(B61:D61)</f>
        <v>130000</v>
      </c>
      <c r="F61" s="216">
        <v>0</v>
      </c>
      <c r="G61" s="219"/>
      <c r="H61" s="217"/>
      <c r="I61" s="217"/>
      <c r="J61" s="27"/>
      <c r="K61" s="27"/>
      <c r="L61" s="27"/>
      <c r="M61" s="26" t="s">
        <v>303</v>
      </c>
      <c r="N61" s="47"/>
      <c r="O61" s="27"/>
      <c r="P61" s="27"/>
      <c r="Q61" s="27"/>
      <c r="R61" s="27"/>
      <c r="S61" s="27"/>
      <c r="T61" s="27"/>
      <c r="U61" s="27"/>
      <c r="V61" s="27"/>
      <c r="W61" s="27"/>
      <c r="X61" s="27"/>
      <c r="Y61" s="27"/>
      <c r="Z61" s="27"/>
    </row>
    <row r="62" spans="1:26" x14ac:dyDescent="0.25">
      <c r="A62" s="26" t="s">
        <v>291</v>
      </c>
      <c r="B62" s="216">
        <v>0</v>
      </c>
      <c r="C62" s="216">
        <v>75000</v>
      </c>
      <c r="D62" s="216">
        <v>0</v>
      </c>
      <c r="E62" s="216">
        <f>SUM(B62:D62)</f>
        <v>75000</v>
      </c>
      <c r="F62" s="216">
        <v>0</v>
      </c>
      <c r="G62" s="219"/>
      <c r="H62" s="217"/>
      <c r="I62" s="217"/>
      <c r="J62" s="27"/>
      <c r="K62" s="27"/>
      <c r="L62" s="27"/>
      <c r="M62" s="26" t="s">
        <v>292</v>
      </c>
      <c r="N62" s="47"/>
      <c r="O62" s="27"/>
      <c r="P62" s="27"/>
      <c r="Q62" s="27"/>
      <c r="R62" s="27"/>
      <c r="S62" s="27"/>
      <c r="T62" s="27"/>
      <c r="U62" s="27"/>
      <c r="V62" s="27"/>
      <c r="W62" s="27"/>
      <c r="X62" s="27"/>
      <c r="Y62" s="27"/>
      <c r="Z62" s="27"/>
    </row>
    <row r="63" spans="1:26" x14ac:dyDescent="0.25">
      <c r="A63" s="25" t="str">
        <f>CONCATENATE("Subtotal ",A59)</f>
        <v>Subtotal RTF Meetings and Member Support</v>
      </c>
      <c r="B63" s="218">
        <f>SUM(B60:B62)</f>
        <v>165000</v>
      </c>
      <c r="C63" s="218">
        <f>SUM(C60:C62)</f>
        <v>75000</v>
      </c>
      <c r="D63" s="218">
        <f>SUM(D60:D62)</f>
        <v>0</v>
      </c>
      <c r="E63" s="218">
        <f>SUM(E60:E62)</f>
        <v>240000</v>
      </c>
      <c r="F63" s="218">
        <f>SUM(F60:F62)</f>
        <v>10000</v>
      </c>
      <c r="G63" s="219">
        <f>E63/$E$77</f>
        <v>0.13409319477036541</v>
      </c>
      <c r="H63" s="217"/>
      <c r="I63" s="217"/>
      <c r="J63" s="27"/>
      <c r="K63" s="27"/>
      <c r="L63" s="27"/>
      <c r="M63" s="27"/>
      <c r="N63" s="47"/>
      <c r="O63" s="27"/>
      <c r="P63" s="27"/>
      <c r="Q63" s="27"/>
      <c r="R63" s="27"/>
      <c r="S63" s="27"/>
      <c r="T63" s="27"/>
      <c r="U63" s="27"/>
      <c r="V63" s="27"/>
      <c r="W63" s="27"/>
      <c r="X63" s="27"/>
      <c r="Y63" s="27"/>
      <c r="Z63" s="27"/>
    </row>
    <row r="64" spans="1:26" x14ac:dyDescent="0.25">
      <c r="A64" s="27"/>
      <c r="B64" s="216"/>
      <c r="C64" s="216"/>
      <c r="D64" s="216"/>
      <c r="E64" s="216"/>
      <c r="F64" s="216"/>
      <c r="G64" s="217"/>
      <c r="H64" s="217"/>
      <c r="I64" s="217"/>
      <c r="J64" s="27"/>
      <c r="K64" s="27"/>
      <c r="L64" s="27"/>
      <c r="M64" s="27"/>
      <c r="N64" s="47"/>
      <c r="O64" s="27"/>
      <c r="P64" s="27"/>
      <c r="Q64" s="27"/>
      <c r="R64" s="27"/>
      <c r="S64" s="27"/>
      <c r="T64" s="27"/>
      <c r="U64" s="27"/>
      <c r="V64" s="27"/>
      <c r="W64" s="27"/>
      <c r="X64" s="27"/>
      <c r="Y64" s="27"/>
      <c r="Z64" s="27"/>
    </row>
    <row r="65" spans="1:26" x14ac:dyDescent="0.25">
      <c r="A65" s="27"/>
      <c r="B65" s="216"/>
      <c r="C65" s="216"/>
      <c r="D65" s="216"/>
      <c r="E65" s="216"/>
      <c r="F65" s="216"/>
      <c r="G65" s="217"/>
      <c r="H65" s="217"/>
      <c r="I65" s="217"/>
      <c r="J65" s="27"/>
      <c r="K65" s="27"/>
      <c r="L65" s="27"/>
      <c r="M65" s="27"/>
      <c r="N65" s="47"/>
      <c r="O65" s="27"/>
      <c r="P65" s="27"/>
      <c r="Q65" s="27"/>
      <c r="R65" s="27"/>
      <c r="S65" s="27"/>
      <c r="T65" s="27"/>
      <c r="U65" s="27"/>
      <c r="V65" s="27"/>
      <c r="W65" s="27"/>
      <c r="X65" s="27"/>
      <c r="Y65" s="27"/>
      <c r="Z65" s="27"/>
    </row>
    <row r="66" spans="1:26" x14ac:dyDescent="0.25">
      <c r="A66" s="25" t="s">
        <v>51</v>
      </c>
      <c r="B66" s="216"/>
      <c r="C66" s="216"/>
      <c r="D66" s="216"/>
      <c r="E66" s="216"/>
      <c r="F66" s="216"/>
      <c r="G66" s="217"/>
      <c r="H66" s="418"/>
      <c r="I66" s="418"/>
      <c r="J66" s="418"/>
      <c r="K66" s="418"/>
      <c r="L66" s="418"/>
      <c r="M66" s="27"/>
      <c r="N66" s="47"/>
      <c r="O66" s="27"/>
      <c r="P66" s="27"/>
      <c r="Q66" s="27"/>
      <c r="R66" s="27"/>
      <c r="S66" s="27"/>
      <c r="T66" s="27"/>
      <c r="U66" s="27"/>
      <c r="V66" s="27"/>
      <c r="W66" s="27"/>
      <c r="X66" s="27"/>
      <c r="Y66" s="27"/>
      <c r="Z66" s="27"/>
    </row>
    <row r="67" spans="1:26" x14ac:dyDescent="0.25">
      <c r="A67" s="26" t="s">
        <v>135</v>
      </c>
      <c r="B67" s="216">
        <v>0</v>
      </c>
      <c r="C67" s="216">
        <v>0</v>
      </c>
      <c r="D67" s="216">
        <f t="shared" ref="D67:D72" si="22">145000*K67</f>
        <v>14500</v>
      </c>
      <c r="E67" s="216">
        <f>SUM(B67:D67)</f>
        <v>14500</v>
      </c>
      <c r="F67" s="216">
        <v>5000</v>
      </c>
      <c r="G67" s="217"/>
      <c r="H67" s="217"/>
      <c r="I67" s="27"/>
      <c r="J67" s="27"/>
      <c r="K67" s="284">
        <v>0.1</v>
      </c>
      <c r="L67" s="27"/>
      <c r="M67" s="329" t="s">
        <v>296</v>
      </c>
      <c r="N67" s="47"/>
      <c r="O67" s="27"/>
      <c r="P67" s="27"/>
      <c r="Q67" s="27"/>
      <c r="R67" s="27"/>
      <c r="S67" s="27"/>
      <c r="T67" s="27"/>
      <c r="U67" s="27"/>
      <c r="V67" s="27"/>
      <c r="W67" s="27"/>
      <c r="X67" s="27"/>
      <c r="Y67" s="27"/>
      <c r="Z67" s="27"/>
    </row>
    <row r="68" spans="1:26" x14ac:dyDescent="0.25">
      <c r="A68" s="26" t="s">
        <v>285</v>
      </c>
      <c r="B68" s="216">
        <v>0</v>
      </c>
      <c r="C68" s="216">
        <v>0</v>
      </c>
      <c r="D68" s="216">
        <f t="shared" si="22"/>
        <v>43500</v>
      </c>
      <c r="E68" s="216">
        <f>SUM(B68:D68)</f>
        <v>43500</v>
      </c>
      <c r="F68" s="216">
        <v>0</v>
      </c>
      <c r="G68" s="221"/>
      <c r="H68" s="220"/>
      <c r="I68" s="27"/>
      <c r="J68" s="27"/>
      <c r="K68" s="284">
        <v>0.3</v>
      </c>
      <c r="L68" s="27"/>
      <c r="M68" s="329" t="s">
        <v>295</v>
      </c>
      <c r="N68" s="47"/>
      <c r="O68" s="27"/>
      <c r="P68" s="27"/>
      <c r="Q68" s="27"/>
      <c r="R68" s="27"/>
      <c r="S68" s="27"/>
      <c r="T68" s="27"/>
      <c r="U68" s="27"/>
      <c r="V68" s="27"/>
      <c r="W68" s="27"/>
      <c r="X68" s="27"/>
      <c r="Y68" s="27"/>
      <c r="Z68" s="27"/>
    </row>
    <row r="69" spans="1:26" x14ac:dyDescent="0.25">
      <c r="A69" s="26" t="s">
        <v>153</v>
      </c>
      <c r="B69" s="216">
        <v>3300</v>
      </c>
      <c r="C69" s="216">
        <v>0</v>
      </c>
      <c r="D69" s="216">
        <f t="shared" si="22"/>
        <v>29000</v>
      </c>
      <c r="E69" s="216">
        <f t="shared" ref="E69:E73" si="23">SUM(B69:D69)</f>
        <v>32300</v>
      </c>
      <c r="F69" s="216">
        <v>75000</v>
      </c>
      <c r="G69" s="221"/>
      <c r="H69" s="221"/>
      <c r="I69" s="27"/>
      <c r="J69" s="184"/>
      <c r="K69" s="284">
        <v>0.2</v>
      </c>
      <c r="L69" s="27"/>
      <c r="M69" s="329" t="s">
        <v>326</v>
      </c>
      <c r="N69" s="47"/>
      <c r="O69" s="27"/>
      <c r="P69" s="27"/>
      <c r="Q69" s="27"/>
      <c r="R69" s="27"/>
      <c r="S69" s="27"/>
      <c r="T69" s="27"/>
      <c r="U69" s="27"/>
      <c r="V69" s="27"/>
      <c r="W69" s="27"/>
      <c r="X69" s="27"/>
      <c r="Y69" s="27"/>
      <c r="Z69" s="27"/>
    </row>
    <row r="70" spans="1:26" x14ac:dyDescent="0.25">
      <c r="A70" s="26" t="s">
        <v>161</v>
      </c>
      <c r="B70" s="216">
        <v>0</v>
      </c>
      <c r="C70" s="216">
        <v>5000</v>
      </c>
      <c r="D70" s="216">
        <f t="shared" si="22"/>
        <v>21750</v>
      </c>
      <c r="E70" s="216">
        <f t="shared" si="23"/>
        <v>26750</v>
      </c>
      <c r="F70" s="216">
        <v>2000</v>
      </c>
      <c r="G70" s="217"/>
      <c r="H70" s="217"/>
      <c r="I70" s="27"/>
      <c r="J70" s="27"/>
      <c r="K70" s="284">
        <v>0.15</v>
      </c>
      <c r="L70" s="27"/>
      <c r="M70" s="329" t="s">
        <v>336</v>
      </c>
      <c r="N70" s="47"/>
      <c r="O70" s="27"/>
      <c r="P70" s="27"/>
      <c r="Q70" s="27"/>
      <c r="R70" s="27"/>
      <c r="S70" s="27"/>
      <c r="T70" s="27"/>
      <c r="U70" s="27"/>
      <c r="V70" s="27"/>
      <c r="W70" s="27"/>
      <c r="X70" s="27"/>
      <c r="Y70" s="27"/>
      <c r="Z70" s="27"/>
    </row>
    <row r="71" spans="1:26" x14ac:dyDescent="0.25">
      <c r="A71" s="26" t="s">
        <v>106</v>
      </c>
      <c r="B71" s="216">
        <v>1000</v>
      </c>
      <c r="C71" s="216">
        <v>0</v>
      </c>
      <c r="D71" s="216">
        <f t="shared" si="22"/>
        <v>7250</v>
      </c>
      <c r="E71" s="216">
        <f t="shared" si="23"/>
        <v>8250</v>
      </c>
      <c r="F71" s="216">
        <v>2000</v>
      </c>
      <c r="G71" s="221"/>
      <c r="H71" s="220"/>
      <c r="I71" s="27"/>
      <c r="J71" s="27"/>
      <c r="K71" s="284">
        <v>0.05</v>
      </c>
      <c r="L71" s="27"/>
      <c r="M71" s="329" t="s">
        <v>327</v>
      </c>
      <c r="N71" s="47"/>
      <c r="O71" s="27"/>
      <c r="P71" s="27"/>
      <c r="Q71" s="27"/>
      <c r="R71" s="27"/>
      <c r="S71" s="27"/>
      <c r="T71" s="27"/>
      <c r="U71" s="27"/>
      <c r="V71" s="27"/>
      <c r="W71" s="27"/>
      <c r="X71" s="27"/>
      <c r="Y71" s="27"/>
      <c r="Z71" s="27"/>
    </row>
    <row r="72" spans="1:26" x14ac:dyDescent="0.25">
      <c r="A72" s="26" t="s">
        <v>324</v>
      </c>
      <c r="B72" s="216">
        <v>0</v>
      </c>
      <c r="C72" s="216">
        <v>0</v>
      </c>
      <c r="D72" s="216">
        <f t="shared" si="22"/>
        <v>29000</v>
      </c>
      <c r="E72" s="216">
        <f t="shared" si="23"/>
        <v>29000</v>
      </c>
      <c r="F72" s="216">
        <v>15000</v>
      </c>
      <c r="G72" s="221"/>
      <c r="H72" s="220"/>
      <c r="I72" s="27"/>
      <c r="J72" s="27"/>
      <c r="K72" s="284">
        <v>0.2</v>
      </c>
      <c r="L72" s="27"/>
      <c r="M72" s="329" t="s">
        <v>325</v>
      </c>
      <c r="N72" s="47"/>
      <c r="O72" s="27"/>
      <c r="P72" s="27"/>
      <c r="Q72" s="27"/>
      <c r="R72" s="27"/>
      <c r="S72" s="27"/>
      <c r="T72" s="27"/>
      <c r="U72" s="27"/>
      <c r="V72" s="27"/>
      <c r="W72" s="27"/>
      <c r="X72" s="27"/>
      <c r="Y72" s="27"/>
      <c r="Z72" s="27"/>
    </row>
    <row r="73" spans="1:26" x14ac:dyDescent="0.25">
      <c r="A73" s="26" t="s">
        <v>248</v>
      </c>
      <c r="B73" s="216">
        <v>0</v>
      </c>
      <c r="C73" s="216">
        <v>0</v>
      </c>
      <c r="D73" s="216">
        <v>2000</v>
      </c>
      <c r="E73" s="216">
        <f t="shared" si="23"/>
        <v>2000</v>
      </c>
      <c r="F73" s="216">
        <v>0</v>
      </c>
      <c r="G73" s="221"/>
      <c r="H73" s="220"/>
      <c r="I73" s="27"/>
      <c r="J73" s="27"/>
      <c r="K73" s="284"/>
      <c r="L73" s="27"/>
      <c r="M73" s="27"/>
      <c r="N73" s="47"/>
      <c r="O73" s="27"/>
      <c r="P73" s="27"/>
      <c r="Q73" s="27"/>
      <c r="R73" s="27"/>
      <c r="S73" s="27"/>
      <c r="T73" s="27"/>
      <c r="U73" s="27"/>
      <c r="V73" s="27"/>
      <c r="W73" s="27"/>
      <c r="X73" s="27"/>
      <c r="Y73" s="27"/>
      <c r="Z73" s="27"/>
    </row>
    <row r="74" spans="1:26" x14ac:dyDescent="0.25">
      <c r="A74" s="25" t="str">
        <f>CONCATENATE("Subtotal ",A66)</f>
        <v>Subtotal RTF Management</v>
      </c>
      <c r="B74" s="218">
        <f>SUM(B67:B73)</f>
        <v>4300</v>
      </c>
      <c r="C74" s="218">
        <f>SUM(C67:C73)</f>
        <v>5000</v>
      </c>
      <c r="D74" s="218">
        <f>SUM(D67:D73)</f>
        <v>147000</v>
      </c>
      <c r="E74" s="218">
        <f>SUM(E67:E73)</f>
        <v>156300</v>
      </c>
      <c r="F74" s="218">
        <f>SUM(F67:F73)</f>
        <v>99000</v>
      </c>
      <c r="G74" s="219">
        <f>E74/$E$77</f>
        <v>8.7328193094200465E-2</v>
      </c>
      <c r="H74" s="217"/>
      <c r="I74" s="27"/>
      <c r="J74" s="27"/>
      <c r="K74" s="285">
        <f>SUM(K67:K72)</f>
        <v>1.0000000000000002</v>
      </c>
      <c r="L74" s="27"/>
      <c r="M74" s="27"/>
      <c r="N74" s="47"/>
      <c r="O74" s="27"/>
      <c r="P74" s="27"/>
      <c r="Q74" s="27"/>
      <c r="R74" s="27"/>
      <c r="S74" s="27"/>
      <c r="T74" s="27"/>
      <c r="U74" s="27"/>
      <c r="V74" s="27"/>
      <c r="W74" s="27"/>
      <c r="X74" s="27"/>
      <c r="Y74" s="27"/>
      <c r="Z74" s="27"/>
    </row>
    <row r="75" spans="1:26" x14ac:dyDescent="0.25">
      <c r="A75" s="27"/>
      <c r="B75" s="27"/>
      <c r="C75" s="27"/>
      <c r="D75" s="27"/>
      <c r="E75" s="27"/>
      <c r="F75" s="27"/>
      <c r="G75" s="27"/>
      <c r="H75" s="27"/>
      <c r="I75" s="27"/>
      <c r="J75" s="27"/>
      <c r="K75" s="27"/>
      <c r="L75" s="27"/>
      <c r="M75" s="27"/>
      <c r="N75" s="47"/>
      <c r="O75" s="27"/>
      <c r="P75" s="27"/>
      <c r="Q75" s="27"/>
      <c r="R75" s="27"/>
      <c r="S75" s="27"/>
      <c r="T75" s="27"/>
      <c r="U75" s="27"/>
      <c r="V75" s="27"/>
      <c r="W75" s="27"/>
      <c r="X75" s="27"/>
      <c r="Y75" s="27"/>
      <c r="Z75" s="27"/>
    </row>
    <row r="77" spans="1:26" x14ac:dyDescent="0.25">
      <c r="A77" s="28" t="s">
        <v>278</v>
      </c>
      <c r="B77" s="48">
        <f>SUM(B16,B25,B33,B38,B43,B50,B56,B63,B74)</f>
        <v>480300</v>
      </c>
      <c r="C77" s="48">
        <f>SUM(C16,C25,C33,C38,C43,C50,C56,C63,C74)</f>
        <v>1162500</v>
      </c>
      <c r="D77" s="48">
        <f>SUM(D16,D25,D33,D38,D43,D50,D56,D63,D74)</f>
        <v>147000</v>
      </c>
      <c r="E77" s="48">
        <f>SUM(E16,E25,E33,E38,E43,E50,E56,E63,E74)</f>
        <v>1789800</v>
      </c>
      <c r="F77" s="48">
        <f>SUM(F16,F25,F33,F38,F43,F50,F56,F63,F74)</f>
        <v>204200</v>
      </c>
      <c r="G77" s="49">
        <f>SUM(G9:G76)</f>
        <v>0.99999999999999989</v>
      </c>
      <c r="H77" s="29"/>
      <c r="I77" s="29"/>
      <c r="J77" s="29"/>
      <c r="K77" s="29"/>
      <c r="L77" s="29"/>
      <c r="M77" s="29"/>
      <c r="N77" s="50"/>
      <c r="O77" s="29"/>
      <c r="P77" s="29"/>
      <c r="Q77" s="29"/>
      <c r="R77" s="29"/>
      <c r="S77" s="29"/>
      <c r="T77" s="29"/>
      <c r="U77" s="29"/>
      <c r="V77" s="29"/>
      <c r="W77" s="29"/>
      <c r="X77" s="29"/>
      <c r="Y77" s="29"/>
      <c r="Z77" s="29"/>
    </row>
    <row r="78" spans="1:26" x14ac:dyDescent="0.25">
      <c r="F78" s="222"/>
    </row>
    <row r="79" spans="1:26" x14ac:dyDescent="0.25">
      <c r="A79" s="185" t="s">
        <v>191</v>
      </c>
      <c r="B79" s="190"/>
      <c r="D79" s="292"/>
      <c r="E79" s="293" t="s">
        <v>246</v>
      </c>
      <c r="F79" s="294" t="s">
        <v>245</v>
      </c>
      <c r="N79" s="19"/>
    </row>
    <row r="80" spans="1:26" x14ac:dyDescent="0.25">
      <c r="A80" s="186" t="s">
        <v>192</v>
      </c>
      <c r="B80" s="187">
        <f>B77/$E$77</f>
        <v>0.26835400603419374</v>
      </c>
      <c r="D80" s="289" t="s">
        <v>247</v>
      </c>
      <c r="E80" s="290">
        <f>'Typical Rates'!O48</f>
        <v>0</v>
      </c>
      <c r="F80" s="302">
        <f>E80-C77</f>
        <v>-1162500</v>
      </c>
      <c r="H80" s="304"/>
      <c r="N80" s="19"/>
    </row>
    <row r="81" spans="1:14" x14ac:dyDescent="0.25">
      <c r="A81" s="186" t="s">
        <v>249</v>
      </c>
      <c r="B81" s="187">
        <f>C77/$E$77</f>
        <v>0.64951391216895737</v>
      </c>
      <c r="D81" s="289" t="s">
        <v>176</v>
      </c>
      <c r="E81" s="290">
        <v>147000</v>
      </c>
      <c r="F81" s="291">
        <f>E81-D74</f>
        <v>0</v>
      </c>
      <c r="J81" s="304"/>
    </row>
    <row r="82" spans="1:14" x14ac:dyDescent="0.25">
      <c r="A82" s="186" t="s">
        <v>250</v>
      </c>
      <c r="B82" s="187">
        <f>D77/E77</f>
        <v>8.2132081796848805E-2</v>
      </c>
      <c r="C82" s="63"/>
      <c r="D82" s="289" t="s">
        <v>174</v>
      </c>
      <c r="E82" s="290">
        <f>E83-E80-E81</f>
        <v>1642800</v>
      </c>
      <c r="F82" s="291">
        <f>E82-B77</f>
        <v>1162500</v>
      </c>
      <c r="N82" s="19"/>
    </row>
    <row r="83" spans="1:14" x14ac:dyDescent="0.25">
      <c r="A83" s="188" t="s">
        <v>193</v>
      </c>
      <c r="B83" s="187">
        <f>SUM(F16,F25,F33,F38,F43,F50,F56)/SUM(F16,F25,F33,F38,F43,F50,F56,F74,F63)</f>
        <v>0.46620959843290893</v>
      </c>
      <c r="C83" s="63"/>
      <c r="D83" s="295" t="s">
        <v>119</v>
      </c>
      <c r="E83" s="296">
        <f>F7</f>
        <v>1789800</v>
      </c>
      <c r="F83" s="297">
        <f>E83-E7</f>
        <v>0</v>
      </c>
      <c r="N83" s="19"/>
    </row>
    <row r="84" spans="1:14" x14ac:dyDescent="0.25">
      <c r="A84" s="188" t="s">
        <v>194</v>
      </c>
      <c r="B84" s="187">
        <f>1-B83</f>
        <v>0.53379040156709112</v>
      </c>
      <c r="D84" s="298" t="s">
        <v>244</v>
      </c>
      <c r="E84" s="300">
        <f>'NPCC In Kind'!S27</f>
        <v>200624</v>
      </c>
      <c r="F84" s="299">
        <f>E84-F77</f>
        <v>-3576</v>
      </c>
    </row>
    <row r="85" spans="1:14" x14ac:dyDescent="0.25">
      <c r="A85" s="186" t="s">
        <v>190</v>
      </c>
      <c r="B85" s="189">
        <f>SUM(B24+B15)</f>
        <v>76000</v>
      </c>
      <c r="I85" s="270"/>
      <c r="N85" s="19"/>
    </row>
    <row r="86" spans="1:14" x14ac:dyDescent="0.25">
      <c r="A86" s="188" t="s">
        <v>258</v>
      </c>
      <c r="B86" s="301">
        <f>C77/('NPCC In Kind'!Q2)</f>
        <v>6.3226538648411497</v>
      </c>
      <c r="D86" s="305"/>
      <c r="E86" s="305"/>
      <c r="F86" s="305"/>
      <c r="G86" s="305"/>
      <c r="N86" s="19"/>
    </row>
    <row r="87" spans="1:14" x14ac:dyDescent="0.25">
      <c r="A87" s="281" t="s">
        <v>189</v>
      </c>
      <c r="B87" s="282">
        <f>F77/('NPCC In Kind'!Q2)</f>
        <v>1.1106115433983337</v>
      </c>
      <c r="D87" s="305"/>
      <c r="E87" s="305"/>
      <c r="F87" s="305"/>
      <c r="G87" s="305"/>
      <c r="I87" s="304"/>
    </row>
    <row r="88" spans="1:14" x14ac:dyDescent="0.25">
      <c r="D88" s="305"/>
      <c r="E88" s="305"/>
      <c r="F88" s="305"/>
      <c r="G88" s="305"/>
      <c r="I88" s="304"/>
    </row>
    <row r="89" spans="1:14" x14ac:dyDescent="0.25">
      <c r="D89" s="305"/>
      <c r="E89" s="305"/>
      <c r="F89" s="305"/>
      <c r="G89" s="305"/>
    </row>
    <row r="90" spans="1:14" x14ac:dyDescent="0.25">
      <c r="D90" s="305"/>
      <c r="E90" s="305"/>
      <c r="F90" s="305"/>
      <c r="G90" s="305"/>
    </row>
    <row r="91" spans="1:14" x14ac:dyDescent="0.25">
      <c r="D91" s="305"/>
      <c r="E91" s="305"/>
      <c r="F91" s="305"/>
      <c r="G91" s="305"/>
    </row>
    <row r="92" spans="1:14" x14ac:dyDescent="0.25">
      <c r="D92" s="305"/>
      <c r="E92" s="305"/>
      <c r="F92" s="305"/>
      <c r="G92" s="305"/>
      <c r="J92" s="304"/>
    </row>
    <row r="93" spans="1:14" x14ac:dyDescent="0.25">
      <c r="D93" s="305"/>
      <c r="E93" s="305"/>
      <c r="F93" s="305"/>
      <c r="G93" s="305"/>
      <c r="J93" s="304"/>
      <c r="K93" s="270"/>
    </row>
    <row r="94" spans="1:14" x14ac:dyDescent="0.25">
      <c r="J94" s="304"/>
    </row>
  </sheetData>
  <mergeCells count="2">
    <mergeCell ref="H7:L7"/>
    <mergeCell ref="H66:L66"/>
  </mergeCells>
  <conditionalFormatting sqref="G7">
    <cfRule type="cellIs" dxfId="5" priority="1" operator="lessThan">
      <formula>0</formula>
    </cfRule>
    <cfRule type="cellIs" dxfId="4" priority="2" operator="greaterThanOrEqual">
      <formula>0</formula>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0"/>
  <sheetViews>
    <sheetView tabSelected="1" topLeftCell="A13" zoomScale="80" zoomScaleNormal="80" workbookViewId="0">
      <pane xSplit="2" topLeftCell="C1" activePane="topRight" state="frozen"/>
      <selection pane="topRight" activeCell="C27" sqref="C27:G31"/>
    </sheetView>
  </sheetViews>
  <sheetFormatPr defaultColWidth="8.85546875" defaultRowHeight="15.75" x14ac:dyDescent="0.2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x14ac:dyDescent="0.3">
      <c r="B1" s="443" t="s">
        <v>259</v>
      </c>
      <c r="C1" s="95" t="s">
        <v>233</v>
      </c>
    </row>
    <row r="2" spans="2:44" x14ac:dyDescent="0.25">
      <c r="B2" s="5" t="str">
        <f>'Table of Contents'!B2</f>
        <v>PROPOSED Work Plan (September 8, 2016)</v>
      </c>
      <c r="J2" s="192"/>
      <c r="K2" s="192" t="s">
        <v>217</v>
      </c>
      <c r="L2" s="193">
        <f>L3+0.01</f>
        <v>2.5000000000000001E-2</v>
      </c>
      <c r="Q2" s="192"/>
      <c r="R2" s="192" t="s">
        <v>217</v>
      </c>
      <c r="S2" s="193">
        <f>$L$2</f>
        <v>2.5000000000000001E-2</v>
      </c>
      <c r="X2" s="192"/>
      <c r="Y2" s="192" t="s">
        <v>217</v>
      </c>
      <c r="Z2" s="193">
        <f>$L$2</f>
        <v>2.5000000000000001E-2</v>
      </c>
      <c r="AE2" s="192"/>
      <c r="AF2" s="192" t="s">
        <v>217</v>
      </c>
      <c r="AG2" s="193">
        <f>$L$2</f>
        <v>2.5000000000000001E-2</v>
      </c>
    </row>
    <row r="3" spans="2:44" x14ac:dyDescent="0.25">
      <c r="B3"/>
      <c r="J3" s="192"/>
      <c r="K3" s="192" t="s">
        <v>218</v>
      </c>
      <c r="L3" s="193">
        <v>1.4999999999999999E-2</v>
      </c>
      <c r="Q3" s="192"/>
      <c r="R3" s="192" t="s">
        <v>218</v>
      </c>
      <c r="S3" s="193">
        <f>$L$3</f>
        <v>1.4999999999999999E-2</v>
      </c>
      <c r="X3" s="192"/>
      <c r="Y3" s="192" t="s">
        <v>218</v>
      </c>
      <c r="Z3" s="193">
        <f>$L$3</f>
        <v>1.4999999999999999E-2</v>
      </c>
      <c r="AB3" s="96"/>
      <c r="AC3" s="96"/>
      <c r="AD3" s="96"/>
      <c r="AE3" s="192"/>
      <c r="AF3" s="192" t="s">
        <v>218</v>
      </c>
      <c r="AG3" s="193">
        <f>$L$3</f>
        <v>1.4999999999999999E-2</v>
      </c>
    </row>
    <row r="4" spans="2:44" x14ac:dyDescent="0.25">
      <c r="C4" s="426" t="s">
        <v>279</v>
      </c>
      <c r="D4" s="427"/>
      <c r="E4" s="427"/>
      <c r="F4" s="427"/>
      <c r="G4" s="427"/>
      <c r="J4" s="426" t="s">
        <v>305</v>
      </c>
      <c r="K4" s="427"/>
      <c r="L4" s="427"/>
      <c r="M4" s="427"/>
      <c r="N4" s="428"/>
      <c r="Q4" s="426" t="s">
        <v>310</v>
      </c>
      <c r="R4" s="427"/>
      <c r="S4" s="427"/>
      <c r="T4" s="427"/>
      <c r="U4" s="427"/>
      <c r="X4" s="426" t="s">
        <v>219</v>
      </c>
      <c r="Y4" s="427"/>
      <c r="Z4" s="427"/>
      <c r="AA4" s="427"/>
      <c r="AB4" s="427"/>
      <c r="AC4" s="316"/>
      <c r="AE4" s="429" t="s">
        <v>220</v>
      </c>
      <c r="AF4" s="427"/>
      <c r="AG4" s="427"/>
      <c r="AH4" s="427"/>
      <c r="AI4" s="427"/>
    </row>
    <row r="5" spans="2:44" ht="47.25" x14ac:dyDescent="0.25">
      <c r="B5" s="52" t="s">
        <v>49</v>
      </c>
      <c r="C5" s="53" t="s">
        <v>174</v>
      </c>
      <c r="D5" s="306" t="s">
        <v>235</v>
      </c>
      <c r="E5" s="54" t="s">
        <v>176</v>
      </c>
      <c r="F5" s="97" t="s">
        <v>68</v>
      </c>
      <c r="G5" s="57" t="s">
        <v>141</v>
      </c>
      <c r="I5" s="53" t="s">
        <v>107</v>
      </c>
      <c r="J5" s="53" t="s">
        <v>174</v>
      </c>
      <c r="K5" s="53" t="str">
        <f>D5</f>
        <v>Contract Analyst Team</v>
      </c>
      <c r="L5" s="54" t="s">
        <v>176</v>
      </c>
      <c r="M5" s="54" t="s">
        <v>68</v>
      </c>
      <c r="N5" s="55" t="s">
        <v>141</v>
      </c>
      <c r="P5" s="53" t="s">
        <v>107</v>
      </c>
      <c r="Q5" s="53" t="s">
        <v>174</v>
      </c>
      <c r="R5" s="306" t="s">
        <v>235</v>
      </c>
      <c r="S5" s="54" t="s">
        <v>176</v>
      </c>
      <c r="T5" s="97" t="s">
        <v>68</v>
      </c>
      <c r="U5" s="57" t="s">
        <v>141</v>
      </c>
      <c r="W5" s="53" t="s">
        <v>107</v>
      </c>
      <c r="X5" s="53" t="s">
        <v>174</v>
      </c>
      <c r="Y5" s="306" t="s">
        <v>235</v>
      </c>
      <c r="Z5" s="54" t="s">
        <v>176</v>
      </c>
      <c r="AA5" s="97" t="s">
        <v>68</v>
      </c>
      <c r="AB5" s="57" t="s">
        <v>141</v>
      </c>
      <c r="AD5" s="53" t="s">
        <v>107</v>
      </c>
      <c r="AE5" s="53" t="s">
        <v>174</v>
      </c>
      <c r="AF5" s="53" t="s">
        <v>178</v>
      </c>
      <c r="AG5" s="54" t="s">
        <v>176</v>
      </c>
      <c r="AH5" s="97" t="s">
        <v>68</v>
      </c>
      <c r="AI5" s="57" t="s">
        <v>141</v>
      </c>
      <c r="AK5" s="52" t="s">
        <v>221</v>
      </c>
      <c r="AL5" s="53">
        <v>2015</v>
      </c>
      <c r="AM5" s="53" t="s">
        <v>222</v>
      </c>
      <c r="AN5" s="53" t="s">
        <v>223</v>
      </c>
      <c r="AO5" s="422" t="s">
        <v>109</v>
      </c>
      <c r="AP5" s="422"/>
      <c r="AQ5" s="422"/>
      <c r="AR5" s="422"/>
    </row>
    <row r="6" spans="2:44" ht="38.25" customHeight="1" x14ac:dyDescent="0.25">
      <c r="B6" s="58" t="s">
        <v>52</v>
      </c>
      <c r="C6" s="59">
        <v>112500</v>
      </c>
      <c r="D6" s="59">
        <v>428000</v>
      </c>
      <c r="E6" s="59">
        <v>0</v>
      </c>
      <c r="F6" s="311">
        <v>540500</v>
      </c>
      <c r="G6" s="65">
        <v>9600</v>
      </c>
      <c r="I6" s="315" t="s">
        <v>298</v>
      </c>
      <c r="J6" s="59">
        <v>127500</v>
      </c>
      <c r="K6" s="59">
        <v>325000</v>
      </c>
      <c r="L6" s="59">
        <v>0</v>
      </c>
      <c r="M6" s="311">
        <v>452500</v>
      </c>
      <c r="N6" s="65">
        <v>8400</v>
      </c>
      <c r="P6" s="335" t="s">
        <v>298</v>
      </c>
      <c r="Q6" s="59">
        <f>'Category (2017)'!C6</f>
        <v>48000</v>
      </c>
      <c r="R6" s="59">
        <f>'Category (2017)'!D6</f>
        <v>345000</v>
      </c>
      <c r="S6" s="59">
        <f>'Category (2017)'!E6</f>
        <v>0</v>
      </c>
      <c r="T6" s="311">
        <f>'Category (2017)'!F6</f>
        <v>393000</v>
      </c>
      <c r="U6" s="65">
        <f>'Category (2017)'!G6</f>
        <v>14000</v>
      </c>
      <c r="W6" s="86">
        <v>1.35</v>
      </c>
      <c r="X6" s="59">
        <f>ROUND(Q6*$W6*(1+$Z$2),-2)</f>
        <v>66400</v>
      </c>
      <c r="Y6" s="59">
        <f t="shared" ref="Y6:AB14" si="0">ROUND(R6*$W6*(1+$Z$2),-2)</f>
        <v>477400</v>
      </c>
      <c r="Z6" s="59">
        <f t="shared" si="0"/>
        <v>0</v>
      </c>
      <c r="AA6" s="311">
        <f t="shared" si="0"/>
        <v>543800</v>
      </c>
      <c r="AB6" s="65">
        <f t="shared" si="0"/>
        <v>19400</v>
      </c>
      <c r="AD6" s="86">
        <v>0.99590000000000001</v>
      </c>
      <c r="AE6" s="59">
        <f>ROUND(X6*$AD6*(1+$AG$2),-2)</f>
        <v>67800</v>
      </c>
      <c r="AF6" s="59">
        <f t="shared" ref="AF6:AI14" si="1">ROUND(Y6*$AD6*(1+$AG$2),-2)</f>
        <v>487300</v>
      </c>
      <c r="AG6" s="59">
        <f t="shared" si="1"/>
        <v>0</v>
      </c>
      <c r="AH6" s="311">
        <f t="shared" si="1"/>
        <v>555100</v>
      </c>
      <c r="AI6" s="65">
        <f t="shared" si="1"/>
        <v>19800</v>
      </c>
      <c r="AK6" s="264" t="s">
        <v>224</v>
      </c>
      <c r="AL6" s="265">
        <f>SUM(F6:F8)</f>
        <v>1049500</v>
      </c>
      <c r="AM6" s="265">
        <f>SUM(AH6:AH8)</f>
        <v>1166300</v>
      </c>
      <c r="AN6" s="265">
        <f>AM6-AL6</f>
        <v>116800</v>
      </c>
      <c r="AO6" s="423" t="s">
        <v>300</v>
      </c>
      <c r="AP6" s="424"/>
      <c r="AQ6" s="424"/>
      <c r="AR6" s="425"/>
    </row>
    <row r="7" spans="2:44" ht="38.25" customHeight="1" x14ac:dyDescent="0.25">
      <c r="B7" s="58" t="s">
        <v>67</v>
      </c>
      <c r="C7" s="59">
        <v>90000</v>
      </c>
      <c r="D7" s="59">
        <v>310000</v>
      </c>
      <c r="E7" s="59">
        <v>0</v>
      </c>
      <c r="F7" s="311">
        <v>400000</v>
      </c>
      <c r="G7" s="65">
        <v>5100</v>
      </c>
      <c r="I7" s="315" t="s">
        <v>298</v>
      </c>
      <c r="J7" s="59">
        <v>88000</v>
      </c>
      <c r="K7" s="59">
        <v>240000</v>
      </c>
      <c r="L7" s="59">
        <v>0</v>
      </c>
      <c r="M7" s="311">
        <v>328000</v>
      </c>
      <c r="N7" s="65">
        <v>2700</v>
      </c>
      <c r="P7" s="335" t="s">
        <v>298</v>
      </c>
      <c r="Q7" s="59">
        <f>'Category (2017)'!C7</f>
        <v>48000</v>
      </c>
      <c r="R7" s="59">
        <f>'Category (2017)'!D7</f>
        <v>367500</v>
      </c>
      <c r="S7" s="59">
        <f>'Category (2017)'!E7</f>
        <v>0</v>
      </c>
      <c r="T7" s="311">
        <f>'Category (2017)'!F7</f>
        <v>415500</v>
      </c>
      <c r="U7" s="65">
        <f>'Category (2017)'!G7</f>
        <v>12200</v>
      </c>
      <c r="W7" s="86">
        <v>1</v>
      </c>
      <c r="X7" s="59">
        <f t="shared" ref="X7:X14" si="2">ROUND(Q7*$W7*(1+$Z$2),-2)</f>
        <v>49200</v>
      </c>
      <c r="Y7" s="59">
        <f t="shared" si="0"/>
        <v>376700</v>
      </c>
      <c r="Z7" s="59">
        <f t="shared" si="0"/>
        <v>0</v>
      </c>
      <c r="AA7" s="311">
        <f t="shared" si="0"/>
        <v>425900</v>
      </c>
      <c r="AB7" s="65">
        <f t="shared" si="0"/>
        <v>12500</v>
      </c>
      <c r="AD7" s="335">
        <v>1</v>
      </c>
      <c r="AE7" s="59">
        <f t="shared" ref="AE7:AE14" si="3">ROUND(X7*$AD7*(1+$AG$2),-2)</f>
        <v>50400</v>
      </c>
      <c r="AF7" s="59">
        <f t="shared" si="1"/>
        <v>386100</v>
      </c>
      <c r="AG7" s="59">
        <f t="shared" si="1"/>
        <v>0</v>
      </c>
      <c r="AH7" s="311">
        <f t="shared" si="1"/>
        <v>436500</v>
      </c>
      <c r="AI7" s="65">
        <f t="shared" si="1"/>
        <v>12800</v>
      </c>
      <c r="AK7" s="264" t="s">
        <v>66</v>
      </c>
      <c r="AL7" s="265">
        <f>F9</f>
        <v>90500</v>
      </c>
      <c r="AM7" s="265">
        <f>AH9</f>
        <v>25900</v>
      </c>
      <c r="AN7" s="265">
        <f t="shared" ref="AN7:AN9" si="4">AM7-AL7</f>
        <v>-64600</v>
      </c>
      <c r="AO7" s="423" t="s">
        <v>359</v>
      </c>
      <c r="AP7" s="424"/>
      <c r="AQ7" s="424"/>
      <c r="AR7" s="425"/>
    </row>
    <row r="8" spans="2:44" ht="38.25" customHeight="1" x14ac:dyDescent="0.25">
      <c r="B8" s="58" t="s">
        <v>50</v>
      </c>
      <c r="C8" s="59">
        <v>25000</v>
      </c>
      <c r="D8" s="59">
        <v>84000</v>
      </c>
      <c r="E8" s="59">
        <v>0</v>
      </c>
      <c r="F8" s="311">
        <v>109000</v>
      </c>
      <c r="G8" s="65">
        <v>900</v>
      </c>
      <c r="I8" s="315" t="s">
        <v>298</v>
      </c>
      <c r="J8" s="59">
        <v>30000</v>
      </c>
      <c r="K8" s="59">
        <v>175000</v>
      </c>
      <c r="L8" s="59">
        <v>0</v>
      </c>
      <c r="M8" s="311">
        <v>205000</v>
      </c>
      <c r="N8" s="65">
        <v>500</v>
      </c>
      <c r="P8" s="335" t="s">
        <v>298</v>
      </c>
      <c r="Q8" s="59">
        <f>'Category (2017)'!C8</f>
        <v>125000</v>
      </c>
      <c r="R8" s="59">
        <f>'Category (2017)'!D8</f>
        <v>225000</v>
      </c>
      <c r="S8" s="59">
        <f>'Category (2017)'!E8</f>
        <v>0</v>
      </c>
      <c r="T8" s="311">
        <f>'Category (2017)'!F8</f>
        <v>350000</v>
      </c>
      <c r="U8" s="65">
        <f>'Category (2017)'!G8</f>
        <v>12000</v>
      </c>
      <c r="W8" s="86">
        <v>0.5</v>
      </c>
      <c r="X8" s="59">
        <f t="shared" si="2"/>
        <v>64100</v>
      </c>
      <c r="Y8" s="59">
        <f t="shared" si="0"/>
        <v>115300</v>
      </c>
      <c r="Z8" s="59">
        <f t="shared" si="0"/>
        <v>0</v>
      </c>
      <c r="AA8" s="311">
        <f t="shared" si="0"/>
        <v>179400</v>
      </c>
      <c r="AB8" s="65">
        <f t="shared" si="0"/>
        <v>6200</v>
      </c>
      <c r="AD8" s="86">
        <v>0.95</v>
      </c>
      <c r="AE8" s="59">
        <f t="shared" si="3"/>
        <v>62400</v>
      </c>
      <c r="AF8" s="59">
        <f t="shared" si="1"/>
        <v>112300</v>
      </c>
      <c r="AG8" s="59">
        <f t="shared" si="1"/>
        <v>0</v>
      </c>
      <c r="AH8" s="311">
        <f t="shared" si="1"/>
        <v>174700</v>
      </c>
      <c r="AI8" s="65">
        <f t="shared" si="1"/>
        <v>6000</v>
      </c>
      <c r="AJ8" s="51"/>
      <c r="AK8" s="264" t="s">
        <v>225</v>
      </c>
      <c r="AL8" s="265">
        <f>SUM(F10:F11)</f>
        <v>177500</v>
      </c>
      <c r="AM8" s="265">
        <f>SUM(AH10:AH11)</f>
        <v>141900</v>
      </c>
      <c r="AN8" s="265">
        <f t="shared" si="4"/>
        <v>-35600</v>
      </c>
      <c r="AO8" s="423" t="s">
        <v>360</v>
      </c>
      <c r="AP8" s="424"/>
      <c r="AQ8" s="424"/>
      <c r="AR8" s="425"/>
    </row>
    <row r="9" spans="2:44" ht="38.25" customHeight="1" x14ac:dyDescent="0.25">
      <c r="B9" s="66" t="s">
        <v>66</v>
      </c>
      <c r="C9" s="67">
        <v>10500</v>
      </c>
      <c r="D9" s="67">
        <v>80000</v>
      </c>
      <c r="E9" s="67">
        <v>0</v>
      </c>
      <c r="F9" s="312">
        <v>90500</v>
      </c>
      <c r="G9" s="72">
        <v>15000</v>
      </c>
      <c r="I9" s="315" t="s">
        <v>298</v>
      </c>
      <c r="J9" s="67">
        <v>10000</v>
      </c>
      <c r="K9" s="67">
        <v>60000</v>
      </c>
      <c r="L9" s="67">
        <v>0</v>
      </c>
      <c r="M9" s="312">
        <v>70000</v>
      </c>
      <c r="N9" s="72">
        <v>7000</v>
      </c>
      <c r="P9" s="335" t="s">
        <v>298</v>
      </c>
      <c r="Q9" s="67">
        <f>'Category (2017)'!C9</f>
        <v>0</v>
      </c>
      <c r="R9" s="67">
        <f>'Category (2017)'!D9</f>
        <v>20000</v>
      </c>
      <c r="S9" s="67">
        <f>'Category (2017)'!E9</f>
        <v>0</v>
      </c>
      <c r="T9" s="312">
        <f>'Category (2017)'!F9</f>
        <v>20000</v>
      </c>
      <c r="U9" s="72">
        <f>'Category (2017)'!G9</f>
        <v>5000</v>
      </c>
      <c r="W9" s="86">
        <v>1.3</v>
      </c>
      <c r="X9" s="67">
        <f t="shared" si="2"/>
        <v>0</v>
      </c>
      <c r="Y9" s="67">
        <f t="shared" si="0"/>
        <v>26700</v>
      </c>
      <c r="Z9" s="67">
        <f t="shared" si="0"/>
        <v>0</v>
      </c>
      <c r="AA9" s="312">
        <f t="shared" si="0"/>
        <v>26700</v>
      </c>
      <c r="AB9" s="72">
        <f t="shared" si="0"/>
        <v>6700</v>
      </c>
      <c r="AD9" s="86">
        <v>0.94499999999999995</v>
      </c>
      <c r="AE9" s="67">
        <f t="shared" si="3"/>
        <v>0</v>
      </c>
      <c r="AF9" s="67">
        <f t="shared" si="1"/>
        <v>25900</v>
      </c>
      <c r="AG9" s="67">
        <f t="shared" si="1"/>
        <v>0</v>
      </c>
      <c r="AH9" s="312">
        <f t="shared" si="1"/>
        <v>25900</v>
      </c>
      <c r="AI9" s="72">
        <f t="shared" si="1"/>
        <v>6500</v>
      </c>
      <c r="AJ9" s="51"/>
      <c r="AK9" s="264" t="s">
        <v>226</v>
      </c>
      <c r="AL9" s="265">
        <f>SUM(F12:F14)</f>
        <v>320100</v>
      </c>
      <c r="AM9" s="265">
        <f>SUM(AH12:AH14)</f>
        <v>541100</v>
      </c>
      <c r="AN9" s="265">
        <f t="shared" si="4"/>
        <v>221000</v>
      </c>
      <c r="AO9" s="423" t="s">
        <v>299</v>
      </c>
      <c r="AP9" s="424"/>
      <c r="AQ9" s="424"/>
      <c r="AR9" s="425"/>
    </row>
    <row r="10" spans="2:44" ht="38.25" customHeight="1" x14ac:dyDescent="0.25">
      <c r="B10" s="66" t="s">
        <v>28</v>
      </c>
      <c r="C10" s="67">
        <v>0</v>
      </c>
      <c r="D10" s="67">
        <v>40000</v>
      </c>
      <c r="E10" s="67">
        <v>0</v>
      </c>
      <c r="F10" s="312">
        <v>40000</v>
      </c>
      <c r="G10" s="72">
        <v>20000</v>
      </c>
      <c r="I10" s="315" t="s">
        <v>298</v>
      </c>
      <c r="J10" s="67">
        <v>0</v>
      </c>
      <c r="K10" s="67">
        <v>0</v>
      </c>
      <c r="L10" s="67">
        <v>0</v>
      </c>
      <c r="M10" s="312">
        <v>0</v>
      </c>
      <c r="N10" s="72">
        <v>0</v>
      </c>
      <c r="P10" s="335" t="s">
        <v>298</v>
      </c>
      <c r="Q10" s="67">
        <f>'Category (2017)'!C10</f>
        <v>0</v>
      </c>
      <c r="R10" s="67">
        <f>'Category (2017)'!D10</f>
        <v>0</v>
      </c>
      <c r="S10" s="67">
        <f>'Category (2017)'!E10</f>
        <v>0</v>
      </c>
      <c r="T10" s="312">
        <f>'Category (2017)'!F10</f>
        <v>0</v>
      </c>
      <c r="U10" s="72">
        <f>'Category (2017)'!G10</f>
        <v>0</v>
      </c>
      <c r="W10" s="86">
        <v>0</v>
      </c>
      <c r="X10" s="67">
        <f t="shared" si="2"/>
        <v>0</v>
      </c>
      <c r="Y10" s="67">
        <f t="shared" si="0"/>
        <v>0</v>
      </c>
      <c r="Z10" s="67">
        <f t="shared" si="0"/>
        <v>0</v>
      </c>
      <c r="AA10" s="312">
        <f t="shared" si="0"/>
        <v>0</v>
      </c>
      <c r="AB10" s="72">
        <f t="shared" si="0"/>
        <v>0</v>
      </c>
      <c r="AD10" s="86">
        <v>0</v>
      </c>
      <c r="AE10" s="67">
        <f t="shared" si="3"/>
        <v>0</v>
      </c>
      <c r="AF10" s="67">
        <f t="shared" si="1"/>
        <v>0</v>
      </c>
      <c r="AG10" s="67">
        <f t="shared" si="1"/>
        <v>0</v>
      </c>
      <c r="AH10" s="312">
        <f t="shared" si="1"/>
        <v>0</v>
      </c>
      <c r="AI10" s="72">
        <f t="shared" si="1"/>
        <v>0</v>
      </c>
      <c r="AJ10" s="51"/>
      <c r="AK10" s="266" t="s">
        <v>119</v>
      </c>
      <c r="AL10" s="267">
        <f t="shared" ref="AL10:AM10" si="5">SUM(AL6:AL9)</f>
        <v>1637600</v>
      </c>
      <c r="AM10" s="267">
        <f t="shared" si="5"/>
        <v>1875200</v>
      </c>
      <c r="AN10" s="267">
        <f>SUM(AN6:AN9)</f>
        <v>237600</v>
      </c>
      <c r="AO10" s="419"/>
      <c r="AP10" s="420"/>
      <c r="AQ10" s="420"/>
      <c r="AR10" s="421"/>
    </row>
    <row r="11" spans="2:44" ht="38.25" customHeight="1" x14ac:dyDescent="0.25">
      <c r="B11" s="66" t="s">
        <v>72</v>
      </c>
      <c r="C11" s="67">
        <v>12500</v>
      </c>
      <c r="D11" s="67">
        <v>125000</v>
      </c>
      <c r="E11" s="67">
        <v>0</v>
      </c>
      <c r="F11" s="312">
        <v>137500</v>
      </c>
      <c r="G11" s="72">
        <v>4000</v>
      </c>
      <c r="I11" s="315" t="s">
        <v>298</v>
      </c>
      <c r="J11" s="67">
        <v>15000</v>
      </c>
      <c r="K11" s="67">
        <v>135000</v>
      </c>
      <c r="L11" s="67">
        <v>0</v>
      </c>
      <c r="M11" s="312">
        <v>150000</v>
      </c>
      <c r="N11" s="72">
        <v>9000</v>
      </c>
      <c r="P11" s="335" t="s">
        <v>298</v>
      </c>
      <c r="Q11" s="67">
        <f>'Category (2017)'!C11</f>
        <v>20000</v>
      </c>
      <c r="R11" s="67">
        <f>'Category (2017)'!D11</f>
        <v>115000</v>
      </c>
      <c r="S11" s="67">
        <f>'Category (2017)'!E11</f>
        <v>0</v>
      </c>
      <c r="T11" s="312">
        <f>'Category (2017)'!F11</f>
        <v>135000</v>
      </c>
      <c r="U11" s="72">
        <f>'Category (2017)'!G11</f>
        <v>17000</v>
      </c>
      <c r="W11" s="86">
        <v>1</v>
      </c>
      <c r="X11" s="67">
        <f t="shared" si="2"/>
        <v>20500</v>
      </c>
      <c r="Y11" s="67">
        <f t="shared" si="0"/>
        <v>117900</v>
      </c>
      <c r="Z11" s="67">
        <f t="shared" si="0"/>
        <v>0</v>
      </c>
      <c r="AA11" s="312">
        <f t="shared" si="0"/>
        <v>138400</v>
      </c>
      <c r="AB11" s="72">
        <f t="shared" si="0"/>
        <v>17400</v>
      </c>
      <c r="AD11" s="86">
        <v>1</v>
      </c>
      <c r="AE11" s="67">
        <f t="shared" si="3"/>
        <v>21000</v>
      </c>
      <c r="AF11" s="67">
        <f t="shared" si="1"/>
        <v>120800</v>
      </c>
      <c r="AG11" s="67">
        <f t="shared" si="1"/>
        <v>0</v>
      </c>
      <c r="AH11" s="312">
        <f t="shared" si="1"/>
        <v>141900</v>
      </c>
      <c r="AI11" s="72">
        <f t="shared" si="1"/>
        <v>17800</v>
      </c>
      <c r="AJ11" s="51"/>
      <c r="AK11" s="51"/>
      <c r="AL11" s="51"/>
    </row>
    <row r="12" spans="2:44" ht="38.25" customHeight="1" x14ac:dyDescent="0.25">
      <c r="B12" s="73" t="s">
        <v>48</v>
      </c>
      <c r="C12" s="194">
        <v>20000</v>
      </c>
      <c r="D12" s="194">
        <v>20000</v>
      </c>
      <c r="E12" s="194">
        <v>0</v>
      </c>
      <c r="F12" s="313">
        <v>40000</v>
      </c>
      <c r="G12" s="196">
        <v>55000</v>
      </c>
      <c r="I12" s="315" t="s">
        <v>298</v>
      </c>
      <c r="J12" s="194">
        <v>60000</v>
      </c>
      <c r="K12" s="194">
        <v>20000</v>
      </c>
      <c r="L12" s="194">
        <v>0</v>
      </c>
      <c r="M12" s="313">
        <v>80000</v>
      </c>
      <c r="N12" s="196">
        <v>18000</v>
      </c>
      <c r="P12" s="335" t="s">
        <v>298</v>
      </c>
      <c r="Q12" s="194">
        <f>'Category (2017)'!C12</f>
        <v>70000</v>
      </c>
      <c r="R12" s="194">
        <f>'Category (2017)'!D12</f>
        <v>10000</v>
      </c>
      <c r="S12" s="194">
        <f>'Category (2017)'!E12</f>
        <v>0</v>
      </c>
      <c r="T12" s="313">
        <f>'Category (2017)'!F12</f>
        <v>80000</v>
      </c>
      <c r="U12" s="196">
        <f>'Category (2017)'!G12</f>
        <v>35000</v>
      </c>
      <c r="W12" s="86">
        <v>1.1950000000000001</v>
      </c>
      <c r="X12" s="194">
        <f t="shared" si="2"/>
        <v>85700</v>
      </c>
      <c r="Y12" s="194">
        <f t="shared" si="0"/>
        <v>12200</v>
      </c>
      <c r="Z12" s="194">
        <f t="shared" si="0"/>
        <v>0</v>
      </c>
      <c r="AA12" s="313">
        <f t="shared" si="0"/>
        <v>98000</v>
      </c>
      <c r="AB12" s="196">
        <f t="shared" si="0"/>
        <v>42900</v>
      </c>
      <c r="AD12" s="86">
        <v>1</v>
      </c>
      <c r="AE12" s="194">
        <f t="shared" si="3"/>
        <v>87800</v>
      </c>
      <c r="AF12" s="194">
        <f t="shared" si="1"/>
        <v>12500</v>
      </c>
      <c r="AG12" s="194">
        <f t="shared" si="1"/>
        <v>0</v>
      </c>
      <c r="AH12" s="313">
        <f t="shared" si="1"/>
        <v>100500</v>
      </c>
      <c r="AI12" s="196">
        <f t="shared" si="1"/>
        <v>44000</v>
      </c>
      <c r="AK12" s="268"/>
    </row>
    <row r="13" spans="2:44" ht="38.25" customHeight="1" x14ac:dyDescent="0.25">
      <c r="B13" s="73" t="s">
        <v>19</v>
      </c>
      <c r="C13" s="194">
        <v>146800</v>
      </c>
      <c r="D13" s="194">
        <v>0</v>
      </c>
      <c r="E13" s="194">
        <v>0</v>
      </c>
      <c r="F13" s="313">
        <v>146800</v>
      </c>
      <c r="G13" s="196">
        <v>5000</v>
      </c>
      <c r="I13" s="315" t="s">
        <v>298</v>
      </c>
      <c r="J13" s="194">
        <v>169200</v>
      </c>
      <c r="K13" s="194">
        <v>65000</v>
      </c>
      <c r="L13" s="194">
        <v>0</v>
      </c>
      <c r="M13" s="313">
        <v>234200</v>
      </c>
      <c r="N13" s="196">
        <v>25000</v>
      </c>
      <c r="P13" s="335" t="s">
        <v>298</v>
      </c>
      <c r="Q13" s="194">
        <f>'Category (2017)'!C13</f>
        <v>165000</v>
      </c>
      <c r="R13" s="194">
        <f>'Category (2017)'!D13</f>
        <v>75000</v>
      </c>
      <c r="S13" s="194">
        <f>'Category (2017)'!E13</f>
        <v>0</v>
      </c>
      <c r="T13" s="313">
        <f>'Category (2017)'!F13</f>
        <v>240000</v>
      </c>
      <c r="U13" s="196">
        <f>'Category (2017)'!G13</f>
        <v>10000</v>
      </c>
      <c r="W13" s="86">
        <v>1.0489999999999999</v>
      </c>
      <c r="X13" s="194">
        <f t="shared" si="2"/>
        <v>177400</v>
      </c>
      <c r="Y13" s="194">
        <f t="shared" si="0"/>
        <v>80600</v>
      </c>
      <c r="Z13" s="194">
        <f t="shared" si="0"/>
        <v>0</v>
      </c>
      <c r="AA13" s="313">
        <f t="shared" si="0"/>
        <v>258100</v>
      </c>
      <c r="AB13" s="196">
        <f t="shared" si="0"/>
        <v>10800</v>
      </c>
      <c r="AD13" s="86">
        <v>1.02</v>
      </c>
      <c r="AE13" s="194">
        <f t="shared" si="3"/>
        <v>185500</v>
      </c>
      <c r="AF13" s="194">
        <f t="shared" si="1"/>
        <v>84300</v>
      </c>
      <c r="AG13" s="194">
        <f t="shared" si="1"/>
        <v>0</v>
      </c>
      <c r="AH13" s="313">
        <f t="shared" si="1"/>
        <v>269800</v>
      </c>
      <c r="AI13" s="196">
        <f t="shared" si="1"/>
        <v>11300</v>
      </c>
      <c r="AK13" s="268"/>
    </row>
    <row r="14" spans="2:44" ht="38.25" customHeight="1" x14ac:dyDescent="0.25">
      <c r="B14" s="73" t="s">
        <v>51</v>
      </c>
      <c r="C14" s="194">
        <v>8300</v>
      </c>
      <c r="D14" s="194">
        <v>0</v>
      </c>
      <c r="E14" s="194">
        <v>125000</v>
      </c>
      <c r="F14" s="313">
        <v>133300</v>
      </c>
      <c r="G14" s="196">
        <v>87000</v>
      </c>
      <c r="I14" s="315" t="s">
        <v>298</v>
      </c>
      <c r="J14" s="194">
        <v>8300</v>
      </c>
      <c r="K14" s="194">
        <v>0</v>
      </c>
      <c r="L14" s="194">
        <v>135000</v>
      </c>
      <c r="M14" s="313">
        <v>143300</v>
      </c>
      <c r="N14" s="196">
        <v>77500</v>
      </c>
      <c r="P14" s="335" t="s">
        <v>298</v>
      </c>
      <c r="Q14" s="194">
        <f>'Category (2017)'!C14</f>
        <v>4300</v>
      </c>
      <c r="R14" s="194">
        <f>'Category (2017)'!D14</f>
        <v>5000</v>
      </c>
      <c r="S14" s="194">
        <f>'Category (2017)'!E14</f>
        <v>147000</v>
      </c>
      <c r="T14" s="313">
        <f>'Category (2017)'!F14</f>
        <v>156300</v>
      </c>
      <c r="U14" s="196">
        <f>'Category (2017)'!G14</f>
        <v>99000</v>
      </c>
      <c r="W14" s="86">
        <v>1.02</v>
      </c>
      <c r="X14" s="194">
        <f t="shared" si="2"/>
        <v>4500</v>
      </c>
      <c r="Y14" s="194">
        <f t="shared" si="0"/>
        <v>5200</v>
      </c>
      <c r="Z14" s="194">
        <f t="shared" si="0"/>
        <v>153700</v>
      </c>
      <c r="AA14" s="313">
        <f t="shared" si="0"/>
        <v>163400</v>
      </c>
      <c r="AB14" s="196">
        <f t="shared" si="0"/>
        <v>103500</v>
      </c>
      <c r="AD14" s="86">
        <v>1.02</v>
      </c>
      <c r="AE14" s="194">
        <f t="shared" si="3"/>
        <v>4700</v>
      </c>
      <c r="AF14" s="194">
        <f t="shared" si="1"/>
        <v>5400</v>
      </c>
      <c r="AG14" s="194">
        <f t="shared" si="1"/>
        <v>160700</v>
      </c>
      <c r="AH14" s="313">
        <f t="shared" si="1"/>
        <v>170800</v>
      </c>
      <c r="AI14" s="196">
        <f t="shared" si="1"/>
        <v>108200</v>
      </c>
      <c r="AK14" s="268"/>
    </row>
    <row r="15" spans="2:44" ht="38.25" customHeight="1" x14ac:dyDescent="0.25">
      <c r="B15" s="308" t="s">
        <v>20</v>
      </c>
      <c r="C15" s="309">
        <f>SUM(C6:C14)</f>
        <v>425600</v>
      </c>
      <c r="D15" s="309">
        <f t="shared" ref="D15:E15" si="6">SUM(D6:D14)</f>
        <v>1087000</v>
      </c>
      <c r="E15" s="309">
        <f t="shared" si="6"/>
        <v>125000</v>
      </c>
      <c r="F15" s="314">
        <f>SUM(F6:F14)</f>
        <v>1637600</v>
      </c>
      <c r="G15" s="310">
        <f t="shared" ref="G15" si="7">SUM(G6:G14)</f>
        <v>201600</v>
      </c>
      <c r="J15" s="344">
        <f>SUM(J6:J14)</f>
        <v>508000</v>
      </c>
      <c r="K15" s="344">
        <f t="shared" ref="K15:N15" si="8">SUM(K6:K14)</f>
        <v>1020000</v>
      </c>
      <c r="L15" s="344">
        <f t="shared" si="8"/>
        <v>135000</v>
      </c>
      <c r="M15" s="345">
        <f t="shared" si="8"/>
        <v>1663000</v>
      </c>
      <c r="N15" s="346">
        <f t="shared" si="8"/>
        <v>148100</v>
      </c>
      <c r="Q15" s="78">
        <f>SUM(Q6:Q14)</f>
        <v>480300</v>
      </c>
      <c r="R15" s="78">
        <f t="shared" ref="R15:U15" si="9">SUM(R6:R14)</f>
        <v>1162500</v>
      </c>
      <c r="S15" s="78">
        <f t="shared" si="9"/>
        <v>147000</v>
      </c>
      <c r="T15" s="98">
        <f t="shared" si="9"/>
        <v>1789800</v>
      </c>
      <c r="U15" s="83">
        <f t="shared" si="9"/>
        <v>204200</v>
      </c>
      <c r="X15" s="78">
        <f>SUM(X6:X14)</f>
        <v>467800</v>
      </c>
      <c r="Y15" s="78">
        <f t="shared" ref="Y15" si="10">SUM(Y6:Y14)</f>
        <v>1212000</v>
      </c>
      <c r="Z15" s="78">
        <f t="shared" ref="Z15:AB15" si="11">SUM(Z6:Z14)</f>
        <v>153700</v>
      </c>
      <c r="AA15" s="98">
        <f t="shared" si="11"/>
        <v>1833700</v>
      </c>
      <c r="AB15" s="83">
        <f t="shared" si="11"/>
        <v>219400</v>
      </c>
      <c r="AE15" s="78">
        <f>SUM(AE6:AE14)</f>
        <v>479600</v>
      </c>
      <c r="AF15" s="78">
        <f t="shared" ref="AF15:AI15" si="12">SUM(AF6:AF14)</f>
        <v>1234600</v>
      </c>
      <c r="AG15" s="78">
        <f t="shared" si="12"/>
        <v>160700</v>
      </c>
      <c r="AH15" s="98">
        <f t="shared" si="12"/>
        <v>1875200</v>
      </c>
      <c r="AI15" s="83">
        <f t="shared" si="12"/>
        <v>226400</v>
      </c>
    </row>
    <row r="16" spans="2:44" x14ac:dyDescent="0.25">
      <c r="B16" s="99" t="s">
        <v>30</v>
      </c>
      <c r="C16" s="100"/>
      <c r="D16" s="101">
        <f>'Category Detail (2017)'!B86</f>
        <v>6.3226538648411497</v>
      </c>
      <c r="E16" s="307">
        <v>1</v>
      </c>
      <c r="F16" s="102"/>
      <c r="G16" s="103">
        <f>'Category Detail (2017)'!B87</f>
        <v>1.1106115433983337</v>
      </c>
      <c r="J16" s="99" t="s">
        <v>30</v>
      </c>
      <c r="K16" s="101">
        <f>K15/('[1]NPCC In Kind'!$K$2*(1+L2))</f>
        <v>6.2195121951219514</v>
      </c>
      <c r="L16" s="307">
        <v>1</v>
      </c>
      <c r="M16" s="269"/>
      <c r="N16" s="101">
        <f>N15/('[1]NPCC In Kind'!$K$2*(1+N2))</f>
        <v>0.92562500000000003</v>
      </c>
      <c r="Q16" s="99" t="s">
        <v>30</v>
      </c>
      <c r="R16" s="101">
        <f>R15/('[1]NPCC In Kind'!$K$2*(1+S2))</f>
        <v>7.0884146341463419</v>
      </c>
      <c r="S16" s="101">
        <f>S15/('[1]NPCC In Kind'!$K$2*(1+T2))</f>
        <v>0.91874999999999996</v>
      </c>
      <c r="T16" s="101"/>
      <c r="U16" s="101">
        <f>U15/('[1]NPCC In Kind'!$K$2*(1+V2))</f>
        <v>1.2762500000000001</v>
      </c>
      <c r="X16" s="99" t="s">
        <v>30</v>
      </c>
      <c r="Y16" s="101">
        <f>Y15/('[1]NPCC In Kind'!$K$2*(1+Z2))</f>
        <v>7.3902439024390247</v>
      </c>
      <c r="Z16" s="101">
        <f>Z15/('[1]NPCC In Kind'!$K$2*(1+AA2))</f>
        <v>0.96062499999999995</v>
      </c>
      <c r="AA16" s="269"/>
      <c r="AB16" s="101">
        <f>AB15/('[1]NPCC In Kind'!$K$2*(1+AB2))</f>
        <v>1.3712500000000001</v>
      </c>
      <c r="AE16" s="99" t="s">
        <v>30</v>
      </c>
      <c r="AF16" s="101">
        <f>AF15/('[1]NPCC In Kind'!$K$2*(1+AG2))</f>
        <v>7.5280487804878051</v>
      </c>
      <c r="AG16" s="101">
        <f>AG15/('[1]NPCC In Kind'!$K$2*(1+AH2))</f>
        <v>1.004375</v>
      </c>
      <c r="AH16" s="101"/>
      <c r="AI16" s="101">
        <f>AI15/('[1]NPCC In Kind'!$K$2*(1+AJ2))</f>
        <v>1.415</v>
      </c>
    </row>
    <row r="17" spans="2:35" x14ac:dyDescent="0.25">
      <c r="J17" s="270"/>
      <c r="K17" s="271"/>
      <c r="N17" s="51"/>
      <c r="P17" s="270"/>
      <c r="Q17" s="271"/>
      <c r="S17" s="305"/>
      <c r="T17" s="338"/>
      <c r="U17" s="51"/>
      <c r="V17" s="270"/>
      <c r="W17" s="271"/>
      <c r="Z17" s="305" t="s">
        <v>341</v>
      </c>
      <c r="AA17" s="347">
        <v>1833700</v>
      </c>
      <c r="AB17" s="270"/>
      <c r="AC17" s="271"/>
      <c r="AG17" s="305" t="s">
        <v>341</v>
      </c>
      <c r="AH17" s="347">
        <v>1875200</v>
      </c>
      <c r="AI17" s="51"/>
    </row>
    <row r="18" spans="2:35" ht="47.25" x14ac:dyDescent="0.25">
      <c r="C18" s="53" t="s">
        <v>174</v>
      </c>
      <c r="D18" s="306" t="s">
        <v>235</v>
      </c>
      <c r="E18" s="306" t="s">
        <v>176</v>
      </c>
      <c r="F18" s="53" t="s">
        <v>68</v>
      </c>
      <c r="G18" s="53" t="s">
        <v>170</v>
      </c>
      <c r="K18" s="51"/>
      <c r="M18" s="318"/>
      <c r="N18" s="318"/>
      <c r="O18" s="318"/>
      <c r="P18" s="318"/>
      <c r="Q18" s="318"/>
      <c r="R18" s="318"/>
      <c r="S18" s="339"/>
      <c r="T18" s="338"/>
      <c r="U18" s="318"/>
      <c r="V18" s="318"/>
      <c r="W18" s="318"/>
      <c r="X18" s="318"/>
      <c r="Y18" s="318"/>
      <c r="Z18" s="339"/>
      <c r="AA18" s="442"/>
      <c r="AB18" s="318"/>
      <c r="AC18" s="318"/>
      <c r="AD18" s="318"/>
      <c r="AE18" s="318"/>
      <c r="AF18" s="318"/>
      <c r="AG18" s="339"/>
      <c r="AH18" s="442"/>
    </row>
    <row r="19" spans="2:35" x14ac:dyDescent="0.25">
      <c r="B19" s="317" t="s">
        <v>261</v>
      </c>
      <c r="C19" s="105">
        <f>C15</f>
        <v>425600</v>
      </c>
      <c r="D19" s="105">
        <f>D15</f>
        <v>1087000</v>
      </c>
      <c r="E19" s="105">
        <f>E15</f>
        <v>125000</v>
      </c>
      <c r="F19" s="105">
        <f>F15</f>
        <v>1637600</v>
      </c>
      <c r="G19" s="105">
        <f>G15</f>
        <v>201600</v>
      </c>
    </row>
    <row r="20" spans="2:35" x14ac:dyDescent="0.25">
      <c r="B20" s="317" t="s">
        <v>262</v>
      </c>
      <c r="C20" s="105">
        <f>J15</f>
        <v>508000</v>
      </c>
      <c r="D20" s="105">
        <f t="shared" ref="D20:E20" si="13">K15</f>
        <v>1020000</v>
      </c>
      <c r="E20" s="105">
        <f t="shared" si="13"/>
        <v>135000</v>
      </c>
      <c r="F20" s="105">
        <f>M15</f>
        <v>1663000</v>
      </c>
      <c r="G20" s="105">
        <f>N15</f>
        <v>148100</v>
      </c>
      <c r="AA20" s="51"/>
    </row>
    <row r="21" spans="2:35" x14ac:dyDescent="0.25">
      <c r="B21" s="317" t="s">
        <v>263</v>
      </c>
      <c r="C21" s="105">
        <f>Q15</f>
        <v>480300</v>
      </c>
      <c r="D21" s="105">
        <f>R15</f>
        <v>1162500</v>
      </c>
      <c r="E21" s="105">
        <f>S15</f>
        <v>147000</v>
      </c>
      <c r="F21" s="105">
        <f>T15</f>
        <v>1789800</v>
      </c>
      <c r="G21" s="105">
        <f>U15</f>
        <v>204200</v>
      </c>
    </row>
    <row r="22" spans="2:35" x14ac:dyDescent="0.25">
      <c r="B22" s="317" t="s">
        <v>264</v>
      </c>
      <c r="C22" s="105">
        <f>X15</f>
        <v>467800</v>
      </c>
      <c r="D22" s="105">
        <f>Y15</f>
        <v>1212000</v>
      </c>
      <c r="E22" s="105">
        <f>Z15</f>
        <v>153700</v>
      </c>
      <c r="F22" s="105">
        <f>AA15</f>
        <v>1833700</v>
      </c>
      <c r="G22" s="105">
        <f>AB15</f>
        <v>219400</v>
      </c>
    </row>
    <row r="23" spans="2:35" x14ac:dyDescent="0.25">
      <c r="B23" s="319" t="s">
        <v>265</v>
      </c>
      <c r="C23" s="105">
        <f>AE15</f>
        <v>479600</v>
      </c>
      <c r="D23" s="105">
        <f>AF15</f>
        <v>1234600</v>
      </c>
      <c r="E23" s="105">
        <f>AG15</f>
        <v>160700</v>
      </c>
      <c r="F23" s="105">
        <f>AH15</f>
        <v>1875200</v>
      </c>
      <c r="G23" s="105">
        <f>AI15</f>
        <v>226400</v>
      </c>
    </row>
    <row r="26" spans="2:35" x14ac:dyDescent="0.25">
      <c r="B26" s="100"/>
      <c r="C26" s="53" t="s">
        <v>163</v>
      </c>
      <c r="D26" s="53" t="s">
        <v>179</v>
      </c>
      <c r="E26" s="53" t="s">
        <v>227</v>
      </c>
      <c r="F26" s="53" t="s">
        <v>228</v>
      </c>
      <c r="G26" s="53" t="s">
        <v>229</v>
      </c>
    </row>
    <row r="27" spans="2:35" x14ac:dyDescent="0.25">
      <c r="B27" s="104" t="s">
        <v>174</v>
      </c>
      <c r="C27" s="106">
        <f>C19</f>
        <v>425600</v>
      </c>
      <c r="D27" s="106">
        <f>C20</f>
        <v>508000</v>
      </c>
      <c r="E27" s="106">
        <f>C21</f>
        <v>480300</v>
      </c>
      <c r="F27" s="106">
        <f>C22</f>
        <v>467800</v>
      </c>
      <c r="G27" s="106">
        <f>C23</f>
        <v>479600</v>
      </c>
    </row>
    <row r="28" spans="2:35" x14ac:dyDescent="0.25">
      <c r="B28" s="317" t="s">
        <v>235</v>
      </c>
      <c r="C28" s="106">
        <f>D19</f>
        <v>1087000</v>
      </c>
      <c r="D28" s="106">
        <f>D20</f>
        <v>1020000</v>
      </c>
      <c r="E28" s="106">
        <f>D21</f>
        <v>1162500</v>
      </c>
      <c r="F28" s="106">
        <f>D22</f>
        <v>1212000</v>
      </c>
      <c r="G28" s="106">
        <f>D23</f>
        <v>1234600</v>
      </c>
    </row>
    <row r="29" spans="2:35" x14ac:dyDescent="0.25">
      <c r="B29" s="317" t="s">
        <v>176</v>
      </c>
      <c r="C29" s="106">
        <f>E19</f>
        <v>125000</v>
      </c>
      <c r="D29" s="106">
        <f>E20</f>
        <v>135000</v>
      </c>
      <c r="E29" s="106">
        <f>E21</f>
        <v>147000</v>
      </c>
      <c r="F29" s="106">
        <f>E22</f>
        <v>153700</v>
      </c>
      <c r="G29" s="106">
        <f>E23</f>
        <v>160700</v>
      </c>
    </row>
    <row r="30" spans="2:35" x14ac:dyDescent="0.25">
      <c r="B30" s="104" t="s">
        <v>68</v>
      </c>
      <c r="C30" s="106">
        <f>F19</f>
        <v>1637600</v>
      </c>
      <c r="D30" s="106">
        <f>F20</f>
        <v>1663000</v>
      </c>
      <c r="E30" s="106">
        <f>F21</f>
        <v>1789800</v>
      </c>
      <c r="F30" s="106">
        <f>F22</f>
        <v>1833700</v>
      </c>
      <c r="G30" s="106">
        <f>F23</f>
        <v>1875200</v>
      </c>
    </row>
    <row r="31" spans="2:35" x14ac:dyDescent="0.25">
      <c r="B31" s="104" t="s">
        <v>69</v>
      </c>
      <c r="C31" s="106">
        <f>G19</f>
        <v>201600</v>
      </c>
      <c r="D31" s="106">
        <f>G20</f>
        <v>148100</v>
      </c>
      <c r="E31" s="106">
        <f>G21</f>
        <v>204200</v>
      </c>
      <c r="F31" s="106">
        <f>G22</f>
        <v>219400</v>
      </c>
      <c r="G31" s="106">
        <f>G23</f>
        <v>226400</v>
      </c>
    </row>
    <row r="32" spans="2:35" x14ac:dyDescent="0.25">
      <c r="B32" s="104" t="s">
        <v>142</v>
      </c>
      <c r="C32" s="107">
        <f>G16</f>
        <v>1.1106115433983337</v>
      </c>
      <c r="D32" s="107">
        <f>N16</f>
        <v>0.92562500000000003</v>
      </c>
      <c r="E32" s="107">
        <f>U16</f>
        <v>1.2762500000000001</v>
      </c>
      <c r="F32" s="107">
        <f>AB16</f>
        <v>1.3712500000000001</v>
      </c>
      <c r="G32" s="107">
        <f>AI16</f>
        <v>1.415</v>
      </c>
    </row>
    <row r="35" spans="2:7" x14ac:dyDescent="0.25">
      <c r="B35" s="108" t="s">
        <v>68</v>
      </c>
      <c r="C35" s="306" t="s">
        <v>163</v>
      </c>
      <c r="D35" s="306" t="s">
        <v>179</v>
      </c>
      <c r="E35" s="306" t="s">
        <v>227</v>
      </c>
      <c r="F35" s="306" t="s">
        <v>228</v>
      </c>
      <c r="G35" s="306" t="s">
        <v>229</v>
      </c>
    </row>
    <row r="36" spans="2:7" x14ac:dyDescent="0.25">
      <c r="B36" s="109" t="s">
        <v>143</v>
      </c>
      <c r="C36" s="110">
        <f>SUM(F6:F8)</f>
        <v>1049500</v>
      </c>
      <c r="D36" s="110">
        <f>SUM(M6:M8)</f>
        <v>985500</v>
      </c>
      <c r="E36" s="110">
        <f>SUM(T6:T8)</f>
        <v>1158500</v>
      </c>
      <c r="F36" s="110">
        <f>SUM(AA6:AA8)</f>
        <v>1149100</v>
      </c>
      <c r="G36" s="110">
        <f>SUM(AH6:AH8)</f>
        <v>1166300</v>
      </c>
    </row>
    <row r="37" spans="2:7" x14ac:dyDescent="0.25">
      <c r="B37" s="111" t="s">
        <v>144</v>
      </c>
      <c r="C37" s="112">
        <f>SUM(F9:F11)</f>
        <v>268000</v>
      </c>
      <c r="D37" s="112">
        <f>SUM(M9:M11)</f>
        <v>220000</v>
      </c>
      <c r="E37" s="112">
        <f>SUM(T9:T11)</f>
        <v>155000</v>
      </c>
      <c r="F37" s="112">
        <f>SUM(AA9:AA11)</f>
        <v>165100</v>
      </c>
      <c r="G37" s="112">
        <f>SUM(AH9:AH11)</f>
        <v>167800</v>
      </c>
    </row>
    <row r="38" spans="2:7" x14ac:dyDescent="0.25">
      <c r="B38" s="113" t="s">
        <v>51</v>
      </c>
      <c r="C38" s="114">
        <f>SUM(F12:F14)</f>
        <v>320100</v>
      </c>
      <c r="D38" s="114">
        <f>SUM(M12:M14)</f>
        <v>457500</v>
      </c>
      <c r="E38" s="114">
        <f>SUM(T12:T14)</f>
        <v>476300</v>
      </c>
      <c r="F38" s="114">
        <f>SUM(AA12:AA14)</f>
        <v>519500</v>
      </c>
      <c r="G38" s="114">
        <f>SUM(AH12:AH14)</f>
        <v>541100</v>
      </c>
    </row>
    <row r="39" spans="2:7" x14ac:dyDescent="0.25">
      <c r="B39" s="115" t="s">
        <v>119</v>
      </c>
      <c r="C39" s="116">
        <f>SUM(C36:C38)</f>
        <v>1637600</v>
      </c>
      <c r="D39" s="116">
        <f t="shared" ref="D39:G39" si="14">SUM(D36:D38)</f>
        <v>1663000</v>
      </c>
      <c r="E39" s="116">
        <f t="shared" si="14"/>
        <v>1789800</v>
      </c>
      <c r="F39" s="116">
        <f t="shared" si="14"/>
        <v>1833700</v>
      </c>
      <c r="G39" s="116">
        <f t="shared" si="14"/>
        <v>1875200</v>
      </c>
    </row>
    <row r="42" spans="2:7" x14ac:dyDescent="0.25">
      <c r="B42" s="108" t="s">
        <v>145</v>
      </c>
      <c r="C42" s="306" t="s">
        <v>163</v>
      </c>
      <c r="D42" s="306" t="s">
        <v>179</v>
      </c>
      <c r="E42" s="306" t="s">
        <v>227</v>
      </c>
      <c r="F42" s="306" t="s">
        <v>228</v>
      </c>
      <c r="G42" s="306" t="s">
        <v>229</v>
      </c>
    </row>
    <row r="43" spans="2:7" x14ac:dyDescent="0.25">
      <c r="B43" s="109" t="s">
        <v>143</v>
      </c>
      <c r="C43" s="110">
        <f>SUM(F6:G8)</f>
        <v>1065100</v>
      </c>
      <c r="D43" s="110">
        <f>SUM(M6:N8)</f>
        <v>997100</v>
      </c>
      <c r="E43" s="110">
        <f>SUM(T6:U8)</f>
        <v>1196700</v>
      </c>
      <c r="F43" s="110">
        <f>SUM(AA6:AB8)</f>
        <v>1187200</v>
      </c>
      <c r="G43" s="110">
        <f>SUM(AH6:AI8)</f>
        <v>1204900</v>
      </c>
    </row>
    <row r="44" spans="2:7" x14ac:dyDescent="0.25">
      <c r="B44" s="111" t="s">
        <v>144</v>
      </c>
      <c r="C44" s="112">
        <f>SUM(F9:G11)</f>
        <v>307000</v>
      </c>
      <c r="D44" s="112">
        <f>SUM(M9:N11)</f>
        <v>236000</v>
      </c>
      <c r="E44" s="112">
        <f>SUM(T9:U11)</f>
        <v>177000</v>
      </c>
      <c r="F44" s="112">
        <f>SUM(AA9:AB11)</f>
        <v>189200</v>
      </c>
      <c r="G44" s="112">
        <f>SUM(AH9:AI11)</f>
        <v>192100</v>
      </c>
    </row>
    <row r="45" spans="2:7" x14ac:dyDescent="0.25">
      <c r="B45" s="113" t="s">
        <v>51</v>
      </c>
      <c r="C45" s="114">
        <f>SUM(F12:G14)</f>
        <v>467100</v>
      </c>
      <c r="D45" s="114">
        <f>SUM(M12:N14)</f>
        <v>578000</v>
      </c>
      <c r="E45" s="114">
        <f>SUM(T12:U14)</f>
        <v>620300</v>
      </c>
      <c r="F45" s="114">
        <f>SUM(AA12:AB14)</f>
        <v>676700</v>
      </c>
      <c r="G45" s="114">
        <f>SUM(AH12:AI14)</f>
        <v>704600</v>
      </c>
    </row>
    <row r="46" spans="2:7" x14ac:dyDescent="0.25">
      <c r="B46" s="115" t="s">
        <v>119</v>
      </c>
      <c r="C46" s="116">
        <f>SUM(C43:C45)</f>
        <v>1839200</v>
      </c>
      <c r="D46" s="116">
        <f t="shared" ref="D46:G46" si="15">SUM(D43:D45)</f>
        <v>1811100</v>
      </c>
      <c r="E46" s="116">
        <f t="shared" si="15"/>
        <v>1994000</v>
      </c>
      <c r="F46" s="116">
        <f t="shared" si="15"/>
        <v>2053100</v>
      </c>
      <c r="G46" s="116">
        <f t="shared" si="15"/>
        <v>2101600</v>
      </c>
    </row>
    <row r="48" spans="2:7" x14ac:dyDescent="0.25">
      <c r="B48" s="108" t="s">
        <v>230</v>
      </c>
      <c r="C48" s="306" t="s">
        <v>163</v>
      </c>
      <c r="D48" s="306" t="s">
        <v>179</v>
      </c>
      <c r="E48" s="306" t="s">
        <v>227</v>
      </c>
      <c r="F48" s="306" t="s">
        <v>228</v>
      </c>
      <c r="G48" s="306" t="s">
        <v>229</v>
      </c>
    </row>
    <row r="49" spans="2:7" x14ac:dyDescent="0.25">
      <c r="B49" s="272" t="s">
        <v>231</v>
      </c>
      <c r="C49" s="273"/>
      <c r="D49" s="274">
        <f>M15-F$15</f>
        <v>25400</v>
      </c>
      <c r="E49" s="274">
        <f>T15-M$15</f>
        <v>126800</v>
      </c>
      <c r="F49" s="274">
        <f>AA15-T$15</f>
        <v>43900</v>
      </c>
      <c r="G49" s="274">
        <f>AH15-AA$15</f>
        <v>41500</v>
      </c>
    </row>
    <row r="50" spans="2:7" x14ac:dyDescent="0.25">
      <c r="B50" s="272" t="s">
        <v>260</v>
      </c>
      <c r="C50" s="273"/>
      <c r="D50" s="274">
        <f>M15-F$15</f>
        <v>25400</v>
      </c>
      <c r="E50" s="274">
        <f>T15-$F$15</f>
        <v>152200</v>
      </c>
      <c r="F50" s="274">
        <f>AA15-$F$15</f>
        <v>196100</v>
      </c>
      <c r="G50" s="274">
        <f>AH15-$F$15</f>
        <v>237600</v>
      </c>
    </row>
  </sheetData>
  <mergeCells count="11">
    <mergeCell ref="C4:G4"/>
    <mergeCell ref="J4:N4"/>
    <mergeCell ref="Q4:U4"/>
    <mergeCell ref="X4:AB4"/>
    <mergeCell ref="AE4:AI4"/>
    <mergeCell ref="AO10:AR10"/>
    <mergeCell ref="AO5:AR5"/>
    <mergeCell ref="AO6:AR6"/>
    <mergeCell ref="AO7:AR7"/>
    <mergeCell ref="AO8:AR8"/>
    <mergeCell ref="AO9:AR9"/>
  </mergeCells>
  <conditionalFormatting sqref="AA17">
    <cfRule type="expression" dxfId="3" priority="3">
      <formula>$AA$17&lt;&gt;$AA$15</formula>
    </cfRule>
    <cfRule type="expression" dxfId="2" priority="5">
      <formula>$AA$17=$AA$15</formula>
    </cfRule>
  </conditionalFormatting>
  <conditionalFormatting sqref="AH17">
    <cfRule type="expression" dxfId="1" priority="1">
      <formula>$AH$17&lt;&gt;$AH$15</formula>
    </cfRule>
    <cfRule type="expression" dxfId="0" priority="2">
      <formula>$AH$17=$AH$15</formula>
    </cfRule>
  </conditionalFormatting>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A28"/>
  <sheetViews>
    <sheetView zoomScale="90" zoomScaleNormal="90" workbookViewId="0"/>
  </sheetViews>
  <sheetFormatPr defaultColWidth="8.85546875" defaultRowHeight="15.75" x14ac:dyDescent="0.25"/>
  <cols>
    <col min="1" max="2" width="19.140625" style="117" customWidth="1"/>
    <col min="3" max="3" width="28.5703125" style="117" customWidth="1"/>
    <col min="4" max="4" width="44.140625" style="117" bestFit="1" customWidth="1"/>
    <col min="5" max="5" width="20.42578125" style="117" bestFit="1" customWidth="1"/>
    <col min="6" max="7" width="19.140625" style="117" customWidth="1"/>
    <col min="8" max="8" width="5" style="117" customWidth="1"/>
    <col min="9" max="9" width="37.140625" style="117" customWidth="1"/>
    <col min="10" max="10" width="40" style="117" bestFit="1" customWidth="1"/>
    <col min="11" max="11" width="18.5703125" style="117" customWidth="1"/>
    <col min="12" max="12" width="13.28515625" style="117" customWidth="1"/>
    <col min="13" max="13" width="13.85546875" style="117" customWidth="1"/>
    <col min="14" max="14" width="5" style="117" customWidth="1"/>
    <col min="15" max="15" width="26.85546875" style="117" customWidth="1"/>
    <col min="16" max="16" width="44.140625" style="117" bestFit="1" customWidth="1"/>
    <col min="17" max="17" width="20.42578125" style="117" bestFit="1" customWidth="1"/>
    <col min="18" max="18" width="12.42578125" style="117" bestFit="1" customWidth="1"/>
    <col min="19" max="19" width="10.85546875" style="117" bestFit="1" customWidth="1"/>
    <col min="20" max="20" width="5" style="117" customWidth="1"/>
    <col min="21" max="21" width="27" style="117" customWidth="1"/>
    <col min="22" max="22" width="44.140625" style="117" bestFit="1" customWidth="1"/>
    <col min="23" max="23" width="14.28515625" style="117" bestFit="1" customWidth="1"/>
    <col min="24" max="24" width="12.42578125" style="117" bestFit="1" customWidth="1"/>
    <col min="25" max="25" width="10.85546875" style="117" bestFit="1" customWidth="1"/>
    <col min="26" max="26" width="4.42578125" style="117" customWidth="1"/>
    <col min="27" max="27" width="18.42578125" style="117" customWidth="1"/>
    <col min="28" max="28" width="32" style="117" bestFit="1" customWidth="1"/>
    <col min="29" max="29" width="14.28515625" style="117" bestFit="1" customWidth="1"/>
    <col min="30" max="30" width="12.42578125" style="117" bestFit="1" customWidth="1"/>
    <col min="31" max="31" width="10.85546875" style="117" bestFit="1" customWidth="1"/>
    <col min="32" max="32" width="11" style="117" bestFit="1" customWidth="1"/>
    <col min="33" max="33" width="29.5703125" style="117" customWidth="1"/>
    <col min="34" max="34" width="44.140625" style="117" bestFit="1" customWidth="1"/>
    <col min="35" max="35" width="18.42578125" style="117" customWidth="1"/>
    <col min="36" max="36" width="15" style="117" customWidth="1"/>
    <col min="37" max="37" width="14.28515625" style="117" bestFit="1" customWidth="1"/>
    <col min="38" max="38" width="12.42578125" style="117" bestFit="1" customWidth="1"/>
    <col min="39" max="39" width="20.85546875" style="117" customWidth="1"/>
    <col min="40" max="40" width="35" style="117" bestFit="1" customWidth="1"/>
    <col min="41" max="41" width="11" style="117" bestFit="1" customWidth="1"/>
    <col min="42" max="42" width="8.85546875" style="117"/>
    <col min="43" max="43" width="10.7109375" style="117" customWidth="1"/>
    <col min="44" max="44" width="10.85546875" style="117" customWidth="1"/>
    <col min="45" max="46" width="8.85546875" style="117"/>
    <col min="47" max="47" width="20.28515625" style="117" customWidth="1"/>
    <col min="48" max="48" width="35" style="117" bestFit="1" customWidth="1"/>
    <col min="49" max="51" width="15.140625" style="117" customWidth="1"/>
    <col min="52" max="16384" width="8.85546875" style="117"/>
  </cols>
  <sheetData>
    <row r="1" spans="2:53" ht="18.75" x14ac:dyDescent="0.3">
      <c r="B1" s="183" t="s">
        <v>110</v>
      </c>
      <c r="E1" s="118" t="s">
        <v>88</v>
      </c>
      <c r="H1" s="183"/>
      <c r="K1" s="118" t="s">
        <v>88</v>
      </c>
      <c r="N1" s="183"/>
      <c r="Q1" s="118" t="s">
        <v>88</v>
      </c>
      <c r="T1" s="183"/>
      <c r="W1" s="118" t="s">
        <v>88</v>
      </c>
    </row>
    <row r="2" spans="2:53" x14ac:dyDescent="0.25">
      <c r="B2" s="1" t="str">
        <f>'Table of Contents'!B2</f>
        <v>PROPOSED Work Plan (September 8, 2016)</v>
      </c>
      <c r="E2" s="324">
        <v>202000</v>
      </c>
      <c r="F2" s="224"/>
      <c r="H2" s="1"/>
      <c r="K2" s="324">
        <v>183862.66666666666</v>
      </c>
      <c r="L2" s="224"/>
      <c r="N2" s="1"/>
      <c r="Q2" s="119">
        <v>183862.66666666666</v>
      </c>
      <c r="R2" s="224"/>
      <c r="T2" s="1"/>
      <c r="W2" s="119">
        <v>160000</v>
      </c>
    </row>
    <row r="3" spans="2:53" x14ac:dyDescent="0.25">
      <c r="B3" s="32"/>
      <c r="H3" s="32"/>
      <c r="N3" s="32"/>
      <c r="T3" s="32"/>
    </row>
    <row r="4" spans="2:53" x14ac:dyDescent="0.25">
      <c r="C4" s="287" t="s">
        <v>342</v>
      </c>
      <c r="D4" s="288"/>
      <c r="F4" s="121">
        <f>G20</f>
        <v>2.33</v>
      </c>
      <c r="G4" s="122" t="s">
        <v>30</v>
      </c>
      <c r="I4" s="287" t="s">
        <v>280</v>
      </c>
      <c r="J4" s="288"/>
      <c r="L4" s="121">
        <f>M22</f>
        <v>1.9800000000000002</v>
      </c>
      <c r="M4" s="122" t="s">
        <v>30</v>
      </c>
      <c r="O4" s="287" t="s">
        <v>239</v>
      </c>
      <c r="P4" s="288"/>
      <c r="R4" s="121">
        <f>S22</f>
        <v>2.66</v>
      </c>
      <c r="S4" s="122" t="s">
        <v>30</v>
      </c>
      <c r="U4" s="120" t="s">
        <v>185</v>
      </c>
      <c r="X4" s="121">
        <f>Y21</f>
        <v>2.7900000000000005</v>
      </c>
      <c r="Y4" s="122" t="s">
        <v>30</v>
      </c>
      <c r="AA4" s="120" t="s">
        <v>149</v>
      </c>
      <c r="AD4" s="121">
        <f>AE21</f>
        <v>2.6200000000000006</v>
      </c>
      <c r="AE4" s="122" t="s">
        <v>30</v>
      </c>
      <c r="AG4" s="120" t="s">
        <v>177</v>
      </c>
      <c r="AJ4" s="121">
        <f>AK20</f>
        <v>2.3539999999999996</v>
      </c>
      <c r="AK4" s="122" t="s">
        <v>30</v>
      </c>
      <c r="AM4" s="120" t="s">
        <v>29</v>
      </c>
      <c r="AR4" s="121">
        <f>AQ20</f>
        <v>2.4799999999999991</v>
      </c>
      <c r="AS4" s="122" t="s">
        <v>30</v>
      </c>
      <c r="AU4" s="120" t="s">
        <v>31</v>
      </c>
      <c r="AZ4" s="123">
        <f>AY19</f>
        <v>1.2800000000000002</v>
      </c>
      <c r="BA4" s="124" t="s">
        <v>30</v>
      </c>
    </row>
    <row r="6" spans="2:53" ht="64.5" customHeight="1" x14ac:dyDescent="0.25">
      <c r="C6" s="125" t="s">
        <v>32</v>
      </c>
      <c r="D6" s="125" t="s">
        <v>33</v>
      </c>
      <c r="E6" s="125" t="s">
        <v>34</v>
      </c>
      <c r="F6" s="125" t="s">
        <v>35</v>
      </c>
      <c r="G6" s="125" t="s">
        <v>36</v>
      </c>
      <c r="I6" s="125" t="s">
        <v>32</v>
      </c>
      <c r="J6" s="125" t="s">
        <v>33</v>
      </c>
      <c r="K6" s="125" t="s">
        <v>34</v>
      </c>
      <c r="L6" s="125" t="s">
        <v>35</v>
      </c>
      <c r="M6" s="125" t="s">
        <v>36</v>
      </c>
      <c r="O6" s="125" t="s">
        <v>32</v>
      </c>
      <c r="P6" s="125" t="s">
        <v>33</v>
      </c>
      <c r="Q6" s="125" t="s">
        <v>34</v>
      </c>
      <c r="R6" s="125" t="s">
        <v>35</v>
      </c>
      <c r="S6" s="125" t="s">
        <v>36</v>
      </c>
      <c r="U6" s="125" t="s">
        <v>32</v>
      </c>
      <c r="V6" s="125" t="s">
        <v>33</v>
      </c>
      <c r="W6" s="125" t="s">
        <v>34</v>
      </c>
      <c r="X6" s="125" t="s">
        <v>35</v>
      </c>
      <c r="Y6" s="125" t="s">
        <v>36</v>
      </c>
      <c r="AA6" s="125" t="s">
        <v>32</v>
      </c>
      <c r="AB6" s="125" t="s">
        <v>33</v>
      </c>
      <c r="AC6" s="125" t="s">
        <v>34</v>
      </c>
      <c r="AD6" s="125" t="s">
        <v>35</v>
      </c>
      <c r="AE6" s="125" t="s">
        <v>36</v>
      </c>
      <c r="AG6" s="125" t="s">
        <v>32</v>
      </c>
      <c r="AH6" s="125" t="s">
        <v>33</v>
      </c>
      <c r="AI6" s="125" t="s">
        <v>34</v>
      </c>
      <c r="AJ6" s="125" t="s">
        <v>35</v>
      </c>
      <c r="AK6" s="125" t="s">
        <v>36</v>
      </c>
      <c r="AM6" s="125" t="s">
        <v>32</v>
      </c>
      <c r="AN6" s="125" t="s">
        <v>33</v>
      </c>
      <c r="AO6" s="125" t="s">
        <v>34</v>
      </c>
      <c r="AP6" s="125" t="s">
        <v>35</v>
      </c>
      <c r="AQ6" s="125" t="s">
        <v>36</v>
      </c>
      <c r="AR6" s="125" t="s">
        <v>37</v>
      </c>
      <c r="AS6" s="125" t="s">
        <v>38</v>
      </c>
      <c r="AU6" s="125" t="s">
        <v>32</v>
      </c>
      <c r="AV6" s="125" t="s">
        <v>33</v>
      </c>
      <c r="AW6" s="125" t="s">
        <v>34</v>
      </c>
      <c r="AX6" s="125" t="s">
        <v>35</v>
      </c>
      <c r="AY6" s="125" t="s">
        <v>36</v>
      </c>
      <c r="AZ6" s="125" t="s">
        <v>37</v>
      </c>
      <c r="BA6" s="125" t="s">
        <v>38</v>
      </c>
    </row>
    <row r="7" spans="2:53" x14ac:dyDescent="0.25">
      <c r="C7" s="126" t="s">
        <v>344</v>
      </c>
      <c r="D7" s="126" t="s">
        <v>242</v>
      </c>
      <c r="E7" s="331">
        <v>0.01</v>
      </c>
      <c r="F7" s="331">
        <v>0.01</v>
      </c>
      <c r="G7" s="128">
        <f t="shared" ref="G7:G18" si="0">SUM(E7:F7)</f>
        <v>0.02</v>
      </c>
      <c r="I7" s="126" t="s">
        <v>343</v>
      </c>
      <c r="J7" s="126" t="s">
        <v>242</v>
      </c>
      <c r="K7" s="331">
        <v>0.01</v>
      </c>
      <c r="L7" s="331">
        <v>0.05</v>
      </c>
      <c r="M7" s="128">
        <f t="shared" ref="M7:M20" si="1">SUM(K7:L7)</f>
        <v>6.0000000000000005E-2</v>
      </c>
      <c r="O7" s="126" t="s">
        <v>41</v>
      </c>
      <c r="P7" s="126" t="s">
        <v>242</v>
      </c>
      <c r="Q7" s="127">
        <v>0.05</v>
      </c>
      <c r="R7" s="127">
        <v>0.1</v>
      </c>
      <c r="S7" s="128">
        <f t="shared" ref="S7:S20" si="2">SUM(Q7:R7)</f>
        <v>0.15000000000000002</v>
      </c>
      <c r="U7" s="126" t="s">
        <v>39</v>
      </c>
      <c r="V7" s="126" t="s">
        <v>89</v>
      </c>
      <c r="W7" s="127">
        <v>0.05</v>
      </c>
      <c r="X7" s="127">
        <v>0.02</v>
      </c>
      <c r="Y7" s="128">
        <f t="shared" ref="Y7:Y12" si="3">SUM(W7:X7)</f>
        <v>7.0000000000000007E-2</v>
      </c>
      <c r="AA7" s="126" t="s">
        <v>39</v>
      </c>
      <c r="AB7" s="126" t="s">
        <v>89</v>
      </c>
      <c r="AC7" s="127">
        <v>0.1</v>
      </c>
      <c r="AD7" s="127">
        <v>0.2</v>
      </c>
      <c r="AE7" s="128">
        <f t="shared" ref="AE7:AE20" si="4">SUM(AC7:AD7)</f>
        <v>0.30000000000000004</v>
      </c>
      <c r="AG7" s="126" t="s">
        <v>39</v>
      </c>
      <c r="AH7" s="126" t="s">
        <v>89</v>
      </c>
      <c r="AI7" s="127">
        <v>0.6</v>
      </c>
      <c r="AJ7" s="127">
        <v>0.2</v>
      </c>
      <c r="AK7" s="128">
        <v>0.8</v>
      </c>
      <c r="AM7" s="126" t="s">
        <v>39</v>
      </c>
      <c r="AN7" s="126" t="s">
        <v>40</v>
      </c>
      <c r="AO7" s="128">
        <v>0.4</v>
      </c>
      <c r="AP7" s="128">
        <v>0.4</v>
      </c>
      <c r="AQ7" s="128">
        <f t="shared" ref="AQ7:AQ19" si="5">SUM(AO7:AP7)</f>
        <v>0.8</v>
      </c>
      <c r="AR7" s="126"/>
      <c r="AS7" s="126"/>
      <c r="AU7" s="126" t="s">
        <v>39</v>
      </c>
      <c r="AV7" s="126" t="s">
        <v>40</v>
      </c>
      <c r="AW7" s="128">
        <v>0.2</v>
      </c>
      <c r="AX7" s="128">
        <v>0.1</v>
      </c>
      <c r="AY7" s="128">
        <f t="shared" ref="AY7:AY17" si="6">SUM(AW7:AX7)</f>
        <v>0.30000000000000004</v>
      </c>
      <c r="AZ7" s="126"/>
      <c r="BA7" s="126"/>
    </row>
    <row r="8" spans="2:53" x14ac:dyDescent="0.25">
      <c r="C8" s="126" t="s">
        <v>43</v>
      </c>
      <c r="D8" s="126" t="s">
        <v>187</v>
      </c>
      <c r="E8" s="331">
        <v>0</v>
      </c>
      <c r="F8" s="331">
        <v>0.1</v>
      </c>
      <c r="G8" s="128">
        <f t="shared" si="0"/>
        <v>0.1</v>
      </c>
      <c r="I8" s="126" t="s">
        <v>43</v>
      </c>
      <c r="J8" s="126" t="s">
        <v>187</v>
      </c>
      <c r="K8" s="331">
        <v>0.03</v>
      </c>
      <c r="L8" s="331">
        <v>0.1</v>
      </c>
      <c r="M8" s="128">
        <f t="shared" si="1"/>
        <v>0.13</v>
      </c>
      <c r="O8" s="126" t="s">
        <v>43</v>
      </c>
      <c r="P8" s="126" t="s">
        <v>243</v>
      </c>
      <c r="Q8" s="127">
        <v>0.15</v>
      </c>
      <c r="R8" s="127">
        <v>0.1</v>
      </c>
      <c r="S8" s="128">
        <f t="shared" si="2"/>
        <v>0.25</v>
      </c>
      <c r="U8" s="126" t="s">
        <v>41</v>
      </c>
      <c r="V8" s="126" t="s">
        <v>42</v>
      </c>
      <c r="W8" s="127">
        <v>0.1</v>
      </c>
      <c r="X8" s="127">
        <v>0.25</v>
      </c>
      <c r="Y8" s="128">
        <f t="shared" si="3"/>
        <v>0.35</v>
      </c>
      <c r="AA8" s="126" t="s">
        <v>41</v>
      </c>
      <c r="AB8" s="126" t="s">
        <v>42</v>
      </c>
      <c r="AC8" s="127">
        <v>0.1</v>
      </c>
      <c r="AD8" s="127">
        <v>0.25</v>
      </c>
      <c r="AE8" s="128">
        <f t="shared" si="4"/>
        <v>0.35</v>
      </c>
      <c r="AG8" s="126" t="s">
        <v>41</v>
      </c>
      <c r="AH8" s="126" t="s">
        <v>42</v>
      </c>
      <c r="AI8" s="127">
        <v>0.2</v>
      </c>
      <c r="AJ8" s="127">
        <v>0.25</v>
      </c>
      <c r="AK8" s="128">
        <v>0.45</v>
      </c>
      <c r="AM8" s="126" t="s">
        <v>41</v>
      </c>
      <c r="AN8" s="126" t="s">
        <v>42</v>
      </c>
      <c r="AO8" s="128">
        <v>0.3</v>
      </c>
      <c r="AP8" s="128">
        <v>0.2</v>
      </c>
      <c r="AQ8" s="128">
        <f t="shared" si="5"/>
        <v>0.5</v>
      </c>
      <c r="AR8" s="126"/>
      <c r="AS8" s="126"/>
      <c r="AU8" s="126" t="s">
        <v>41</v>
      </c>
      <c r="AV8" s="126" t="s">
        <v>42</v>
      </c>
      <c r="AW8" s="128">
        <v>0.15</v>
      </c>
      <c r="AX8" s="128">
        <v>0.25</v>
      </c>
      <c r="AY8" s="128">
        <f t="shared" si="6"/>
        <v>0.4</v>
      </c>
      <c r="AZ8" s="126"/>
      <c r="BA8" s="126"/>
    </row>
    <row r="9" spans="2:53" x14ac:dyDescent="0.25">
      <c r="C9" s="129" t="s">
        <v>45</v>
      </c>
      <c r="D9" s="129" t="s">
        <v>46</v>
      </c>
      <c r="E9" s="330">
        <v>0</v>
      </c>
      <c r="F9" s="331">
        <v>0.01</v>
      </c>
      <c r="G9" s="130">
        <f t="shared" si="0"/>
        <v>0.01</v>
      </c>
      <c r="I9" s="129" t="s">
        <v>45</v>
      </c>
      <c r="J9" s="129" t="s">
        <v>46</v>
      </c>
      <c r="K9" s="330">
        <v>0</v>
      </c>
      <c r="L9" s="331">
        <v>0.01</v>
      </c>
      <c r="M9" s="130">
        <f t="shared" si="1"/>
        <v>0.01</v>
      </c>
      <c r="O9" s="129" t="s">
        <v>45</v>
      </c>
      <c r="P9" s="129" t="s">
        <v>46</v>
      </c>
      <c r="Q9" s="130">
        <v>0</v>
      </c>
      <c r="R9" s="128">
        <v>0.02</v>
      </c>
      <c r="S9" s="130">
        <f t="shared" si="2"/>
        <v>0.02</v>
      </c>
      <c r="U9" s="126" t="s">
        <v>43</v>
      </c>
      <c r="V9" s="126" t="s">
        <v>187</v>
      </c>
      <c r="W9" s="127">
        <v>0.15</v>
      </c>
      <c r="X9" s="127">
        <v>0.25</v>
      </c>
      <c r="Y9" s="128">
        <f t="shared" si="3"/>
        <v>0.4</v>
      </c>
      <c r="AA9" s="126" t="s">
        <v>43</v>
      </c>
      <c r="AB9" s="126" t="s">
        <v>44</v>
      </c>
      <c r="AC9" s="127">
        <v>0.15</v>
      </c>
      <c r="AD9" s="127">
        <v>0.25</v>
      </c>
      <c r="AE9" s="128">
        <f t="shared" si="4"/>
        <v>0.4</v>
      </c>
      <c r="AG9" s="126" t="s">
        <v>43</v>
      </c>
      <c r="AH9" s="126" t="s">
        <v>44</v>
      </c>
      <c r="AI9" s="127">
        <v>0.254</v>
      </c>
      <c r="AJ9" s="127">
        <v>0.35</v>
      </c>
      <c r="AK9" s="128">
        <v>0.60399999999999998</v>
      </c>
      <c r="AM9" s="126" t="s">
        <v>43</v>
      </c>
      <c r="AN9" s="126" t="s">
        <v>44</v>
      </c>
      <c r="AO9" s="128">
        <v>0.33</v>
      </c>
      <c r="AP9" s="128">
        <v>0.33</v>
      </c>
      <c r="AQ9" s="128">
        <f t="shared" si="5"/>
        <v>0.66</v>
      </c>
      <c r="AR9" s="126"/>
      <c r="AS9" s="126"/>
      <c r="AU9" s="126" t="s">
        <v>43</v>
      </c>
      <c r="AV9" s="126" t="s">
        <v>44</v>
      </c>
      <c r="AW9" s="128">
        <v>0.15</v>
      </c>
      <c r="AX9" s="128">
        <v>0.15</v>
      </c>
      <c r="AY9" s="128">
        <f t="shared" si="6"/>
        <v>0.3</v>
      </c>
      <c r="AZ9" s="126"/>
      <c r="BA9" s="126"/>
    </row>
    <row r="10" spans="2:53" x14ac:dyDescent="0.25">
      <c r="C10" s="129" t="s">
        <v>241</v>
      </c>
      <c r="D10" s="126" t="s">
        <v>281</v>
      </c>
      <c r="E10" s="330">
        <v>0</v>
      </c>
      <c r="F10" s="331">
        <v>0.05</v>
      </c>
      <c r="G10" s="130">
        <f>SUM(E10:F10)</f>
        <v>0.05</v>
      </c>
      <c r="I10" s="129" t="s">
        <v>168</v>
      </c>
      <c r="J10" s="126" t="s">
        <v>0</v>
      </c>
      <c r="K10" s="330">
        <v>0</v>
      </c>
      <c r="L10" s="331">
        <v>0.01</v>
      </c>
      <c r="M10" s="130">
        <f t="shared" si="1"/>
        <v>0.01</v>
      </c>
      <c r="O10" s="129" t="s">
        <v>168</v>
      </c>
      <c r="P10" s="126" t="s">
        <v>0</v>
      </c>
      <c r="Q10" s="130">
        <v>0</v>
      </c>
      <c r="R10" s="128">
        <v>0.02</v>
      </c>
      <c r="S10" s="130">
        <f t="shared" si="2"/>
        <v>0.02</v>
      </c>
      <c r="U10" s="129" t="s">
        <v>45</v>
      </c>
      <c r="V10" s="129" t="s">
        <v>46</v>
      </c>
      <c r="W10" s="130">
        <v>0</v>
      </c>
      <c r="X10" s="128">
        <v>0.02</v>
      </c>
      <c r="Y10" s="130">
        <f t="shared" si="3"/>
        <v>0.02</v>
      </c>
      <c r="AA10" s="129" t="s">
        <v>45</v>
      </c>
      <c r="AB10" s="129" t="s">
        <v>46</v>
      </c>
      <c r="AC10" s="130">
        <v>0</v>
      </c>
      <c r="AD10" s="128">
        <v>0.02</v>
      </c>
      <c r="AE10" s="130">
        <f t="shared" si="4"/>
        <v>0.02</v>
      </c>
      <c r="AG10" s="129" t="s">
        <v>45</v>
      </c>
      <c r="AH10" s="129" t="s">
        <v>46</v>
      </c>
      <c r="AI10" s="130">
        <v>0</v>
      </c>
      <c r="AJ10" s="128">
        <v>0.01</v>
      </c>
      <c r="AK10" s="130">
        <v>0.01</v>
      </c>
      <c r="AM10" s="129" t="s">
        <v>45</v>
      </c>
      <c r="AN10" s="129" t="s">
        <v>46</v>
      </c>
      <c r="AO10" s="130">
        <v>0</v>
      </c>
      <c r="AP10" s="128">
        <v>0.01</v>
      </c>
      <c r="AQ10" s="130">
        <f t="shared" si="5"/>
        <v>0.01</v>
      </c>
      <c r="AR10" s="126"/>
      <c r="AS10" s="126"/>
      <c r="AU10" s="129" t="s">
        <v>45</v>
      </c>
      <c r="AV10" s="129" t="s">
        <v>46</v>
      </c>
      <c r="AW10" s="130">
        <v>0</v>
      </c>
      <c r="AX10" s="128">
        <v>0.02</v>
      </c>
      <c r="AY10" s="130">
        <f t="shared" si="6"/>
        <v>0.02</v>
      </c>
      <c r="AZ10" s="126"/>
      <c r="BA10" s="126"/>
    </row>
    <row r="11" spans="2:53" x14ac:dyDescent="0.25">
      <c r="C11" s="129" t="s">
        <v>282</v>
      </c>
      <c r="D11" s="126" t="s">
        <v>281</v>
      </c>
      <c r="E11" s="330">
        <v>0</v>
      </c>
      <c r="F11" s="331">
        <v>0.05</v>
      </c>
      <c r="G11" s="130">
        <f>SUM(E11:F11)</f>
        <v>0.05</v>
      </c>
      <c r="I11" s="129" t="s">
        <v>241</v>
      </c>
      <c r="J11" s="126" t="s">
        <v>281</v>
      </c>
      <c r="K11" s="330">
        <v>0</v>
      </c>
      <c r="L11" s="331">
        <v>7.0000000000000007E-2</v>
      </c>
      <c r="M11" s="130">
        <f t="shared" si="1"/>
        <v>7.0000000000000007E-2</v>
      </c>
      <c r="O11" s="129" t="s">
        <v>241</v>
      </c>
      <c r="P11" s="126"/>
      <c r="Q11" s="130">
        <v>0</v>
      </c>
      <c r="R11" s="128">
        <v>0.1</v>
      </c>
      <c r="S11" s="130">
        <f t="shared" si="2"/>
        <v>0.1</v>
      </c>
      <c r="U11" s="129" t="s">
        <v>168</v>
      </c>
      <c r="V11" s="126" t="s">
        <v>0</v>
      </c>
      <c r="W11" s="130">
        <v>0</v>
      </c>
      <c r="X11" s="128">
        <v>0.02</v>
      </c>
      <c r="Y11" s="130">
        <f t="shared" si="3"/>
        <v>0.02</v>
      </c>
      <c r="AA11" s="129" t="s">
        <v>168</v>
      </c>
      <c r="AB11" s="126" t="s">
        <v>0</v>
      </c>
      <c r="AC11" s="130">
        <v>0</v>
      </c>
      <c r="AD11" s="128">
        <v>0.02</v>
      </c>
      <c r="AE11" s="130">
        <f t="shared" si="4"/>
        <v>0.02</v>
      </c>
      <c r="AG11" s="129" t="s">
        <v>168</v>
      </c>
      <c r="AH11" s="126" t="s">
        <v>0</v>
      </c>
      <c r="AI11" s="130">
        <v>0</v>
      </c>
      <c r="AJ11" s="128">
        <v>0.01</v>
      </c>
      <c r="AK11" s="130">
        <v>0.01</v>
      </c>
      <c r="AM11" s="129" t="s">
        <v>47</v>
      </c>
      <c r="AN11" s="126" t="s">
        <v>0</v>
      </c>
      <c r="AO11" s="130">
        <v>0</v>
      </c>
      <c r="AP11" s="128">
        <v>0.01</v>
      </c>
      <c r="AQ11" s="130">
        <f t="shared" si="5"/>
        <v>0.01</v>
      </c>
      <c r="AR11" s="126"/>
      <c r="AS11" s="126"/>
      <c r="AU11" s="129" t="s">
        <v>1</v>
      </c>
      <c r="AV11" s="126" t="s">
        <v>0</v>
      </c>
      <c r="AW11" s="130">
        <v>0</v>
      </c>
      <c r="AX11" s="128">
        <v>0.05</v>
      </c>
      <c r="AY11" s="130">
        <f t="shared" si="6"/>
        <v>0.05</v>
      </c>
      <c r="AZ11" s="126"/>
      <c r="BA11" s="126"/>
    </row>
    <row r="12" spans="2:53" x14ac:dyDescent="0.25">
      <c r="C12" s="129" t="s">
        <v>347</v>
      </c>
      <c r="D12" s="126" t="s">
        <v>3</v>
      </c>
      <c r="E12" s="330">
        <v>1</v>
      </c>
      <c r="F12" s="331">
        <v>0</v>
      </c>
      <c r="G12" s="130">
        <f t="shared" si="0"/>
        <v>1</v>
      </c>
      <c r="I12" s="129" t="s">
        <v>282</v>
      </c>
      <c r="J12" s="126" t="s">
        <v>281</v>
      </c>
      <c r="K12" s="330">
        <v>0</v>
      </c>
      <c r="L12" s="331">
        <v>7.0000000000000007E-2</v>
      </c>
      <c r="M12" s="130">
        <f t="shared" si="1"/>
        <v>7.0000000000000007E-2</v>
      </c>
      <c r="O12" s="129" t="s">
        <v>252</v>
      </c>
      <c r="P12" s="126"/>
      <c r="Q12" s="130">
        <v>0</v>
      </c>
      <c r="R12" s="128">
        <v>0.1</v>
      </c>
      <c r="S12" s="130">
        <f t="shared" si="2"/>
        <v>0.1</v>
      </c>
      <c r="U12" s="129" t="s">
        <v>188</v>
      </c>
      <c r="V12" s="126" t="s">
        <v>3</v>
      </c>
      <c r="W12" s="130">
        <v>0.5</v>
      </c>
      <c r="X12" s="128">
        <v>0</v>
      </c>
      <c r="Y12" s="130">
        <f t="shared" si="3"/>
        <v>0.5</v>
      </c>
      <c r="AA12" s="129" t="s">
        <v>188</v>
      </c>
      <c r="AB12" s="126" t="s">
        <v>3</v>
      </c>
      <c r="AC12" s="130">
        <v>0.1</v>
      </c>
      <c r="AD12" s="128">
        <v>0</v>
      </c>
      <c r="AE12" s="130">
        <f t="shared" si="4"/>
        <v>0.1</v>
      </c>
      <c r="AG12" s="129" t="s">
        <v>188</v>
      </c>
      <c r="AH12" s="126" t="s">
        <v>3</v>
      </c>
      <c r="AI12" s="130">
        <v>0.04</v>
      </c>
      <c r="AJ12" s="128">
        <v>0</v>
      </c>
      <c r="AK12" s="130">
        <v>0.04</v>
      </c>
      <c r="AM12" s="129" t="s">
        <v>2</v>
      </c>
      <c r="AN12" s="126" t="s">
        <v>3</v>
      </c>
      <c r="AO12" s="130">
        <v>0.04</v>
      </c>
      <c r="AP12" s="128">
        <v>0</v>
      </c>
      <c r="AQ12" s="130">
        <f t="shared" si="5"/>
        <v>0.04</v>
      </c>
      <c r="AR12" s="126"/>
      <c r="AS12" s="126"/>
      <c r="AU12" s="129" t="s">
        <v>136</v>
      </c>
      <c r="AV12" s="126" t="s">
        <v>4</v>
      </c>
      <c r="AW12" s="130">
        <v>0</v>
      </c>
      <c r="AX12" s="128">
        <v>0.02</v>
      </c>
      <c r="AY12" s="130">
        <f t="shared" si="6"/>
        <v>0.02</v>
      </c>
      <c r="AZ12" s="126"/>
      <c r="BA12" s="126"/>
    </row>
    <row r="13" spans="2:53" x14ac:dyDescent="0.25">
      <c r="C13" s="129" t="s">
        <v>253</v>
      </c>
      <c r="D13" s="126" t="s">
        <v>248</v>
      </c>
      <c r="E13" s="330">
        <v>0.02</v>
      </c>
      <c r="F13" s="331">
        <v>0</v>
      </c>
      <c r="G13" s="130">
        <f t="shared" si="0"/>
        <v>0.02</v>
      </c>
      <c r="I13" s="129" t="s">
        <v>188</v>
      </c>
      <c r="J13" s="126" t="s">
        <v>3</v>
      </c>
      <c r="K13" s="330">
        <v>0.4</v>
      </c>
      <c r="L13" s="331">
        <v>0</v>
      </c>
      <c r="M13" s="130">
        <f t="shared" si="1"/>
        <v>0.4</v>
      </c>
      <c r="O13" s="129" t="s">
        <v>188</v>
      </c>
      <c r="P13" s="126" t="s">
        <v>3</v>
      </c>
      <c r="Q13" s="130">
        <v>0.5</v>
      </c>
      <c r="R13" s="128">
        <v>0</v>
      </c>
      <c r="S13" s="130">
        <f t="shared" si="2"/>
        <v>0.5</v>
      </c>
      <c r="U13" s="129" t="s">
        <v>7</v>
      </c>
      <c r="V13" s="126" t="s">
        <v>137</v>
      </c>
      <c r="W13" s="130">
        <v>0.05</v>
      </c>
      <c r="X13" s="128">
        <v>0</v>
      </c>
      <c r="Y13" s="130">
        <f t="shared" ref="Y13:Y18" si="7">SUM(W13:X13)</f>
        <v>0.05</v>
      </c>
      <c r="AA13" s="129" t="s">
        <v>136</v>
      </c>
      <c r="AB13" s="126" t="s">
        <v>4</v>
      </c>
      <c r="AC13" s="130">
        <v>0</v>
      </c>
      <c r="AD13" s="128">
        <v>0.02</v>
      </c>
      <c r="AE13" s="130">
        <f t="shared" si="4"/>
        <v>0.02</v>
      </c>
      <c r="AG13" s="129" t="s">
        <v>136</v>
      </c>
      <c r="AH13" s="126" t="s">
        <v>4</v>
      </c>
      <c r="AI13" s="130">
        <v>0</v>
      </c>
      <c r="AJ13" s="128">
        <v>0.02</v>
      </c>
      <c r="AK13" s="130">
        <v>0.02</v>
      </c>
      <c r="AM13" s="129" t="s">
        <v>136</v>
      </c>
      <c r="AN13" s="126" t="s">
        <v>4</v>
      </c>
      <c r="AO13" s="130">
        <v>0</v>
      </c>
      <c r="AP13" s="128">
        <v>0.02</v>
      </c>
      <c r="AQ13" s="130">
        <f t="shared" si="5"/>
        <v>0.02</v>
      </c>
      <c r="AR13" s="126"/>
      <c r="AS13" s="126"/>
      <c r="AU13" s="126" t="s">
        <v>5</v>
      </c>
      <c r="AV13" s="126" t="s">
        <v>6</v>
      </c>
      <c r="AW13" s="128">
        <v>0.05</v>
      </c>
      <c r="AX13" s="128">
        <v>0</v>
      </c>
      <c r="AY13" s="128">
        <f t="shared" si="6"/>
        <v>0.05</v>
      </c>
      <c r="AZ13" s="126"/>
      <c r="BA13" s="126"/>
    </row>
    <row r="14" spans="2:53" x14ac:dyDescent="0.25">
      <c r="C14" s="126" t="s">
        <v>5</v>
      </c>
      <c r="D14" s="126" t="s">
        <v>6</v>
      </c>
      <c r="E14" s="331">
        <v>0.02</v>
      </c>
      <c r="F14" s="331">
        <v>0</v>
      </c>
      <c r="G14" s="128">
        <f t="shared" si="0"/>
        <v>0.02</v>
      </c>
      <c r="I14" s="129" t="s">
        <v>253</v>
      </c>
      <c r="J14" s="126" t="s">
        <v>248</v>
      </c>
      <c r="K14" s="330">
        <v>0.05</v>
      </c>
      <c r="L14" s="331">
        <v>0</v>
      </c>
      <c r="M14" s="130">
        <f t="shared" si="1"/>
        <v>0.05</v>
      </c>
      <c r="O14" s="129" t="s">
        <v>253</v>
      </c>
      <c r="P14" s="126" t="s">
        <v>248</v>
      </c>
      <c r="Q14" s="130">
        <v>0.15</v>
      </c>
      <c r="R14" s="128">
        <v>0</v>
      </c>
      <c r="S14" s="130">
        <f t="shared" si="2"/>
        <v>0.15</v>
      </c>
      <c r="U14" s="126" t="s">
        <v>5</v>
      </c>
      <c r="V14" s="126" t="s">
        <v>6</v>
      </c>
      <c r="W14" s="128">
        <v>0.1</v>
      </c>
      <c r="X14" s="128">
        <v>0</v>
      </c>
      <c r="Y14" s="128">
        <f t="shared" si="7"/>
        <v>0.1</v>
      </c>
      <c r="AA14" s="129" t="s">
        <v>7</v>
      </c>
      <c r="AB14" s="126" t="s">
        <v>137</v>
      </c>
      <c r="AC14" s="130">
        <v>0.05</v>
      </c>
      <c r="AD14" s="128">
        <v>0</v>
      </c>
      <c r="AE14" s="130">
        <f t="shared" si="4"/>
        <v>0.05</v>
      </c>
      <c r="AG14" s="129" t="s">
        <v>7</v>
      </c>
      <c r="AH14" s="126" t="s">
        <v>137</v>
      </c>
      <c r="AI14" s="130">
        <v>0.05</v>
      </c>
      <c r="AJ14" s="128">
        <v>0</v>
      </c>
      <c r="AK14" s="130">
        <v>0.05</v>
      </c>
      <c r="AM14" s="129" t="s">
        <v>7</v>
      </c>
      <c r="AN14" s="126" t="s">
        <v>137</v>
      </c>
      <c r="AO14" s="130">
        <v>0.05</v>
      </c>
      <c r="AP14" s="128">
        <v>0</v>
      </c>
      <c r="AQ14" s="130">
        <f t="shared" si="5"/>
        <v>0.05</v>
      </c>
      <c r="AR14" s="126"/>
      <c r="AS14" s="126"/>
      <c r="AU14" s="126" t="s">
        <v>8</v>
      </c>
      <c r="AV14" s="126" t="s">
        <v>9</v>
      </c>
      <c r="AW14" s="128">
        <v>0.1</v>
      </c>
      <c r="AX14" s="128">
        <v>0</v>
      </c>
      <c r="AY14" s="128">
        <f t="shared" si="6"/>
        <v>0.1</v>
      </c>
      <c r="AZ14" s="126"/>
      <c r="BA14" s="126"/>
    </row>
    <row r="15" spans="2:53" x14ac:dyDescent="0.25">
      <c r="C15" s="126" t="s">
        <v>12</v>
      </c>
      <c r="D15" s="126" t="s">
        <v>9</v>
      </c>
      <c r="E15" s="331">
        <v>0.02</v>
      </c>
      <c r="F15" s="331">
        <v>0</v>
      </c>
      <c r="G15" s="127">
        <f t="shared" si="0"/>
        <v>0.02</v>
      </c>
      <c r="I15" s="129" t="s">
        <v>7</v>
      </c>
      <c r="J15" s="126" t="s">
        <v>137</v>
      </c>
      <c r="K15" s="330">
        <v>0.01</v>
      </c>
      <c r="L15" s="331">
        <v>0</v>
      </c>
      <c r="M15" s="130">
        <f t="shared" si="1"/>
        <v>0.01</v>
      </c>
      <c r="O15" s="129" t="s">
        <v>7</v>
      </c>
      <c r="P15" s="126" t="s">
        <v>137</v>
      </c>
      <c r="Q15" s="130">
        <v>0.05</v>
      </c>
      <c r="R15" s="128">
        <v>0</v>
      </c>
      <c r="S15" s="130">
        <f t="shared" si="2"/>
        <v>0.05</v>
      </c>
      <c r="U15" s="126" t="s">
        <v>12</v>
      </c>
      <c r="V15" s="126" t="s">
        <v>9</v>
      </c>
      <c r="W15" s="127">
        <v>0.1</v>
      </c>
      <c r="X15" s="127">
        <v>0</v>
      </c>
      <c r="Y15" s="127">
        <f t="shared" si="7"/>
        <v>0.1</v>
      </c>
      <c r="AA15" s="126" t="s">
        <v>5</v>
      </c>
      <c r="AB15" s="126" t="s">
        <v>6</v>
      </c>
      <c r="AC15" s="128">
        <v>0.1</v>
      </c>
      <c r="AD15" s="128">
        <v>0</v>
      </c>
      <c r="AE15" s="128">
        <f t="shared" si="4"/>
        <v>0.1</v>
      </c>
      <c r="AG15" s="126" t="s">
        <v>5</v>
      </c>
      <c r="AH15" s="126" t="s">
        <v>6</v>
      </c>
      <c r="AI15" s="128">
        <v>0.1</v>
      </c>
      <c r="AJ15" s="128">
        <v>0</v>
      </c>
      <c r="AK15" s="128">
        <v>0.1</v>
      </c>
      <c r="AM15" s="126" t="s">
        <v>5</v>
      </c>
      <c r="AN15" s="126" t="s">
        <v>6</v>
      </c>
      <c r="AO15" s="128">
        <v>0.05</v>
      </c>
      <c r="AP15" s="128">
        <v>0</v>
      </c>
      <c r="AQ15" s="128">
        <f t="shared" si="5"/>
        <v>0.05</v>
      </c>
      <c r="AR15" s="126"/>
      <c r="AS15" s="126"/>
      <c r="AU15" s="126" t="s">
        <v>10</v>
      </c>
      <c r="AV15" s="126" t="s">
        <v>11</v>
      </c>
      <c r="AW15" s="128">
        <v>0.01</v>
      </c>
      <c r="AX15" s="128">
        <v>0</v>
      </c>
      <c r="AY15" s="128">
        <f t="shared" si="6"/>
        <v>0.01</v>
      </c>
      <c r="AZ15" s="126"/>
      <c r="BA15" s="126"/>
    </row>
    <row r="16" spans="2:53" x14ac:dyDescent="0.25">
      <c r="C16" s="126" t="s">
        <v>10</v>
      </c>
      <c r="D16" s="126" t="s">
        <v>15</v>
      </c>
      <c r="E16" s="331">
        <v>0.02</v>
      </c>
      <c r="F16" s="331">
        <v>0</v>
      </c>
      <c r="G16" s="127">
        <f t="shared" si="0"/>
        <v>0.02</v>
      </c>
      <c r="I16" s="126" t="s">
        <v>5</v>
      </c>
      <c r="J16" s="126" t="s">
        <v>6</v>
      </c>
      <c r="K16" s="331">
        <v>0.05</v>
      </c>
      <c r="L16" s="331">
        <v>0</v>
      </c>
      <c r="M16" s="128">
        <f t="shared" si="1"/>
        <v>0.05</v>
      </c>
      <c r="O16" s="126" t="s">
        <v>5</v>
      </c>
      <c r="P16" s="126" t="s">
        <v>6</v>
      </c>
      <c r="Q16" s="128">
        <v>7.0000000000000007E-2</v>
      </c>
      <c r="R16" s="128">
        <v>0</v>
      </c>
      <c r="S16" s="128">
        <f t="shared" si="2"/>
        <v>7.0000000000000007E-2</v>
      </c>
      <c r="U16" s="126" t="s">
        <v>10</v>
      </c>
      <c r="V16" s="126" t="s">
        <v>15</v>
      </c>
      <c r="W16" s="127">
        <v>7.0000000000000007E-2</v>
      </c>
      <c r="X16" s="127">
        <v>0</v>
      </c>
      <c r="Y16" s="127">
        <f t="shared" si="7"/>
        <v>7.0000000000000007E-2</v>
      </c>
      <c r="AA16" s="126" t="s">
        <v>12</v>
      </c>
      <c r="AB16" s="126" t="s">
        <v>9</v>
      </c>
      <c r="AC16" s="127">
        <v>0.1</v>
      </c>
      <c r="AD16" s="127">
        <v>0</v>
      </c>
      <c r="AE16" s="127">
        <f t="shared" si="4"/>
        <v>0.1</v>
      </c>
      <c r="AG16" s="126" t="s">
        <v>12</v>
      </c>
      <c r="AH16" s="126" t="s">
        <v>9</v>
      </c>
      <c r="AI16" s="127">
        <v>0.12</v>
      </c>
      <c r="AJ16" s="127">
        <v>0</v>
      </c>
      <c r="AK16" s="127">
        <v>0.12</v>
      </c>
      <c r="AM16" s="126" t="s">
        <v>12</v>
      </c>
      <c r="AN16" s="126" t="s">
        <v>9</v>
      </c>
      <c r="AO16" s="127">
        <v>0.15</v>
      </c>
      <c r="AP16" s="127">
        <v>0</v>
      </c>
      <c r="AQ16" s="127">
        <f t="shared" si="5"/>
        <v>0.15</v>
      </c>
      <c r="AR16" s="126"/>
      <c r="AS16" s="126"/>
      <c r="AU16" s="126" t="s">
        <v>13</v>
      </c>
      <c r="AV16" s="126" t="s">
        <v>14</v>
      </c>
      <c r="AW16" s="128">
        <v>0.01</v>
      </c>
      <c r="AX16" s="128">
        <v>0</v>
      </c>
      <c r="AY16" s="128">
        <f t="shared" si="6"/>
        <v>0.01</v>
      </c>
      <c r="AZ16" s="126"/>
      <c r="BA16" s="126"/>
    </row>
    <row r="17" spans="3:53" x14ac:dyDescent="0.25">
      <c r="C17" s="126" t="s">
        <v>16</v>
      </c>
      <c r="D17" s="126" t="s">
        <v>65</v>
      </c>
      <c r="E17" s="331">
        <v>0.01</v>
      </c>
      <c r="F17" s="331">
        <v>0</v>
      </c>
      <c r="G17" s="127">
        <f t="shared" si="0"/>
        <v>0.01</v>
      </c>
      <c r="I17" s="126" t="s">
        <v>12</v>
      </c>
      <c r="J17" s="126" t="s">
        <v>9</v>
      </c>
      <c r="K17" s="331">
        <v>0.05</v>
      </c>
      <c r="L17" s="331">
        <v>0</v>
      </c>
      <c r="M17" s="127">
        <f t="shared" si="1"/>
        <v>0.05</v>
      </c>
      <c r="O17" s="126" t="s">
        <v>12</v>
      </c>
      <c r="P17" s="126" t="s">
        <v>9</v>
      </c>
      <c r="Q17" s="127">
        <v>0.1</v>
      </c>
      <c r="R17" s="127">
        <v>0</v>
      </c>
      <c r="S17" s="127">
        <f t="shared" si="2"/>
        <v>0.1</v>
      </c>
      <c r="U17" s="126" t="s">
        <v>169</v>
      </c>
      <c r="V17" s="126" t="s">
        <v>17</v>
      </c>
      <c r="W17" s="127">
        <v>0.05</v>
      </c>
      <c r="X17" s="127">
        <v>0</v>
      </c>
      <c r="Y17" s="127">
        <f t="shared" si="7"/>
        <v>0.05</v>
      </c>
      <c r="AA17" s="126" t="s">
        <v>10</v>
      </c>
      <c r="AB17" s="126" t="s">
        <v>15</v>
      </c>
      <c r="AC17" s="127">
        <v>7.0000000000000007E-2</v>
      </c>
      <c r="AD17" s="127">
        <v>0</v>
      </c>
      <c r="AE17" s="127">
        <f t="shared" si="4"/>
        <v>7.0000000000000007E-2</v>
      </c>
      <c r="AG17" s="126" t="s">
        <v>10</v>
      </c>
      <c r="AH17" s="126" t="s">
        <v>15</v>
      </c>
      <c r="AI17" s="127">
        <v>7.0000000000000007E-2</v>
      </c>
      <c r="AJ17" s="127">
        <v>0</v>
      </c>
      <c r="AK17" s="127">
        <v>7.0000000000000007E-2</v>
      </c>
      <c r="AM17" s="126" t="s">
        <v>10</v>
      </c>
      <c r="AN17" s="126" t="s">
        <v>15</v>
      </c>
      <c r="AO17" s="127">
        <v>7.0000000000000007E-2</v>
      </c>
      <c r="AP17" s="127">
        <v>0</v>
      </c>
      <c r="AQ17" s="127">
        <f t="shared" si="5"/>
        <v>7.0000000000000007E-2</v>
      </c>
      <c r="AR17" s="126"/>
      <c r="AS17" s="126"/>
      <c r="AU17" s="126" t="s">
        <v>16</v>
      </c>
      <c r="AV17" s="126" t="s">
        <v>65</v>
      </c>
      <c r="AW17" s="128">
        <v>0.02</v>
      </c>
      <c r="AX17" s="128">
        <v>0</v>
      </c>
      <c r="AY17" s="128">
        <f t="shared" si="6"/>
        <v>0.02</v>
      </c>
      <c r="AZ17" s="126"/>
      <c r="BA17" s="126"/>
    </row>
    <row r="18" spans="3:53" x14ac:dyDescent="0.25">
      <c r="C18" s="126" t="s">
        <v>198</v>
      </c>
      <c r="D18" s="126" t="s">
        <v>186</v>
      </c>
      <c r="E18" s="331">
        <v>0.01</v>
      </c>
      <c r="F18" s="331">
        <v>0</v>
      </c>
      <c r="G18" s="127">
        <f t="shared" si="0"/>
        <v>0.01</v>
      </c>
      <c r="I18" s="126" t="s">
        <v>10</v>
      </c>
      <c r="J18" s="126" t="s">
        <v>15</v>
      </c>
      <c r="K18" s="331">
        <v>0.05</v>
      </c>
      <c r="L18" s="331">
        <v>0</v>
      </c>
      <c r="M18" s="127">
        <f t="shared" si="1"/>
        <v>0.05</v>
      </c>
      <c r="O18" s="126" t="s">
        <v>10</v>
      </c>
      <c r="P18" s="126" t="s">
        <v>15</v>
      </c>
      <c r="Q18" s="127">
        <v>0.05</v>
      </c>
      <c r="R18" s="127">
        <v>0</v>
      </c>
      <c r="S18" s="127">
        <f t="shared" si="2"/>
        <v>0.05</v>
      </c>
      <c r="U18" s="126" t="s">
        <v>16</v>
      </c>
      <c r="V18" s="126" t="s">
        <v>65</v>
      </c>
      <c r="W18" s="127">
        <v>0.04</v>
      </c>
      <c r="X18" s="127">
        <v>0</v>
      </c>
      <c r="Y18" s="127">
        <f t="shared" si="7"/>
        <v>0.04</v>
      </c>
      <c r="AA18" s="126" t="s">
        <v>169</v>
      </c>
      <c r="AB18" s="126" t="s">
        <v>17</v>
      </c>
      <c r="AC18" s="127">
        <v>0.05</v>
      </c>
      <c r="AD18" s="127">
        <v>0</v>
      </c>
      <c r="AE18" s="127">
        <f t="shared" si="4"/>
        <v>0.05</v>
      </c>
      <c r="AG18" s="126" t="s">
        <v>169</v>
      </c>
      <c r="AH18" s="126" t="s">
        <v>17</v>
      </c>
      <c r="AI18" s="127">
        <v>0.05</v>
      </c>
      <c r="AJ18" s="127">
        <v>0</v>
      </c>
      <c r="AK18" s="127">
        <v>0.05</v>
      </c>
      <c r="AM18" s="126" t="s">
        <v>13</v>
      </c>
      <c r="AN18" s="126" t="s">
        <v>17</v>
      </c>
      <c r="AO18" s="127">
        <v>0.09</v>
      </c>
      <c r="AP18" s="127">
        <v>0</v>
      </c>
      <c r="AQ18" s="127">
        <f t="shared" si="5"/>
        <v>0.09</v>
      </c>
      <c r="AR18" s="126"/>
      <c r="AS18" s="126"/>
    </row>
    <row r="19" spans="3:53" x14ac:dyDescent="0.25">
      <c r="C19" s="133" t="s">
        <v>345</v>
      </c>
      <c r="D19" s="133" t="s">
        <v>346</v>
      </c>
      <c r="E19" s="134">
        <v>0.9</v>
      </c>
      <c r="F19" s="134">
        <v>0.1</v>
      </c>
      <c r="G19" s="134">
        <f>SUM(E19:F19)</f>
        <v>1</v>
      </c>
      <c r="I19" s="126" t="s">
        <v>16</v>
      </c>
      <c r="J19" s="126" t="s">
        <v>65</v>
      </c>
      <c r="K19" s="331">
        <v>0.01</v>
      </c>
      <c r="L19" s="331">
        <v>0</v>
      </c>
      <c r="M19" s="127">
        <f t="shared" si="1"/>
        <v>0.01</v>
      </c>
      <c r="O19" s="126" t="s">
        <v>16</v>
      </c>
      <c r="P19" s="126" t="s">
        <v>65</v>
      </c>
      <c r="Q19" s="127">
        <v>0.05</v>
      </c>
      <c r="R19" s="127">
        <v>0</v>
      </c>
      <c r="S19" s="127">
        <f t="shared" si="2"/>
        <v>0.05</v>
      </c>
      <c r="U19" s="126" t="s">
        <v>198</v>
      </c>
      <c r="V19" s="126" t="s">
        <v>186</v>
      </c>
      <c r="W19" s="127">
        <v>0.02</v>
      </c>
      <c r="X19" s="127">
        <v>0</v>
      </c>
      <c r="Y19" s="127">
        <f t="shared" ref="Y19" si="8">SUM(W19:X19)</f>
        <v>0.02</v>
      </c>
      <c r="AA19" s="126" t="s">
        <v>16</v>
      </c>
      <c r="AB19" s="126" t="s">
        <v>65</v>
      </c>
      <c r="AC19" s="127">
        <v>0.04</v>
      </c>
      <c r="AD19" s="127">
        <v>0</v>
      </c>
      <c r="AE19" s="127">
        <f t="shared" si="4"/>
        <v>0.04</v>
      </c>
      <c r="AG19" s="126" t="s">
        <v>16</v>
      </c>
      <c r="AH19" s="126" t="s">
        <v>65</v>
      </c>
      <c r="AI19" s="127">
        <v>0.03</v>
      </c>
      <c r="AJ19" s="127">
        <v>0</v>
      </c>
      <c r="AK19" s="127">
        <v>0.03</v>
      </c>
      <c r="AM19" s="126" t="s">
        <v>16</v>
      </c>
      <c r="AN19" s="126" t="s">
        <v>65</v>
      </c>
      <c r="AO19" s="127">
        <v>0.03</v>
      </c>
      <c r="AP19" s="127">
        <v>0</v>
      </c>
      <c r="AQ19" s="127">
        <f t="shared" si="5"/>
        <v>0.03</v>
      </c>
      <c r="AR19" s="126"/>
      <c r="AS19" s="126"/>
      <c r="AW19" s="131">
        <f>SUM(AW7:AW17)</f>
        <v>0.69000000000000006</v>
      </c>
      <c r="AX19" s="131">
        <f>SUM(AX7:AX17)</f>
        <v>0.59000000000000008</v>
      </c>
      <c r="AY19" s="131">
        <f>SUM(AY7:AY17)</f>
        <v>1.2800000000000002</v>
      </c>
      <c r="AZ19" s="132">
        <f>100000*1.4</f>
        <v>140000</v>
      </c>
      <c r="BA19" s="132">
        <f>AZ19*AY19</f>
        <v>179200.00000000003</v>
      </c>
    </row>
    <row r="20" spans="3:53" x14ac:dyDescent="0.25">
      <c r="D20" s="141" t="s">
        <v>30</v>
      </c>
      <c r="E20" s="136">
        <f>SUM(E7:E19)</f>
        <v>2.0100000000000002</v>
      </c>
      <c r="F20" s="136">
        <f>SUM(F7:F19)</f>
        <v>0.31999999999999995</v>
      </c>
      <c r="G20" s="136">
        <f>SUM(G7:G19)</f>
        <v>2.33</v>
      </c>
      <c r="I20" s="126" t="s">
        <v>198</v>
      </c>
      <c r="J20" s="126" t="s">
        <v>186</v>
      </c>
      <c r="K20" s="331">
        <v>0.01</v>
      </c>
      <c r="L20" s="331">
        <v>0</v>
      </c>
      <c r="M20" s="127">
        <f t="shared" si="1"/>
        <v>0.01</v>
      </c>
      <c r="O20" s="126" t="s">
        <v>198</v>
      </c>
      <c r="P20" s="126" t="s">
        <v>186</v>
      </c>
      <c r="Q20" s="127">
        <v>0.05</v>
      </c>
      <c r="R20" s="127">
        <v>0</v>
      </c>
      <c r="S20" s="127">
        <f t="shared" si="2"/>
        <v>0.05</v>
      </c>
      <c r="U20" s="133"/>
      <c r="V20" s="133" t="s">
        <v>176</v>
      </c>
      <c r="W20" s="134">
        <v>0.8</v>
      </c>
      <c r="X20" s="134">
        <v>0.2</v>
      </c>
      <c r="Y20" s="134">
        <f>SUM(W20:X20)</f>
        <v>1</v>
      </c>
      <c r="AA20" s="133" t="s">
        <v>175</v>
      </c>
      <c r="AB20" s="133" t="s">
        <v>176</v>
      </c>
      <c r="AC20" s="134">
        <v>0.4</v>
      </c>
      <c r="AD20" s="134">
        <v>0.6</v>
      </c>
      <c r="AE20" s="134">
        <f t="shared" si="4"/>
        <v>1</v>
      </c>
      <c r="AH20" s="135" t="s">
        <v>30</v>
      </c>
      <c r="AI20" s="136">
        <v>1.5140000000000005</v>
      </c>
      <c r="AJ20" s="136">
        <v>0.84000000000000008</v>
      </c>
      <c r="AK20" s="136">
        <v>2.3539999999999996</v>
      </c>
      <c r="AN20" s="137" t="s">
        <v>30</v>
      </c>
      <c r="AO20" s="138">
        <f>SUM(AO7:AO19)</f>
        <v>1.5100000000000002</v>
      </c>
      <c r="AP20" s="138">
        <f t="shared" ref="AP20:AQ20" si="9">SUM(AP7:AP19)</f>
        <v>0.9700000000000002</v>
      </c>
      <c r="AQ20" s="138">
        <f t="shared" si="9"/>
        <v>2.4799999999999991</v>
      </c>
      <c r="AR20" s="139">
        <v>160000</v>
      </c>
      <c r="AS20" s="139">
        <f>AR20*AQ20</f>
        <v>396799.99999999988</v>
      </c>
      <c r="AW20" s="140">
        <f>AW19/$AY$19</f>
        <v>0.53906249999999989</v>
      </c>
      <c r="AX20" s="140">
        <f>AX19/$AY$19</f>
        <v>0.4609375</v>
      </c>
    </row>
    <row r="21" spans="3:53" x14ac:dyDescent="0.25">
      <c r="E21" s="303"/>
      <c r="F21" s="303"/>
      <c r="G21" s="119">
        <f>G25+135000</f>
        <v>335624</v>
      </c>
      <c r="I21" s="133" t="s">
        <v>238</v>
      </c>
      <c r="J21" s="133" t="s">
        <v>176</v>
      </c>
      <c r="K21" s="134">
        <v>0.9</v>
      </c>
      <c r="L21" s="134">
        <v>0.1</v>
      </c>
      <c r="M21" s="134">
        <f>SUM(K21:L21)</f>
        <v>1</v>
      </c>
      <c r="O21" s="133" t="s">
        <v>238</v>
      </c>
      <c r="P21" s="133" t="s">
        <v>176</v>
      </c>
      <c r="Q21" s="134">
        <v>0.9</v>
      </c>
      <c r="R21" s="134">
        <v>0.1</v>
      </c>
      <c r="S21" s="134">
        <f>SUM(Q21:R21)</f>
        <v>1</v>
      </c>
      <c r="V21" s="141" t="s">
        <v>30</v>
      </c>
      <c r="W21" s="136">
        <f>SUM(W7:W20)</f>
        <v>2.0300000000000002</v>
      </c>
      <c r="X21" s="136">
        <f>SUM(X7:X20)</f>
        <v>0.76</v>
      </c>
      <c r="Y21" s="136">
        <f>SUM(Y7:Y20)</f>
        <v>2.7900000000000005</v>
      </c>
      <c r="AB21" s="141" t="s">
        <v>30</v>
      </c>
      <c r="AC21" s="136">
        <f>SUM(AC7:AC20)</f>
        <v>1.2600000000000002</v>
      </c>
      <c r="AD21" s="136">
        <f>SUM(AD7:AD20)</f>
        <v>1.3599999999999999</v>
      </c>
      <c r="AE21" s="136">
        <f>SUM(AE7:AE20)</f>
        <v>2.6200000000000006</v>
      </c>
      <c r="AI21" s="119">
        <v>242240.00000000009</v>
      </c>
      <c r="AJ21" s="119">
        <v>134400</v>
      </c>
      <c r="AK21" s="119">
        <v>376639.99999999994</v>
      </c>
      <c r="AO21" s="142">
        <f>AO20*$AR$20</f>
        <v>241600.00000000003</v>
      </c>
      <c r="AP21" s="142">
        <f t="shared" ref="AP21:AQ21" si="10">AP20*$AR$20</f>
        <v>155200.00000000003</v>
      </c>
      <c r="AQ21" s="142">
        <f t="shared" si="10"/>
        <v>396799.99999999988</v>
      </c>
      <c r="AW21" s="143">
        <f>BA19*AX20</f>
        <v>82600.000000000015</v>
      </c>
      <c r="AX21" s="143">
        <f>BA19*AW20</f>
        <v>96600</v>
      </c>
    </row>
    <row r="22" spans="3:53" ht="15" customHeight="1" x14ac:dyDescent="0.25">
      <c r="E22" s="288"/>
      <c r="F22" s="288"/>
      <c r="G22" s="288"/>
      <c r="J22" s="141" t="s">
        <v>30</v>
      </c>
      <c r="K22" s="136">
        <f>SUM(K7:K21)</f>
        <v>1.5700000000000003</v>
      </c>
      <c r="L22" s="136">
        <f>SUM(L7:L21)</f>
        <v>0.41000000000000003</v>
      </c>
      <c r="M22" s="136">
        <f>SUM(M7:M21)</f>
        <v>1.9800000000000002</v>
      </c>
      <c r="P22" s="141" t="s">
        <v>30</v>
      </c>
      <c r="Q22" s="136">
        <f>SUM(Q7:Q21)</f>
        <v>2.12</v>
      </c>
      <c r="R22" s="136">
        <f>SUM(R7:R21)</f>
        <v>0.53999999999999992</v>
      </c>
      <c r="S22" s="136">
        <f>SUM(S7:S21)</f>
        <v>2.66</v>
      </c>
      <c r="W22" s="119">
        <f>W21*$W$2</f>
        <v>324800.00000000006</v>
      </c>
      <c r="X22" s="119">
        <f>X21*$W$2</f>
        <v>121600</v>
      </c>
      <c r="Y22" s="119">
        <f>Y21*$W$2</f>
        <v>446400.00000000006</v>
      </c>
      <c r="AC22" s="119">
        <f>AC21*$W$2</f>
        <v>201600.00000000003</v>
      </c>
      <c r="AD22" s="119">
        <f>AD21*$W$2</f>
        <v>217599.99999999997</v>
      </c>
      <c r="AE22" s="119">
        <f>AE21*$W$2</f>
        <v>419200.00000000012</v>
      </c>
    </row>
    <row r="23" spans="3:53" ht="15" customHeight="1" x14ac:dyDescent="0.25">
      <c r="D23" s="120" t="s">
        <v>184</v>
      </c>
      <c r="K23" s="303"/>
      <c r="L23" s="303"/>
      <c r="M23" s="119">
        <f>M27+120000</f>
        <v>320624</v>
      </c>
      <c r="Q23" s="303"/>
      <c r="R23" s="303"/>
      <c r="S23" s="119">
        <f>S27+120000</f>
        <v>320624</v>
      </c>
    </row>
    <row r="24" spans="3:53" ht="15" customHeight="1" x14ac:dyDescent="0.25">
      <c r="D24" s="135" t="s">
        <v>30</v>
      </c>
      <c r="E24" s="136">
        <f>SUM(E7:E18)</f>
        <v>1.1100000000000001</v>
      </c>
      <c r="F24" s="136">
        <f>SUM(F7:F18)</f>
        <v>0.21999999999999997</v>
      </c>
      <c r="G24" s="136">
        <f>SUM(G7:G18)</f>
        <v>1.33</v>
      </c>
      <c r="K24" s="288"/>
      <c r="L24" s="288"/>
      <c r="M24" s="288"/>
      <c r="Q24" s="288"/>
      <c r="R24" s="288"/>
      <c r="S24" s="288"/>
      <c r="V24" s="120" t="s">
        <v>184</v>
      </c>
      <c r="AB24" s="120" t="s">
        <v>184</v>
      </c>
    </row>
    <row r="25" spans="3:53" x14ac:dyDescent="0.25">
      <c r="E25" s="303"/>
      <c r="F25" s="303"/>
      <c r="G25" s="119">
        <v>200624</v>
      </c>
      <c r="J25" s="120" t="s">
        <v>184</v>
      </c>
      <c r="P25" s="120" t="s">
        <v>184</v>
      </c>
      <c r="V25" s="135" t="s">
        <v>30</v>
      </c>
      <c r="W25" s="136">
        <f>SUM(W7:W19)</f>
        <v>1.2300000000000002</v>
      </c>
      <c r="X25" s="136">
        <f>SUM(X7:X19)</f>
        <v>0.56000000000000005</v>
      </c>
      <c r="Y25" s="136">
        <f>SUM(Y7:Y19)</f>
        <v>1.7900000000000005</v>
      </c>
      <c r="AB25" s="135" t="s">
        <v>30</v>
      </c>
      <c r="AC25" s="136">
        <f>SUM(AC7:AC19)</f>
        <v>0.8600000000000001</v>
      </c>
      <c r="AD25" s="136">
        <f t="shared" ref="AD25:AE25" si="11">SUM(AD7:AD19)</f>
        <v>0.76</v>
      </c>
      <c r="AE25" s="136">
        <f t="shared" si="11"/>
        <v>1.6200000000000006</v>
      </c>
    </row>
    <row r="26" spans="3:53" x14ac:dyDescent="0.25">
      <c r="J26" s="135" t="s">
        <v>30</v>
      </c>
      <c r="K26" s="136">
        <f>SUM(K7:K20)</f>
        <v>0.67000000000000015</v>
      </c>
      <c r="L26" s="136">
        <f>SUM(L7:L20)</f>
        <v>0.31000000000000005</v>
      </c>
      <c r="M26" s="136">
        <f>SUM(M7:M20)</f>
        <v>0.9800000000000002</v>
      </c>
      <c r="P26" s="135" t="s">
        <v>30</v>
      </c>
      <c r="Q26" s="136">
        <f>SUM(Q7:Q20)</f>
        <v>1.2200000000000002</v>
      </c>
      <c r="R26" s="136">
        <f>SUM(R7:R20)</f>
        <v>0.43999999999999995</v>
      </c>
      <c r="S26" s="136">
        <f>SUM(S7:S20)</f>
        <v>1.6600000000000004</v>
      </c>
      <c r="W26" s="119">
        <f>W25*$W$2</f>
        <v>196800.00000000003</v>
      </c>
      <c r="X26" s="119">
        <f>X25*$W$2</f>
        <v>89600.000000000015</v>
      </c>
      <c r="Y26" s="119">
        <f>Y25*$W$2</f>
        <v>286400.00000000006</v>
      </c>
      <c r="AC26" s="119">
        <f>AC25*$W$2</f>
        <v>137600.00000000003</v>
      </c>
      <c r="AD26" s="119">
        <f>AD25*$W$2</f>
        <v>121600</v>
      </c>
      <c r="AE26" s="119">
        <f>AE25*$W$2</f>
        <v>259200.00000000009</v>
      </c>
    </row>
    <row r="27" spans="3:53" x14ac:dyDescent="0.25">
      <c r="F27" s="143"/>
      <c r="K27" s="303"/>
      <c r="L27" s="303"/>
      <c r="M27" s="119">
        <v>200624</v>
      </c>
      <c r="Q27" s="303"/>
      <c r="R27" s="303"/>
      <c r="S27" s="119">
        <v>200624</v>
      </c>
    </row>
    <row r="28" spans="3:53" x14ac:dyDescent="0.25">
      <c r="Q28" s="143"/>
      <c r="R28" s="143"/>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heetViews>
  <sheetFormatPr defaultColWidth="8.85546875" defaultRowHeight="15" x14ac:dyDescent="0.25"/>
  <cols>
    <col min="1" max="1" width="33.85546875" customWidth="1"/>
    <col min="2" max="2" width="16" customWidth="1"/>
    <col min="3" max="3" width="13.28515625" bestFit="1" customWidth="1"/>
    <col min="4" max="4" width="13.85546875" bestFit="1" customWidth="1"/>
    <col min="5" max="8" width="12.7109375" bestFit="1" customWidth="1"/>
  </cols>
  <sheetData>
    <row r="1" spans="1:8" ht="18.75" x14ac:dyDescent="0.3">
      <c r="A1" s="183" t="s">
        <v>133</v>
      </c>
    </row>
    <row r="3" spans="1:8" ht="16.5" thickBot="1" x14ac:dyDescent="0.3">
      <c r="A3" s="225" t="s">
        <v>199</v>
      </c>
      <c r="B3" s="226"/>
      <c r="C3" s="226"/>
      <c r="D3" s="226"/>
      <c r="E3" s="226"/>
      <c r="F3" s="226"/>
      <c r="G3" s="226"/>
      <c r="H3" s="226"/>
    </row>
    <row r="4" spans="1:8" ht="16.5" thickBot="1" x14ac:dyDescent="0.3">
      <c r="A4" s="430" t="s">
        <v>116</v>
      </c>
      <c r="B4" s="433" t="s">
        <v>200</v>
      </c>
      <c r="C4" s="436" t="s">
        <v>201</v>
      </c>
      <c r="D4" s="436"/>
      <c r="E4" s="436"/>
      <c r="F4" s="436"/>
      <c r="G4" s="436"/>
      <c r="H4" s="437"/>
    </row>
    <row r="5" spans="1:8" ht="16.5" thickBot="1" x14ac:dyDescent="0.3">
      <c r="A5" s="431"/>
      <c r="B5" s="434"/>
      <c r="C5" s="227">
        <v>2015</v>
      </c>
      <c r="D5" s="227">
        <v>2016</v>
      </c>
      <c r="E5" s="227">
        <v>2017</v>
      </c>
      <c r="F5" s="227">
        <v>2018</v>
      </c>
      <c r="G5" s="227">
        <v>2019</v>
      </c>
      <c r="H5" s="228" t="s">
        <v>119</v>
      </c>
    </row>
    <row r="6" spans="1:8" ht="22.5" customHeight="1" thickBot="1" x14ac:dyDescent="0.3">
      <c r="A6" s="432"/>
      <c r="B6" s="435"/>
      <c r="C6" s="229">
        <f>ROUND('[1]Category (2014-2016)'!D39,-3)</f>
        <v>1670000</v>
      </c>
      <c r="D6" s="229">
        <f>ROUND('[1]Category (2014-2016)'!E39,-3)</f>
        <v>1696000</v>
      </c>
      <c r="E6" s="229">
        <f>ROUND('[1]Category (2014-2016)'!F39,-3)</f>
        <v>1825000</v>
      </c>
      <c r="F6" s="229">
        <f>ROUND('[1]Category (2014-2016)'!G39,-3)</f>
        <v>1870000</v>
      </c>
      <c r="G6" s="229">
        <f>ROUND('[1]Category (2014-2016)'!H39,-3)</f>
        <v>1912000</v>
      </c>
      <c r="H6" s="230">
        <f>SUM(C6:G6)</f>
        <v>8973000</v>
      </c>
    </row>
    <row r="7" spans="1:8" ht="15.75" x14ac:dyDescent="0.25">
      <c r="A7" s="231" t="s">
        <v>120</v>
      </c>
      <c r="B7" s="325">
        <v>0.36042000000000002</v>
      </c>
      <c r="C7" s="232">
        <f>ROUND(C$6*($B7*(1/$B$20)),-2)</f>
        <v>607800</v>
      </c>
      <c r="D7" s="232">
        <f>ROUND(D$6*($B7*(1/$B$20)),-2)</f>
        <v>617200</v>
      </c>
      <c r="E7" s="232">
        <f t="shared" ref="E7:G7" si="0">ROUND(E$6*($B7*(1/$B$20)),-2)</f>
        <v>664200</v>
      </c>
      <c r="F7" s="232">
        <f t="shared" si="0"/>
        <v>680600</v>
      </c>
      <c r="G7" s="233">
        <f t="shared" si="0"/>
        <v>695900</v>
      </c>
      <c r="H7" s="234">
        <f>SUM(C7:G7)</f>
        <v>3265700</v>
      </c>
    </row>
    <row r="8" spans="1:8" ht="15.75" x14ac:dyDescent="0.25">
      <c r="A8" s="175" t="s">
        <v>121</v>
      </c>
      <c r="B8" s="326">
        <v>0.20146</v>
      </c>
      <c r="C8" s="235">
        <f t="shared" ref="C8:G19" si="1">ROUND(C$6*($B8*(1/$B$20)),-2)</f>
        <v>339700</v>
      </c>
      <c r="D8" s="235">
        <f t="shared" si="1"/>
        <v>345000</v>
      </c>
      <c r="E8" s="235">
        <f t="shared" si="1"/>
        <v>371300</v>
      </c>
      <c r="F8" s="235">
        <f t="shared" si="1"/>
        <v>380400</v>
      </c>
      <c r="G8" s="236">
        <f t="shared" si="1"/>
        <v>389000</v>
      </c>
      <c r="H8" s="237">
        <f t="shared" ref="H8:H19" si="2">SUM(C8:G8)</f>
        <v>1825400</v>
      </c>
    </row>
    <row r="9" spans="1:8" ht="15.75" x14ac:dyDescent="0.25">
      <c r="A9" s="175" t="s">
        <v>122</v>
      </c>
      <c r="B9" s="326">
        <v>0.14138999999999999</v>
      </c>
      <c r="C9" s="235">
        <f t="shared" si="1"/>
        <v>238400</v>
      </c>
      <c r="D9" s="235">
        <f t="shared" si="1"/>
        <v>242100</v>
      </c>
      <c r="E9" s="235">
        <f t="shared" si="1"/>
        <v>260600</v>
      </c>
      <c r="F9" s="235">
        <f t="shared" si="1"/>
        <v>267000</v>
      </c>
      <c r="G9" s="236">
        <f t="shared" si="1"/>
        <v>273000</v>
      </c>
      <c r="H9" s="237">
        <f t="shared" si="2"/>
        <v>1281100</v>
      </c>
    </row>
    <row r="10" spans="1:8" ht="15.75" x14ac:dyDescent="0.25">
      <c r="A10" s="175" t="s">
        <v>123</v>
      </c>
      <c r="B10" s="326">
        <v>8.9660000000000004E-2</v>
      </c>
      <c r="C10" s="235">
        <f t="shared" si="1"/>
        <v>151200</v>
      </c>
      <c r="D10" s="235">
        <f t="shared" si="1"/>
        <v>153500</v>
      </c>
      <c r="E10" s="235">
        <f t="shared" si="1"/>
        <v>165200</v>
      </c>
      <c r="F10" s="235">
        <f t="shared" si="1"/>
        <v>169300</v>
      </c>
      <c r="G10" s="236">
        <f t="shared" si="1"/>
        <v>173100</v>
      </c>
      <c r="H10" s="237">
        <f t="shared" si="2"/>
        <v>812300</v>
      </c>
    </row>
    <row r="11" spans="1:8" ht="15.75" x14ac:dyDescent="0.25">
      <c r="A11" s="175" t="s">
        <v>124</v>
      </c>
      <c r="B11" s="326">
        <v>5.7419999999999999E-2</v>
      </c>
      <c r="C11" s="235">
        <f t="shared" si="1"/>
        <v>96800</v>
      </c>
      <c r="D11" s="235">
        <f t="shared" si="1"/>
        <v>98300</v>
      </c>
      <c r="E11" s="235">
        <f t="shared" si="1"/>
        <v>105800</v>
      </c>
      <c r="F11" s="235">
        <f t="shared" si="1"/>
        <v>108400</v>
      </c>
      <c r="G11" s="236">
        <f t="shared" si="1"/>
        <v>110900</v>
      </c>
      <c r="H11" s="237">
        <f t="shared" si="2"/>
        <v>520200</v>
      </c>
    </row>
    <row r="12" spans="1:8" ht="15.75" x14ac:dyDescent="0.25">
      <c r="A12" s="175" t="s">
        <v>202</v>
      </c>
      <c r="B12" s="326">
        <v>2.5430000000000001E-2</v>
      </c>
      <c r="C12" s="235">
        <f t="shared" si="1"/>
        <v>42900</v>
      </c>
      <c r="D12" s="235">
        <f t="shared" si="1"/>
        <v>43600</v>
      </c>
      <c r="E12" s="235">
        <f t="shared" si="1"/>
        <v>46900</v>
      </c>
      <c r="F12" s="235">
        <f t="shared" si="1"/>
        <v>48000</v>
      </c>
      <c r="G12" s="236">
        <f t="shared" si="1"/>
        <v>49100</v>
      </c>
      <c r="H12" s="237">
        <f t="shared" si="2"/>
        <v>230500</v>
      </c>
    </row>
    <row r="13" spans="1:8" ht="15.75" x14ac:dyDescent="0.25">
      <c r="A13" s="175" t="s">
        <v>140</v>
      </c>
      <c r="B13" s="326">
        <v>4.0349999999999997E-2</v>
      </c>
      <c r="C13" s="238">
        <f>ROUND(C$30*(1/$B$20),-2)</f>
        <v>35700</v>
      </c>
      <c r="D13" s="238">
        <f t="shared" ref="D13:G13" si="3">ROUND(D$30*(1/$B$20),-2)</f>
        <v>36200</v>
      </c>
      <c r="E13" s="238">
        <f t="shared" si="3"/>
        <v>39000</v>
      </c>
      <c r="F13" s="238">
        <f t="shared" si="3"/>
        <v>40000</v>
      </c>
      <c r="G13" s="238">
        <f t="shared" si="3"/>
        <v>40900</v>
      </c>
      <c r="H13" s="239">
        <f t="shared" si="2"/>
        <v>191800</v>
      </c>
    </row>
    <row r="14" spans="1:8" ht="15.75" x14ac:dyDescent="0.25">
      <c r="A14" s="175" t="s">
        <v>126</v>
      </c>
      <c r="B14" s="326">
        <v>3.6549999999999999E-2</v>
      </c>
      <c r="C14" s="235">
        <f t="shared" si="1"/>
        <v>61600</v>
      </c>
      <c r="D14" s="235">
        <f t="shared" si="1"/>
        <v>62600</v>
      </c>
      <c r="E14" s="235">
        <f t="shared" si="1"/>
        <v>67400</v>
      </c>
      <c r="F14" s="235">
        <f t="shared" si="1"/>
        <v>69000</v>
      </c>
      <c r="G14" s="236">
        <f t="shared" si="1"/>
        <v>70600</v>
      </c>
      <c r="H14" s="237">
        <f t="shared" si="2"/>
        <v>331200</v>
      </c>
    </row>
    <row r="15" spans="1:8" ht="15.75" x14ac:dyDescent="0.25">
      <c r="A15" s="175" t="s">
        <v>203</v>
      </c>
      <c r="B15" s="326">
        <v>1.3140000000000001E-2</v>
      </c>
      <c r="C15" s="235">
        <f t="shared" si="1"/>
        <v>22200</v>
      </c>
      <c r="D15" s="235">
        <f t="shared" si="1"/>
        <v>22500</v>
      </c>
      <c r="E15" s="235">
        <f t="shared" si="1"/>
        <v>24200</v>
      </c>
      <c r="F15" s="235">
        <f t="shared" si="1"/>
        <v>24800</v>
      </c>
      <c r="G15" s="236">
        <f t="shared" si="1"/>
        <v>25400</v>
      </c>
      <c r="H15" s="237">
        <f t="shared" si="2"/>
        <v>119100</v>
      </c>
    </row>
    <row r="16" spans="1:8" ht="15.75" x14ac:dyDescent="0.25">
      <c r="A16" s="175" t="s">
        <v>128</v>
      </c>
      <c r="B16" s="326">
        <v>1.0959999999999999E-2</v>
      </c>
      <c r="C16" s="235">
        <f t="shared" si="1"/>
        <v>18500</v>
      </c>
      <c r="D16" s="235">
        <f t="shared" si="1"/>
        <v>18800</v>
      </c>
      <c r="E16" s="235">
        <f t="shared" si="1"/>
        <v>20200</v>
      </c>
      <c r="F16" s="235">
        <f t="shared" si="1"/>
        <v>20700</v>
      </c>
      <c r="G16" s="236">
        <f t="shared" si="1"/>
        <v>21200</v>
      </c>
      <c r="H16" s="237">
        <f t="shared" si="2"/>
        <v>99400</v>
      </c>
    </row>
    <row r="17" spans="1:8" ht="15.75" x14ac:dyDescent="0.25">
      <c r="A17" s="175" t="s">
        <v>204</v>
      </c>
      <c r="B17" s="326">
        <v>6.5399999999999998E-3</v>
      </c>
      <c r="C17" s="235">
        <f t="shared" si="1"/>
        <v>11000</v>
      </c>
      <c r="D17" s="235">
        <f t="shared" si="1"/>
        <v>11200</v>
      </c>
      <c r="E17" s="235">
        <f t="shared" si="1"/>
        <v>12100</v>
      </c>
      <c r="F17" s="235">
        <f t="shared" si="1"/>
        <v>12300</v>
      </c>
      <c r="G17" s="236">
        <f t="shared" si="1"/>
        <v>12600</v>
      </c>
      <c r="H17" s="237">
        <f t="shared" si="2"/>
        <v>59200</v>
      </c>
    </row>
    <row r="18" spans="1:8" ht="15.75" x14ac:dyDescent="0.25">
      <c r="A18" s="175" t="s">
        <v>205</v>
      </c>
      <c r="B18" s="326">
        <v>3.1700000000000001E-3</v>
      </c>
      <c r="C18" s="235">
        <f t="shared" si="1"/>
        <v>5300</v>
      </c>
      <c r="D18" s="235">
        <f t="shared" si="1"/>
        <v>5400</v>
      </c>
      <c r="E18" s="235">
        <f t="shared" si="1"/>
        <v>5800</v>
      </c>
      <c r="F18" s="235">
        <f t="shared" si="1"/>
        <v>6000</v>
      </c>
      <c r="G18" s="236">
        <f t="shared" si="1"/>
        <v>6100</v>
      </c>
      <c r="H18" s="237">
        <f t="shared" si="2"/>
        <v>28600</v>
      </c>
    </row>
    <row r="19" spans="1:8" ht="16.5" thickBot="1" x14ac:dyDescent="0.3">
      <c r="A19" s="240" t="s">
        <v>206</v>
      </c>
      <c r="B19" s="326">
        <v>3.8300000000000001E-3</v>
      </c>
      <c r="C19" s="241">
        <f t="shared" si="1"/>
        <v>6500</v>
      </c>
      <c r="D19" s="241">
        <f t="shared" si="1"/>
        <v>6600</v>
      </c>
      <c r="E19" s="241">
        <f t="shared" si="1"/>
        <v>7100</v>
      </c>
      <c r="F19" s="241">
        <f t="shared" si="1"/>
        <v>7200</v>
      </c>
      <c r="G19" s="242">
        <f t="shared" si="1"/>
        <v>7400</v>
      </c>
      <c r="H19" s="243">
        <f t="shared" si="2"/>
        <v>34800</v>
      </c>
    </row>
    <row r="20" spans="1:8" ht="16.5" thickBot="1" x14ac:dyDescent="0.3">
      <c r="A20" s="179" t="s">
        <v>119</v>
      </c>
      <c r="B20" s="244">
        <f t="shared" ref="B20:H20" si="4">SUM(B7:B19)</f>
        <v>0.99031999999999998</v>
      </c>
      <c r="C20" s="181">
        <f t="shared" si="4"/>
        <v>1637600</v>
      </c>
      <c r="D20" s="181">
        <f>SUM(D7:D19)</f>
        <v>1663000</v>
      </c>
      <c r="E20" s="181">
        <f t="shared" si="4"/>
        <v>1789800</v>
      </c>
      <c r="F20" s="181">
        <f t="shared" si="4"/>
        <v>1833700</v>
      </c>
      <c r="G20" s="181">
        <f t="shared" si="4"/>
        <v>1875200</v>
      </c>
      <c r="H20" s="245">
        <f t="shared" si="4"/>
        <v>8799300</v>
      </c>
    </row>
    <row r="21" spans="1:8" x14ac:dyDescent="0.25">
      <c r="A21" s="246" t="s">
        <v>207</v>
      </c>
      <c r="B21" s="247"/>
      <c r="C21" s="247"/>
      <c r="D21" s="247"/>
      <c r="E21" s="247"/>
      <c r="F21" s="247"/>
      <c r="H21" s="248"/>
    </row>
    <row r="22" spans="1:8" ht="15.75" x14ac:dyDescent="0.25">
      <c r="A22" s="320" t="s">
        <v>266</v>
      </c>
    </row>
    <row r="24" spans="1:8" x14ac:dyDescent="0.25">
      <c r="A24" s="249" t="s">
        <v>208</v>
      </c>
      <c r="B24" s="250" t="s">
        <v>209</v>
      </c>
      <c r="C24" s="250">
        <v>2015</v>
      </c>
      <c r="D24" s="250">
        <v>2016</v>
      </c>
      <c r="E24" s="250">
        <v>2017</v>
      </c>
      <c r="F24" s="250">
        <v>2018</v>
      </c>
      <c r="G24" s="250">
        <v>2019</v>
      </c>
      <c r="H24" s="250" t="s">
        <v>119</v>
      </c>
    </row>
    <row r="25" spans="1:8" x14ac:dyDescent="0.25">
      <c r="A25" t="s">
        <v>210</v>
      </c>
      <c r="B25" s="251">
        <f>B40</f>
        <v>3.8128397802041913E-2</v>
      </c>
      <c r="C25" s="252"/>
      <c r="D25" s="252"/>
      <c r="E25" s="252"/>
      <c r="F25" s="252"/>
      <c r="G25" s="252"/>
      <c r="H25" s="252"/>
    </row>
    <row r="26" spans="1:8" x14ac:dyDescent="0.25">
      <c r="A26" t="s">
        <v>211</v>
      </c>
      <c r="B26" s="253">
        <f>1500000*B25</f>
        <v>57192.596703062867</v>
      </c>
      <c r="C26" s="254"/>
      <c r="D26" s="255"/>
      <c r="E26" s="255"/>
      <c r="F26" s="255"/>
      <c r="G26" s="255"/>
      <c r="H26" s="255"/>
    </row>
    <row r="27" spans="1:8" x14ac:dyDescent="0.25">
      <c r="A27" t="s">
        <v>212</v>
      </c>
      <c r="B27" s="253">
        <v>30000</v>
      </c>
      <c r="C27" s="256"/>
      <c r="D27" s="255"/>
      <c r="E27" s="255"/>
      <c r="F27" s="255"/>
      <c r="G27" s="255"/>
      <c r="H27" s="255"/>
    </row>
    <row r="28" spans="1:8" x14ac:dyDescent="0.25">
      <c r="A28" t="s">
        <v>213</v>
      </c>
      <c r="B28" s="257">
        <f>(B27/B26)</f>
        <v>0.52454341522131642</v>
      </c>
      <c r="C28" s="254"/>
      <c r="D28" s="254"/>
      <c r="E28" s="254"/>
      <c r="F28" s="254"/>
      <c r="G28" s="254"/>
      <c r="H28" s="255"/>
    </row>
    <row r="29" spans="1:8" x14ac:dyDescent="0.25">
      <c r="A29" t="s">
        <v>214</v>
      </c>
      <c r="B29" s="258">
        <f>B13</f>
        <v>4.0349999999999997E-2</v>
      </c>
      <c r="C29" s="255"/>
      <c r="D29" s="255"/>
      <c r="E29" s="255"/>
      <c r="F29" s="255"/>
      <c r="G29" s="255"/>
      <c r="H29" s="255"/>
    </row>
    <row r="30" spans="1:8" x14ac:dyDescent="0.25">
      <c r="A30" t="s">
        <v>215</v>
      </c>
      <c r="B30" s="259"/>
      <c r="C30" s="260">
        <f>$B$28*C6*$B$29</f>
        <v>35346.095762980796</v>
      </c>
      <c r="D30" s="260">
        <f t="shared" ref="D30:G30" si="5">$B$28*D6*$B$29</f>
        <v>35896.394259889472</v>
      </c>
      <c r="E30" s="260">
        <f t="shared" si="5"/>
        <v>38626.721417628716</v>
      </c>
      <c r="F30" s="260">
        <f t="shared" si="5"/>
        <v>39579.161123816819</v>
      </c>
      <c r="G30" s="260">
        <f t="shared" si="5"/>
        <v>40468.104849592382</v>
      </c>
      <c r="H30" s="261">
        <f>SUM(C30:G30)</f>
        <v>189916.4774139082</v>
      </c>
    </row>
    <row r="32" spans="1:8" ht="16.5" thickBot="1" x14ac:dyDescent="0.3">
      <c r="A32" s="225" t="s">
        <v>216</v>
      </c>
      <c r="B32" s="262">
        <v>1500000</v>
      </c>
      <c r="F32" s="2"/>
    </row>
    <row r="33" spans="1:6" ht="78.75" x14ac:dyDescent="0.25">
      <c r="A33" s="172" t="s">
        <v>116</v>
      </c>
      <c r="B33" s="173" t="s">
        <v>132</v>
      </c>
      <c r="C33" s="173" t="s">
        <v>117</v>
      </c>
      <c r="D33" s="174" t="s">
        <v>118</v>
      </c>
      <c r="E33" s="6"/>
      <c r="F33" s="7"/>
    </row>
    <row r="34" spans="1:6" ht="15.75" x14ac:dyDescent="0.25">
      <c r="A34" s="175" t="s">
        <v>120</v>
      </c>
      <c r="B34" s="263">
        <v>0.35491098436645985</v>
      </c>
      <c r="C34" s="176">
        <f t="shared" ref="C34:C46" si="6">$B$32*B34</f>
        <v>532366.47654968977</v>
      </c>
      <c r="D34" s="177">
        <f>ROUND(C34,-3)</f>
        <v>532000</v>
      </c>
      <c r="E34" s="6"/>
      <c r="F34" s="2"/>
    </row>
    <row r="35" spans="1:6" ht="15.75" x14ac:dyDescent="0.25">
      <c r="A35" s="175" t="s">
        <v>121</v>
      </c>
      <c r="B35" s="263">
        <v>0.20525957851608623</v>
      </c>
      <c r="C35" s="176">
        <f t="shared" si="6"/>
        <v>307889.36777412932</v>
      </c>
      <c r="D35" s="177">
        <f t="shared" ref="D35:D46" si="7">ROUND(C35,-3)</f>
        <v>308000</v>
      </c>
      <c r="E35" s="6"/>
    </row>
    <row r="36" spans="1:6" ht="15.75" x14ac:dyDescent="0.25">
      <c r="A36" s="175" t="s">
        <v>122</v>
      </c>
      <c r="B36" s="263">
        <v>0.13718045536284248</v>
      </c>
      <c r="C36" s="176">
        <f t="shared" si="6"/>
        <v>205770.68304426371</v>
      </c>
      <c r="D36" s="177">
        <f t="shared" si="7"/>
        <v>206000</v>
      </c>
      <c r="E36" s="6"/>
    </row>
    <row r="37" spans="1:6" ht="15.75" x14ac:dyDescent="0.25">
      <c r="A37" s="175" t="s">
        <v>123</v>
      </c>
      <c r="B37" s="263">
        <v>8.6172223450727434E-2</v>
      </c>
      <c r="C37" s="176">
        <f t="shared" si="6"/>
        <v>129258.33517609115</v>
      </c>
      <c r="D37" s="177">
        <f t="shared" si="7"/>
        <v>129000</v>
      </c>
      <c r="E37" s="6"/>
    </row>
    <row r="38" spans="1:6" ht="15.75" x14ac:dyDescent="0.25">
      <c r="A38" s="175" t="s">
        <v>124</v>
      </c>
      <c r="B38" s="263">
        <v>5.5301509948806102E-2</v>
      </c>
      <c r="C38" s="176">
        <f t="shared" si="6"/>
        <v>82952.26492320915</v>
      </c>
      <c r="D38" s="177">
        <f t="shared" si="7"/>
        <v>83000</v>
      </c>
      <c r="E38" s="6"/>
    </row>
    <row r="39" spans="1:6" ht="15.75" x14ac:dyDescent="0.25">
      <c r="A39" s="175" t="s">
        <v>125</v>
      </c>
      <c r="B39" s="263">
        <v>4.5079419385255989E-2</v>
      </c>
      <c r="C39" s="176">
        <f t="shared" si="6"/>
        <v>67619.12907788399</v>
      </c>
      <c r="D39" s="177">
        <f t="shared" si="7"/>
        <v>68000</v>
      </c>
      <c r="E39" s="6"/>
    </row>
    <row r="40" spans="1:6" ht="15.75" x14ac:dyDescent="0.25">
      <c r="A40" s="175" t="s">
        <v>140</v>
      </c>
      <c r="B40" s="263">
        <v>3.8128397802041913E-2</v>
      </c>
      <c r="C40" s="176">
        <f t="shared" si="6"/>
        <v>57192.596703062867</v>
      </c>
      <c r="D40" s="177">
        <v>30000</v>
      </c>
      <c r="E40" s="6"/>
    </row>
    <row r="41" spans="1:6" ht="15.75" x14ac:dyDescent="0.25">
      <c r="A41" s="175" t="s">
        <v>126</v>
      </c>
      <c r="B41" s="263">
        <v>3.7208409651322404E-2</v>
      </c>
      <c r="C41" s="176">
        <f t="shared" si="6"/>
        <v>55812.614476983603</v>
      </c>
      <c r="D41" s="177">
        <f t="shared" si="7"/>
        <v>56000</v>
      </c>
      <c r="E41" s="6"/>
    </row>
    <row r="42" spans="1:6" ht="15.75" x14ac:dyDescent="0.25">
      <c r="A42" s="175" t="s">
        <v>127</v>
      </c>
      <c r="B42" s="263">
        <v>1.3596423519987317E-2</v>
      </c>
      <c r="C42" s="176">
        <f t="shared" si="6"/>
        <v>20394.635279980976</v>
      </c>
      <c r="D42" s="177">
        <f t="shared" si="7"/>
        <v>20000</v>
      </c>
      <c r="E42" s="6"/>
      <c r="F42" s="6"/>
    </row>
    <row r="43" spans="1:6" ht="15.75" x14ac:dyDescent="0.25">
      <c r="A43" s="175" t="s">
        <v>128</v>
      </c>
      <c r="B43" s="263">
        <v>1.1244299619905123E-2</v>
      </c>
      <c r="C43" s="176">
        <f t="shared" si="6"/>
        <v>16866.449429857683</v>
      </c>
      <c r="D43" s="177">
        <f t="shared" si="7"/>
        <v>17000</v>
      </c>
      <c r="E43" s="6"/>
      <c r="F43" s="6"/>
    </row>
    <row r="44" spans="1:6" ht="15.75" x14ac:dyDescent="0.25">
      <c r="A44" s="175" t="s">
        <v>129</v>
      </c>
      <c r="B44" s="263">
        <v>7.8710097339335858E-3</v>
      </c>
      <c r="C44" s="176">
        <f t="shared" si="6"/>
        <v>11806.514600900378</v>
      </c>
      <c r="D44" s="177">
        <f t="shared" si="7"/>
        <v>12000</v>
      </c>
      <c r="E44" s="6"/>
      <c r="F44" s="6"/>
    </row>
    <row r="45" spans="1:6" ht="15.75" x14ac:dyDescent="0.25">
      <c r="A45" s="175" t="s">
        <v>130</v>
      </c>
      <c r="B45" s="263">
        <v>5.1851032848375103E-3</v>
      </c>
      <c r="C45" s="176">
        <f t="shared" si="6"/>
        <v>7777.6549272562652</v>
      </c>
      <c r="D45" s="177">
        <f t="shared" si="7"/>
        <v>8000</v>
      </c>
      <c r="E45" s="6"/>
      <c r="F45" s="6"/>
    </row>
    <row r="46" spans="1:6" ht="15.75" x14ac:dyDescent="0.25">
      <c r="A46" s="175" t="s">
        <v>131</v>
      </c>
      <c r="B46" s="263">
        <v>2.8621853577940311E-3</v>
      </c>
      <c r="C46" s="176">
        <f t="shared" si="6"/>
        <v>4293.2780366910465</v>
      </c>
      <c r="D46" s="177">
        <f t="shared" si="7"/>
        <v>4000</v>
      </c>
      <c r="E46" s="6"/>
      <c r="F46" s="6"/>
    </row>
    <row r="47" spans="1:6" ht="15.75" x14ac:dyDescent="0.25">
      <c r="A47" s="175"/>
      <c r="B47" s="96"/>
      <c r="C47" s="96"/>
      <c r="D47" s="178"/>
      <c r="E47" s="3"/>
      <c r="F47" s="3"/>
    </row>
    <row r="48" spans="1:6" ht="16.5" thickBot="1" x14ac:dyDescent="0.3">
      <c r="A48" s="179" t="s">
        <v>119</v>
      </c>
      <c r="B48" s="180">
        <f>SUM(B34:B46)</f>
        <v>1</v>
      </c>
      <c r="C48" s="181">
        <f>SUM(C34:C46)</f>
        <v>1499999.9999999998</v>
      </c>
      <c r="D48" s="182">
        <f>SUM(D34:D46)</f>
        <v>1473000</v>
      </c>
      <c r="E48" s="3"/>
      <c r="F48" s="6"/>
    </row>
    <row r="49" spans="1:2" x14ac:dyDescent="0.25">
      <c r="A49" s="9" t="s">
        <v>148</v>
      </c>
    </row>
    <row r="51" spans="1:2" x14ac:dyDescent="0.25">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V77"/>
  <sheetViews>
    <sheetView zoomScale="90" zoomScaleNormal="90" workbookViewId="0"/>
  </sheetViews>
  <sheetFormatPr defaultColWidth="8.85546875" defaultRowHeight="15.75" x14ac:dyDescent="0.2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1.28515625" style="19" bestFit="1" customWidth="1"/>
    <col min="11" max="11" width="12.42578125" style="19" bestFit="1" customWidth="1"/>
    <col min="12" max="12" width="8.85546875" style="19"/>
    <col min="13" max="13" width="12.42578125" style="19" bestFit="1" customWidth="1"/>
    <col min="14" max="14" width="8.85546875" style="19"/>
    <col min="15" max="15" width="15" style="19" bestFit="1" customWidth="1"/>
    <col min="16" max="17" width="12.7109375" style="19" bestFit="1" customWidth="1"/>
    <col min="18" max="16384" width="8.85546875" style="19"/>
  </cols>
  <sheetData>
    <row r="1" spans="2:19" ht="18.75" x14ac:dyDescent="0.3">
      <c r="B1" s="183" t="s">
        <v>112</v>
      </c>
    </row>
    <row r="2" spans="2:19" x14ac:dyDescent="0.25">
      <c r="B2" s="1" t="str">
        <f>'Table of Contents'!B2</f>
        <v>PROPOSED Work Plan (September 8, 2016)</v>
      </c>
    </row>
    <row r="4" spans="2:19" ht="63" x14ac:dyDescent="0.25">
      <c r="B4" s="144" t="s">
        <v>138</v>
      </c>
      <c r="C4" s="144" t="s">
        <v>84</v>
      </c>
      <c r="D4" s="144" t="s">
        <v>18</v>
      </c>
      <c r="E4" s="145"/>
      <c r="F4" s="145"/>
      <c r="G4" s="145"/>
      <c r="H4" s="145"/>
      <c r="I4" s="145"/>
      <c r="J4" s="145"/>
      <c r="K4" s="145"/>
      <c r="L4" s="145"/>
      <c r="M4" s="145"/>
      <c r="N4" s="145"/>
      <c r="O4" s="32"/>
      <c r="P4" s="146" t="s">
        <v>71</v>
      </c>
      <c r="Q4" s="146" t="s">
        <v>26</v>
      </c>
      <c r="R4" s="146" t="s">
        <v>27</v>
      </c>
      <c r="S4" s="32"/>
    </row>
    <row r="5" spans="2:19" x14ac:dyDescent="0.25">
      <c r="B5" s="19" t="s">
        <v>150</v>
      </c>
      <c r="C5" s="43">
        <v>15000</v>
      </c>
      <c r="D5" s="147" t="s">
        <v>82</v>
      </c>
      <c r="E5" s="147"/>
      <c r="F5" s="147"/>
      <c r="G5" s="147"/>
      <c r="H5" s="147"/>
      <c r="I5" s="147"/>
      <c r="J5" s="147"/>
      <c r="K5" s="147"/>
      <c r="L5" s="148"/>
      <c r="M5" s="148"/>
      <c r="N5" s="148"/>
      <c r="O5" s="149"/>
      <c r="P5" s="150">
        <v>6000</v>
      </c>
      <c r="Q5" s="150">
        <v>1000</v>
      </c>
      <c r="R5" s="150">
        <v>1000</v>
      </c>
      <c r="S5" s="32"/>
    </row>
    <row r="6" spans="2:19" x14ac:dyDescent="0.25">
      <c r="B6" s="19" t="s">
        <v>151</v>
      </c>
      <c r="C6" s="43">
        <v>9000</v>
      </c>
      <c r="D6" s="147" t="s">
        <v>85</v>
      </c>
      <c r="E6" s="151"/>
      <c r="F6" s="151"/>
      <c r="G6" s="151"/>
      <c r="H6" s="151"/>
      <c r="I6" s="151"/>
      <c r="J6" s="151"/>
      <c r="K6" s="151"/>
      <c r="L6" s="29"/>
      <c r="M6" s="29"/>
      <c r="N6" s="29"/>
      <c r="O6" s="32"/>
      <c r="P6" s="150">
        <v>2000</v>
      </c>
      <c r="Q6" s="150">
        <v>1000</v>
      </c>
      <c r="R6" s="150"/>
      <c r="S6" s="32"/>
    </row>
    <row r="7" spans="2:19" x14ac:dyDescent="0.25">
      <c r="B7" s="19" t="s">
        <v>152</v>
      </c>
      <c r="C7" s="43">
        <v>9000</v>
      </c>
      <c r="D7" s="147" t="s">
        <v>86</v>
      </c>
      <c r="E7" s="29"/>
      <c r="F7" s="29"/>
      <c r="G7" s="29"/>
      <c r="H7" s="29"/>
      <c r="I7" s="29"/>
      <c r="J7" s="29"/>
      <c r="K7" s="29"/>
      <c r="L7" s="29"/>
      <c r="M7" s="29"/>
      <c r="N7" s="29"/>
      <c r="O7" s="32"/>
      <c r="P7" s="150">
        <v>4000</v>
      </c>
      <c r="Q7" s="152">
        <v>2000</v>
      </c>
      <c r="R7" s="152">
        <v>2000</v>
      </c>
      <c r="S7" s="32"/>
    </row>
    <row r="8" spans="2:19" x14ac:dyDescent="0.25">
      <c r="B8" s="19" t="s">
        <v>73</v>
      </c>
      <c r="C8" s="43">
        <v>9000</v>
      </c>
      <c r="D8" s="147" t="s">
        <v>139</v>
      </c>
      <c r="E8" s="29"/>
      <c r="F8" s="29"/>
      <c r="G8" s="29"/>
      <c r="H8" s="29"/>
      <c r="I8" s="29"/>
      <c r="J8" s="29"/>
      <c r="K8" s="29"/>
      <c r="L8" s="29"/>
      <c r="M8" s="29"/>
      <c r="N8" s="29"/>
      <c r="O8" s="32"/>
      <c r="P8" s="153">
        <v>12000</v>
      </c>
      <c r="Q8" s="153">
        <v>6000</v>
      </c>
      <c r="R8" s="153">
        <v>2000</v>
      </c>
      <c r="S8" s="32"/>
    </row>
    <row r="9" spans="2:19" x14ac:dyDescent="0.25">
      <c r="B9" s="19" t="s">
        <v>102</v>
      </c>
      <c r="C9" s="43">
        <v>50000</v>
      </c>
      <c r="D9" s="147" t="s">
        <v>77</v>
      </c>
      <c r="E9" s="29"/>
      <c r="F9" s="29"/>
      <c r="G9" s="29"/>
      <c r="H9" s="29"/>
      <c r="I9" s="29"/>
      <c r="J9" s="29"/>
      <c r="K9" s="29"/>
      <c r="L9" s="29"/>
      <c r="M9" s="29"/>
      <c r="N9" s="29"/>
      <c r="O9" s="32"/>
      <c r="P9" s="153">
        <v>40000</v>
      </c>
      <c r="Q9" s="153">
        <v>6000</v>
      </c>
      <c r="R9" s="153">
        <v>3000</v>
      </c>
      <c r="S9" s="32"/>
    </row>
    <row r="10" spans="2:19" x14ac:dyDescent="0.25">
      <c r="B10" s="19" t="s">
        <v>78</v>
      </c>
      <c r="C10" s="43">
        <v>20000</v>
      </c>
      <c r="D10" s="147" t="s">
        <v>76</v>
      </c>
      <c r="E10" s="151"/>
      <c r="F10" s="151"/>
      <c r="G10" s="151"/>
      <c r="H10" s="151"/>
      <c r="I10" s="151"/>
      <c r="J10" s="151"/>
      <c r="K10" s="151"/>
      <c r="L10" s="29"/>
      <c r="M10" s="29"/>
      <c r="N10" s="29"/>
      <c r="O10" s="32"/>
      <c r="P10" s="153">
        <v>15000</v>
      </c>
      <c r="Q10" s="153">
        <v>6000</v>
      </c>
      <c r="R10" s="153">
        <v>2000</v>
      </c>
      <c r="S10" s="32"/>
    </row>
    <row r="11" spans="2:19" x14ac:dyDescent="0.25">
      <c r="B11" s="19" t="s">
        <v>159</v>
      </c>
      <c r="C11" s="43">
        <v>35000</v>
      </c>
      <c r="D11" s="147" t="s">
        <v>79</v>
      </c>
      <c r="E11" s="29"/>
      <c r="F11" s="29"/>
      <c r="G11" s="29"/>
      <c r="H11" s="29"/>
      <c r="I11" s="29"/>
      <c r="J11" s="29"/>
      <c r="K11" s="29"/>
      <c r="L11" s="29"/>
      <c r="M11" s="29"/>
      <c r="N11" s="29"/>
      <c r="O11" s="32"/>
      <c r="P11" s="150"/>
      <c r="Q11" s="150"/>
      <c r="R11" s="150"/>
      <c r="S11" s="32"/>
    </row>
    <row r="12" spans="2:19" x14ac:dyDescent="0.25">
      <c r="B12" s="19" t="s">
        <v>158</v>
      </c>
      <c r="C12" s="43">
        <v>20000</v>
      </c>
      <c r="D12" s="147" t="s">
        <v>80</v>
      </c>
      <c r="E12" s="29"/>
      <c r="F12" s="29"/>
      <c r="G12" s="29"/>
      <c r="H12" s="29"/>
      <c r="I12" s="29"/>
      <c r="J12" s="29"/>
      <c r="K12" s="29"/>
      <c r="L12" s="29"/>
      <c r="M12" s="29"/>
      <c r="N12" s="29"/>
      <c r="O12" s="32"/>
      <c r="P12" s="150"/>
      <c r="Q12" s="150"/>
      <c r="R12" s="150"/>
      <c r="S12" s="32"/>
    </row>
    <row r="13" spans="2:19" x14ac:dyDescent="0.25">
      <c r="B13" s="19" t="s">
        <v>160</v>
      </c>
      <c r="C13" s="43">
        <v>45000</v>
      </c>
      <c r="D13" s="147" t="s">
        <v>75</v>
      </c>
      <c r="E13" s="151"/>
      <c r="F13" s="151"/>
      <c r="G13" s="151"/>
      <c r="H13" s="151"/>
      <c r="I13" s="151"/>
      <c r="J13" s="151"/>
      <c r="K13" s="151"/>
      <c r="L13" s="29"/>
      <c r="M13" s="29"/>
      <c r="N13" s="29"/>
      <c r="O13" s="32"/>
      <c r="P13" s="150"/>
      <c r="Q13" s="150"/>
      <c r="R13" s="150"/>
      <c r="S13" s="32"/>
    </row>
    <row r="14" spans="2:19" x14ac:dyDescent="0.25">
      <c r="B14" s="19" t="s">
        <v>157</v>
      </c>
      <c r="C14" s="43">
        <v>80000</v>
      </c>
      <c r="D14" s="147" t="s">
        <v>81</v>
      </c>
      <c r="E14" s="29"/>
      <c r="F14" s="29"/>
      <c r="G14" s="29"/>
      <c r="H14" s="29"/>
      <c r="I14" s="29"/>
      <c r="J14" s="29"/>
      <c r="K14" s="29"/>
      <c r="L14" s="29"/>
      <c r="M14" s="29"/>
      <c r="N14" s="29"/>
      <c r="O14" s="32"/>
      <c r="P14" s="150"/>
      <c r="Q14" s="150"/>
      <c r="R14" s="150"/>
      <c r="S14" s="32"/>
    </row>
    <row r="15" spans="2:19" x14ac:dyDescent="0.25">
      <c r="B15" s="19" t="s">
        <v>74</v>
      </c>
      <c r="C15" s="43">
        <v>12000</v>
      </c>
      <c r="D15" s="147" t="s">
        <v>156</v>
      </c>
      <c r="E15" s="151"/>
      <c r="F15" s="151"/>
      <c r="G15" s="151"/>
      <c r="H15" s="151"/>
      <c r="I15" s="151"/>
      <c r="J15" s="151"/>
      <c r="K15" s="151"/>
      <c r="L15" s="151"/>
      <c r="M15" s="151"/>
      <c r="N15" s="151"/>
      <c r="O15" s="154"/>
      <c r="P15" s="150"/>
      <c r="Q15" s="150"/>
      <c r="R15" s="150"/>
      <c r="S15" s="32"/>
    </row>
    <row r="18" spans="2:14" x14ac:dyDescent="0.25">
      <c r="B18" s="144" t="s">
        <v>87</v>
      </c>
      <c r="C18" s="144" t="s">
        <v>57</v>
      </c>
      <c r="D18" s="144" t="s">
        <v>53</v>
      </c>
      <c r="E18" s="144" t="s">
        <v>54</v>
      </c>
      <c r="F18" s="144" t="s">
        <v>55</v>
      </c>
      <c r="G18" s="144" t="s">
        <v>56</v>
      </c>
      <c r="H18" s="145"/>
      <c r="I18" s="144" t="s">
        <v>21</v>
      </c>
      <c r="J18" s="144" t="s">
        <v>22</v>
      </c>
      <c r="K18" s="145"/>
      <c r="L18" s="144" t="s">
        <v>23</v>
      </c>
      <c r="M18" s="144" t="s">
        <v>24</v>
      </c>
      <c r="N18" s="144" t="s">
        <v>25</v>
      </c>
    </row>
    <row r="19" spans="2:14" x14ac:dyDescent="0.25">
      <c r="C19" s="51">
        <f>D19*12</f>
        <v>124800</v>
      </c>
      <c r="D19" s="51">
        <f>E19*(52/12)</f>
        <v>10400</v>
      </c>
      <c r="E19" s="51">
        <f>F19*5</f>
        <v>2400</v>
      </c>
      <c r="F19" s="51">
        <f>G19*8</f>
        <v>480</v>
      </c>
      <c r="G19" s="43">
        <v>60</v>
      </c>
      <c r="I19" s="51">
        <f>F19*52</f>
        <v>24960</v>
      </c>
      <c r="J19" s="51">
        <f>I19*2</f>
        <v>49920</v>
      </c>
      <c r="L19" s="51">
        <f>F19*12</f>
        <v>5760</v>
      </c>
      <c r="M19" s="51">
        <f>L19*2</f>
        <v>11520</v>
      </c>
      <c r="N19" s="51">
        <f>L19*3</f>
        <v>17280</v>
      </c>
    </row>
    <row r="20" spans="2:14" x14ac:dyDescent="0.25">
      <c r="C20" s="51">
        <f>D20*12</f>
        <v>166400</v>
      </c>
      <c r="D20" s="51">
        <f>E20*(52/12)</f>
        <v>13866.666666666666</v>
      </c>
      <c r="E20" s="51">
        <f>F20*5</f>
        <v>3200</v>
      </c>
      <c r="F20" s="51">
        <f>G20*8</f>
        <v>640</v>
      </c>
      <c r="G20" s="43">
        <v>80</v>
      </c>
      <c r="I20" s="51">
        <f t="shared" ref="I20:I25" si="0">F20*52</f>
        <v>33280</v>
      </c>
      <c r="J20" s="51">
        <f t="shared" ref="J20:J25" si="1">I20*2</f>
        <v>66560</v>
      </c>
      <c r="L20" s="51">
        <f t="shared" ref="L20:L25" si="2">F20*12</f>
        <v>7680</v>
      </c>
      <c r="M20" s="51">
        <f t="shared" ref="M20:M25" si="3">L20*2</f>
        <v>15360</v>
      </c>
      <c r="N20" s="51">
        <f t="shared" ref="N20:N25" si="4">L20*3</f>
        <v>23040</v>
      </c>
    </row>
    <row r="21" spans="2:14" x14ac:dyDescent="0.25">
      <c r="C21" s="51">
        <f t="shared" ref="C21:C24" si="5">D21*12</f>
        <v>208000</v>
      </c>
      <c r="D21" s="51">
        <f t="shared" ref="D21:D24" si="6">E21*(52/12)</f>
        <v>17333.333333333332</v>
      </c>
      <c r="E21" s="51">
        <f t="shared" ref="E21:E25" si="7">F21*5</f>
        <v>4000</v>
      </c>
      <c r="F21" s="51">
        <f t="shared" ref="F21:F25" si="8">G21*8</f>
        <v>800</v>
      </c>
      <c r="G21" s="43">
        <v>100</v>
      </c>
      <c r="I21" s="51">
        <f t="shared" si="0"/>
        <v>41600</v>
      </c>
      <c r="J21" s="51">
        <f t="shared" si="1"/>
        <v>83200</v>
      </c>
      <c r="L21" s="51">
        <f t="shared" si="2"/>
        <v>9600</v>
      </c>
      <c r="M21" s="51">
        <f t="shared" si="3"/>
        <v>19200</v>
      </c>
      <c r="N21" s="51">
        <f t="shared" si="4"/>
        <v>28800</v>
      </c>
    </row>
    <row r="22" spans="2:14" x14ac:dyDescent="0.25">
      <c r="B22" s="155"/>
      <c r="C22" s="51">
        <f t="shared" si="5"/>
        <v>249600</v>
      </c>
      <c r="D22" s="51">
        <f t="shared" si="6"/>
        <v>20800</v>
      </c>
      <c r="E22" s="51">
        <f t="shared" si="7"/>
        <v>4800</v>
      </c>
      <c r="F22" s="51">
        <f t="shared" si="8"/>
        <v>960</v>
      </c>
      <c r="G22" s="43">
        <v>120</v>
      </c>
      <c r="I22" s="51">
        <f t="shared" si="0"/>
        <v>49920</v>
      </c>
      <c r="J22" s="51">
        <f t="shared" si="1"/>
        <v>99840</v>
      </c>
      <c r="L22" s="51">
        <f t="shared" si="2"/>
        <v>11520</v>
      </c>
      <c r="M22" s="51">
        <f t="shared" si="3"/>
        <v>23040</v>
      </c>
      <c r="N22" s="51">
        <f t="shared" si="4"/>
        <v>34560</v>
      </c>
    </row>
    <row r="23" spans="2:14" x14ac:dyDescent="0.25">
      <c r="C23" s="51">
        <f t="shared" si="5"/>
        <v>312000</v>
      </c>
      <c r="D23" s="51">
        <f t="shared" si="6"/>
        <v>26000</v>
      </c>
      <c r="E23" s="51">
        <f t="shared" si="7"/>
        <v>6000</v>
      </c>
      <c r="F23" s="51">
        <f t="shared" si="8"/>
        <v>1200</v>
      </c>
      <c r="G23" s="43">
        <v>150</v>
      </c>
      <c r="I23" s="51">
        <f t="shared" si="0"/>
        <v>62400</v>
      </c>
      <c r="J23" s="51">
        <f t="shared" si="1"/>
        <v>124800</v>
      </c>
      <c r="L23" s="51">
        <f t="shared" si="2"/>
        <v>14400</v>
      </c>
      <c r="M23" s="51">
        <f t="shared" si="3"/>
        <v>28800</v>
      </c>
      <c r="N23" s="51">
        <f t="shared" si="4"/>
        <v>43200</v>
      </c>
    </row>
    <row r="24" spans="2:14" x14ac:dyDescent="0.25">
      <c r="C24" s="51">
        <f t="shared" si="5"/>
        <v>416000</v>
      </c>
      <c r="D24" s="51">
        <f t="shared" si="6"/>
        <v>34666.666666666664</v>
      </c>
      <c r="E24" s="51">
        <f t="shared" si="7"/>
        <v>8000</v>
      </c>
      <c r="F24" s="51">
        <f t="shared" si="8"/>
        <v>1600</v>
      </c>
      <c r="G24" s="43">
        <v>200</v>
      </c>
      <c r="I24" s="51">
        <f t="shared" si="0"/>
        <v>83200</v>
      </c>
      <c r="J24" s="51">
        <f t="shared" si="1"/>
        <v>166400</v>
      </c>
      <c r="L24" s="51">
        <f t="shared" si="2"/>
        <v>19200</v>
      </c>
      <c r="M24" s="51">
        <f t="shared" si="3"/>
        <v>38400</v>
      </c>
      <c r="N24" s="51">
        <f t="shared" si="4"/>
        <v>57600</v>
      </c>
    </row>
    <row r="25" spans="2:14" x14ac:dyDescent="0.25">
      <c r="C25" s="51">
        <f>D25*12</f>
        <v>519999.99999999994</v>
      </c>
      <c r="D25" s="51">
        <f>E25*(52/12)</f>
        <v>43333.333333333328</v>
      </c>
      <c r="E25" s="51">
        <f t="shared" si="7"/>
        <v>10000</v>
      </c>
      <c r="F25" s="51">
        <f t="shared" si="8"/>
        <v>2000</v>
      </c>
      <c r="G25" s="43">
        <v>250</v>
      </c>
      <c r="I25" s="51">
        <f t="shared" si="0"/>
        <v>104000</v>
      </c>
      <c r="J25" s="51">
        <f t="shared" si="1"/>
        <v>208000</v>
      </c>
      <c r="L25" s="51">
        <f t="shared" si="2"/>
        <v>24000</v>
      </c>
      <c r="M25" s="51">
        <f t="shared" si="3"/>
        <v>48000</v>
      </c>
      <c r="N25" s="51">
        <f t="shared" si="4"/>
        <v>72000</v>
      </c>
    </row>
    <row r="26" spans="2:14" x14ac:dyDescent="0.25">
      <c r="B26" s="283" t="s">
        <v>240</v>
      </c>
      <c r="C26" s="51">
        <f>D26*12</f>
        <v>239200</v>
      </c>
      <c r="D26" s="51">
        <f>E26*(52/12)</f>
        <v>19933.333333333332</v>
      </c>
      <c r="E26" s="51">
        <f t="shared" ref="E26" si="9">F26*5</f>
        <v>4600</v>
      </c>
      <c r="F26" s="51">
        <f t="shared" ref="F26" si="10">G26*8</f>
        <v>920</v>
      </c>
      <c r="G26" s="43">
        <v>115</v>
      </c>
    </row>
    <row r="28" spans="2:14" x14ac:dyDescent="0.25">
      <c r="B28" s="144" t="s">
        <v>83</v>
      </c>
      <c r="C28" s="144" t="s">
        <v>58</v>
      </c>
      <c r="D28" s="144" t="s">
        <v>59</v>
      </c>
      <c r="E28" s="144" t="s">
        <v>60</v>
      </c>
      <c r="F28" s="144" t="s">
        <v>61</v>
      </c>
      <c r="G28" s="144"/>
      <c r="H28" s="144" t="s">
        <v>62</v>
      </c>
      <c r="I28" s="144" t="s">
        <v>63</v>
      </c>
      <c r="J28" s="144" t="s">
        <v>64</v>
      </c>
      <c r="K28" s="144"/>
      <c r="L28" s="144"/>
      <c r="M28" s="144"/>
      <c r="N28" s="145"/>
    </row>
    <row r="29" spans="2:14" x14ac:dyDescent="0.25">
      <c r="C29" s="43">
        <v>100</v>
      </c>
      <c r="D29" s="51">
        <f>$C29*8</f>
        <v>800</v>
      </c>
      <c r="E29" s="51">
        <f>$C29*16</f>
        <v>1600</v>
      </c>
      <c r="F29" s="51">
        <f>$C29*24</f>
        <v>2400</v>
      </c>
      <c r="H29" s="51">
        <f>$C29*40</f>
        <v>4000</v>
      </c>
      <c r="I29" s="51">
        <f>$C29*80</f>
        <v>8000</v>
      </c>
      <c r="J29" s="51">
        <f>$C29*120</f>
        <v>12000</v>
      </c>
      <c r="L29" s="51"/>
    </row>
    <row r="30" spans="2:14" x14ac:dyDescent="0.25">
      <c r="C30" s="43">
        <v>120</v>
      </c>
      <c r="D30" s="51">
        <f t="shared" ref="D30:D32" si="11">$C30*8</f>
        <v>960</v>
      </c>
      <c r="E30" s="51">
        <f t="shared" ref="E30:E32" si="12">$C30*16</f>
        <v>1920</v>
      </c>
      <c r="F30" s="51">
        <f t="shared" ref="F30:F32" si="13">$C30*24</f>
        <v>2880</v>
      </c>
      <c r="H30" s="51">
        <f t="shared" ref="H30:H32" si="14">$C30*40</f>
        <v>4800</v>
      </c>
      <c r="I30" s="51">
        <f t="shared" ref="I30:I32" si="15">$C30*80</f>
        <v>9600</v>
      </c>
      <c r="J30" s="51">
        <f t="shared" ref="J30:J32" si="16">$C30*120</f>
        <v>14400</v>
      </c>
    </row>
    <row r="31" spans="2:14" x14ac:dyDescent="0.25">
      <c r="C31" s="43">
        <v>150</v>
      </c>
      <c r="D31" s="51">
        <f t="shared" si="11"/>
        <v>1200</v>
      </c>
      <c r="E31" s="51">
        <f t="shared" si="12"/>
        <v>2400</v>
      </c>
      <c r="F31" s="51">
        <f t="shared" si="13"/>
        <v>3600</v>
      </c>
      <c r="H31" s="51">
        <f t="shared" si="14"/>
        <v>6000</v>
      </c>
      <c r="I31" s="51">
        <f t="shared" si="15"/>
        <v>12000</v>
      </c>
      <c r="J31" s="51">
        <f t="shared" si="16"/>
        <v>18000</v>
      </c>
    </row>
    <row r="32" spans="2:14" x14ac:dyDescent="0.25">
      <c r="C32" s="43">
        <v>200</v>
      </c>
      <c r="D32" s="51">
        <f t="shared" si="11"/>
        <v>1600</v>
      </c>
      <c r="E32" s="51">
        <f t="shared" si="12"/>
        <v>3200</v>
      </c>
      <c r="F32" s="51">
        <f t="shared" si="13"/>
        <v>4800</v>
      </c>
      <c r="H32" s="51">
        <f t="shared" si="14"/>
        <v>8000</v>
      </c>
      <c r="I32" s="51">
        <f t="shared" si="15"/>
        <v>16000</v>
      </c>
      <c r="J32" s="51">
        <f t="shared" si="16"/>
        <v>24000</v>
      </c>
    </row>
    <row r="35" spans="2:22" ht="47.25" x14ac:dyDescent="0.25">
      <c r="B35" s="144" t="s">
        <v>90</v>
      </c>
      <c r="C35" s="156" t="s">
        <v>91</v>
      </c>
      <c r="D35" s="157" t="s">
        <v>92</v>
      </c>
      <c r="E35" s="157" t="s">
        <v>93</v>
      </c>
      <c r="F35" s="157" t="s">
        <v>94</v>
      </c>
      <c r="G35" s="158" t="s">
        <v>95</v>
      </c>
      <c r="H35" s="145"/>
      <c r="I35" s="145"/>
      <c r="J35" s="145"/>
      <c r="K35" s="145"/>
      <c r="L35" s="145"/>
      <c r="M35" s="145"/>
      <c r="Q35" s="304"/>
    </row>
    <row r="36" spans="2:22" x14ac:dyDescent="0.25">
      <c r="C36" s="159">
        <v>1</v>
      </c>
      <c r="D36" s="96">
        <f>F36*52</f>
        <v>2080</v>
      </c>
      <c r="E36" s="160">
        <f>D36/12</f>
        <v>173.33333333333334</v>
      </c>
      <c r="F36" s="96">
        <f>40</f>
        <v>40</v>
      </c>
      <c r="G36" s="161">
        <f>E36/8</f>
        <v>21.666666666666668</v>
      </c>
    </row>
    <row r="37" spans="2:22" x14ac:dyDescent="0.25">
      <c r="C37" s="159">
        <v>0.75</v>
      </c>
      <c r="D37" s="96">
        <f t="shared" ref="D37:D45" si="17">F37*52</f>
        <v>1560</v>
      </c>
      <c r="E37" s="160">
        <f t="shared" ref="E37:E45" si="18">D37/12</f>
        <v>130</v>
      </c>
      <c r="F37" s="96">
        <f>C37*$F$36</f>
        <v>30</v>
      </c>
      <c r="G37" s="161">
        <f t="shared" ref="G37:G45" si="19">E37/8</f>
        <v>16.25</v>
      </c>
    </row>
    <row r="38" spans="2:22" x14ac:dyDescent="0.25">
      <c r="C38" s="159">
        <v>0.5</v>
      </c>
      <c r="D38" s="96">
        <f t="shared" si="17"/>
        <v>1040</v>
      </c>
      <c r="E38" s="160">
        <f t="shared" si="18"/>
        <v>86.666666666666671</v>
      </c>
      <c r="F38" s="96">
        <f t="shared" ref="F38:F45" si="20">C38*$F$36</f>
        <v>20</v>
      </c>
      <c r="G38" s="161">
        <f t="shared" si="19"/>
        <v>10.833333333333334</v>
      </c>
      <c r="I38"/>
      <c r="J38"/>
      <c r="K38"/>
      <c r="L38"/>
      <c r="M38"/>
      <c r="N38"/>
      <c r="O38"/>
      <c r="P38"/>
    </row>
    <row r="39" spans="2:22" x14ac:dyDescent="0.25">
      <c r="C39" s="159">
        <v>0.35</v>
      </c>
      <c r="D39" s="96">
        <f t="shared" si="17"/>
        <v>728</v>
      </c>
      <c r="E39" s="160">
        <f t="shared" si="18"/>
        <v>60.666666666666664</v>
      </c>
      <c r="F39" s="96">
        <f t="shared" si="20"/>
        <v>14</v>
      </c>
      <c r="G39" s="161">
        <f t="shared" si="19"/>
        <v>7.583333333333333</v>
      </c>
      <c r="I39"/>
      <c r="J39"/>
      <c r="K39" s="444"/>
      <c r="L39" s="2"/>
      <c r="M39" s="2"/>
      <c r="N39" s="2"/>
      <c r="O39" s="2"/>
      <c r="P39" s="2"/>
      <c r="Q39" s="32"/>
      <c r="R39" s="32"/>
      <c r="S39" s="32"/>
    </row>
    <row r="40" spans="2:22" x14ac:dyDescent="0.25">
      <c r="C40" s="159">
        <v>0.2</v>
      </c>
      <c r="D40" s="96">
        <f t="shared" si="17"/>
        <v>416</v>
      </c>
      <c r="E40" s="160">
        <f t="shared" si="18"/>
        <v>34.666666666666664</v>
      </c>
      <c r="F40" s="96">
        <f t="shared" si="20"/>
        <v>8</v>
      </c>
      <c r="G40" s="161">
        <f t="shared" si="19"/>
        <v>4.333333333333333</v>
      </c>
      <c r="I40"/>
      <c r="J40"/>
      <c r="K40" s="2"/>
      <c r="L40" s="32"/>
      <c r="M40" s="2"/>
      <c r="N40" s="2"/>
      <c r="O40" s="445"/>
      <c r="P40" s="2"/>
      <c r="Q40" s="32"/>
      <c r="R40" s="32"/>
      <c r="S40" s="32"/>
    </row>
    <row r="41" spans="2:22" x14ac:dyDescent="0.25">
      <c r="C41" s="159">
        <v>0.15</v>
      </c>
      <c r="D41" s="96">
        <f t="shared" si="17"/>
        <v>312</v>
      </c>
      <c r="E41" s="160">
        <f t="shared" si="18"/>
        <v>26</v>
      </c>
      <c r="F41" s="96">
        <f t="shared" si="20"/>
        <v>6</v>
      </c>
      <c r="G41" s="161">
        <f t="shared" si="19"/>
        <v>3.25</v>
      </c>
      <c r="I41"/>
      <c r="J41" s="341"/>
      <c r="K41" s="32"/>
      <c r="L41" s="2"/>
      <c r="M41" s="348"/>
      <c r="N41" s="446"/>
      <c r="O41" s="447"/>
      <c r="P41" s="2"/>
      <c r="Q41" s="448"/>
      <c r="R41" s="32"/>
      <c r="S41" s="32"/>
    </row>
    <row r="42" spans="2:22" x14ac:dyDescent="0.25">
      <c r="C42" s="159">
        <v>0.1</v>
      </c>
      <c r="D42" s="96">
        <f t="shared" si="17"/>
        <v>208</v>
      </c>
      <c r="E42" s="160">
        <f t="shared" si="18"/>
        <v>17.333333333333332</v>
      </c>
      <c r="F42" s="96">
        <f t="shared" si="20"/>
        <v>4</v>
      </c>
      <c r="G42" s="161">
        <f t="shared" si="19"/>
        <v>2.1666666666666665</v>
      </c>
      <c r="I42"/>
      <c r="J42"/>
      <c r="K42" s="32"/>
      <c r="L42" s="348"/>
      <c r="M42" s="348"/>
      <c r="N42" s="446"/>
      <c r="O42" s="447"/>
      <c r="P42" s="2"/>
      <c r="Q42" s="449"/>
      <c r="R42" s="32"/>
      <c r="S42" s="32"/>
    </row>
    <row r="43" spans="2:22" x14ac:dyDescent="0.25">
      <c r="C43" s="159">
        <v>0.05</v>
      </c>
      <c r="D43" s="96">
        <f t="shared" si="17"/>
        <v>104</v>
      </c>
      <c r="E43" s="160">
        <f t="shared" si="18"/>
        <v>8.6666666666666661</v>
      </c>
      <c r="F43" s="96">
        <f t="shared" si="20"/>
        <v>2</v>
      </c>
      <c r="G43" s="162">
        <f t="shared" si="19"/>
        <v>1.0833333333333333</v>
      </c>
      <c r="I43"/>
      <c r="J43"/>
      <c r="K43" s="32"/>
      <c r="L43" s="348"/>
      <c r="M43" s="348"/>
      <c r="N43" s="446"/>
      <c r="O43" s="447"/>
      <c r="P43" s="2"/>
      <c r="Q43" s="32"/>
      <c r="R43" s="32"/>
      <c r="S43" s="32"/>
    </row>
    <row r="44" spans="2:22" x14ac:dyDescent="0.25">
      <c r="C44" s="159">
        <v>0.02</v>
      </c>
      <c r="D44" s="160">
        <f t="shared" si="17"/>
        <v>41.6</v>
      </c>
      <c r="E44" s="160">
        <f t="shared" si="18"/>
        <v>3.4666666666666668</v>
      </c>
      <c r="F44" s="96">
        <f t="shared" si="20"/>
        <v>0.8</v>
      </c>
      <c r="G44" s="162">
        <f t="shared" si="19"/>
        <v>0.43333333333333335</v>
      </c>
      <c r="I44"/>
      <c r="J44"/>
      <c r="K44" s="32"/>
      <c r="L44" s="348"/>
      <c r="M44" s="348"/>
      <c r="N44" s="446"/>
      <c r="O44" s="447"/>
      <c r="P44" s="2"/>
      <c r="Q44" s="32"/>
      <c r="R44" s="32"/>
      <c r="S44" s="32"/>
      <c r="V44" s="304"/>
    </row>
    <row r="45" spans="2:22" x14ac:dyDescent="0.25">
      <c r="C45" s="163">
        <v>0.01</v>
      </c>
      <c r="D45" s="164">
        <f t="shared" si="17"/>
        <v>20.8</v>
      </c>
      <c r="E45" s="164">
        <f t="shared" si="18"/>
        <v>1.7333333333333334</v>
      </c>
      <c r="F45" s="165">
        <f t="shared" si="20"/>
        <v>0.4</v>
      </c>
      <c r="G45" s="166">
        <f t="shared" si="19"/>
        <v>0.21666666666666667</v>
      </c>
      <c r="I45"/>
      <c r="J45"/>
      <c r="K45" s="348"/>
      <c r="L45" s="348"/>
      <c r="M45" s="348"/>
      <c r="N45" s="446"/>
      <c r="O45" s="447"/>
      <c r="P45" s="2"/>
      <c r="Q45" s="32"/>
      <c r="R45" s="32"/>
      <c r="S45" s="32"/>
      <c r="V45" s="304"/>
    </row>
    <row r="46" spans="2:22" x14ac:dyDescent="0.25">
      <c r="I46"/>
      <c r="J46"/>
      <c r="K46" s="348"/>
      <c r="L46" s="348"/>
      <c r="M46" s="348"/>
      <c r="N46" s="446"/>
      <c r="O46" s="447"/>
      <c r="P46" s="2"/>
      <c r="Q46" s="32"/>
      <c r="R46" s="305"/>
      <c r="S46" s="32"/>
      <c r="V46" s="304"/>
    </row>
    <row r="47" spans="2:22" x14ac:dyDescent="0.25">
      <c r="C47" s="438" t="s">
        <v>96</v>
      </c>
      <c r="D47" s="439"/>
      <c r="E47" s="440"/>
      <c r="F47" s="167" t="s">
        <v>97</v>
      </c>
      <c r="I47"/>
      <c r="J47"/>
      <c r="K47" s="349"/>
      <c r="L47" s="348"/>
      <c r="M47" s="348"/>
      <c r="N47" s="446"/>
      <c r="O47" s="447"/>
      <c r="P47" s="450"/>
      <c r="Q47" s="32"/>
      <c r="R47" s="305"/>
      <c r="S47" s="32"/>
      <c r="V47" s="304"/>
    </row>
    <row r="48" spans="2:22" x14ac:dyDescent="0.25">
      <c r="C48" s="168" t="s">
        <v>98</v>
      </c>
      <c r="D48" s="168" t="s">
        <v>100</v>
      </c>
      <c r="E48" s="168" t="s">
        <v>99</v>
      </c>
      <c r="F48" s="168" t="s">
        <v>101</v>
      </c>
      <c r="I48"/>
      <c r="J48"/>
      <c r="K48" s="2"/>
      <c r="L48" s="451"/>
      <c r="M48" s="451"/>
      <c r="N48" s="452"/>
      <c r="O48" s="453"/>
      <c r="P48" s="450"/>
      <c r="Q48" s="32"/>
      <c r="R48" s="305"/>
      <c r="S48" s="32"/>
      <c r="V48" s="304"/>
    </row>
    <row r="49" spans="3:22" x14ac:dyDescent="0.25">
      <c r="C49" s="169">
        <v>8</v>
      </c>
      <c r="D49" s="170"/>
      <c r="E49" s="170"/>
      <c r="F49" s="171">
        <f>C49/D36</f>
        <v>3.8461538461538464E-3</v>
      </c>
      <c r="K49" s="32"/>
      <c r="L49" s="348"/>
      <c r="M49" s="451"/>
      <c r="N49" s="446"/>
      <c r="O49" s="447"/>
      <c r="P49" s="450"/>
      <c r="Q49" s="32"/>
      <c r="R49" s="305"/>
      <c r="S49" s="32"/>
      <c r="V49" s="304"/>
    </row>
    <row r="50" spans="3:22" x14ac:dyDescent="0.25">
      <c r="C50" s="170"/>
      <c r="D50" s="169">
        <v>8</v>
      </c>
      <c r="E50" s="170"/>
      <c r="F50" s="171">
        <f>D50/E36</f>
        <v>4.6153846153846149E-2</v>
      </c>
      <c r="K50" s="32"/>
      <c r="L50" s="2"/>
      <c r="M50" s="454"/>
      <c r="N50" s="446"/>
      <c r="O50" s="446"/>
      <c r="P50" s="450"/>
      <c r="Q50" s="32"/>
      <c r="R50" s="305"/>
      <c r="S50" s="32"/>
      <c r="V50" s="304"/>
    </row>
    <row r="51" spans="3:22" x14ac:dyDescent="0.25">
      <c r="C51" s="170"/>
      <c r="D51" s="170"/>
      <c r="E51" s="169">
        <v>3</v>
      </c>
      <c r="F51" s="171">
        <f>E51/F36</f>
        <v>7.4999999999999997E-2</v>
      </c>
      <c r="J51" s="328"/>
      <c r="K51" s="305"/>
      <c r="L51" s="32"/>
      <c r="M51" s="32"/>
      <c r="N51" s="32"/>
      <c r="O51" s="455"/>
      <c r="P51" s="32"/>
      <c r="Q51" s="32"/>
      <c r="R51" s="32"/>
      <c r="S51" s="32"/>
      <c r="V51" s="304"/>
    </row>
    <row r="52" spans="3:22" x14ac:dyDescent="0.25">
      <c r="J52" s="342"/>
      <c r="K52" s="305"/>
      <c r="L52" s="32"/>
      <c r="M52" s="456"/>
      <c r="N52" s="32"/>
      <c r="O52" s="32"/>
      <c r="P52" s="32"/>
      <c r="Q52" s="32"/>
      <c r="R52" s="32"/>
      <c r="S52" s="32"/>
    </row>
    <row r="53" spans="3:22" x14ac:dyDescent="0.25">
      <c r="C53" s="304"/>
      <c r="J53" s="343"/>
      <c r="K53" s="457"/>
      <c r="L53" s="305"/>
      <c r="M53" s="305"/>
      <c r="N53" s="32"/>
      <c r="O53" s="32"/>
      <c r="P53" s="32"/>
      <c r="Q53" s="32"/>
      <c r="R53" s="32"/>
      <c r="S53" s="32"/>
    </row>
    <row r="54" spans="3:22" x14ac:dyDescent="0.25">
      <c r="H54" s="63"/>
      <c r="J54" s="304"/>
      <c r="K54" s="458"/>
      <c r="L54" s="305"/>
      <c r="M54" s="305"/>
      <c r="N54" s="32"/>
      <c r="O54" s="32"/>
      <c r="P54" s="449"/>
      <c r="Q54" s="32"/>
      <c r="R54" s="32"/>
      <c r="S54" s="32"/>
    </row>
    <row r="55" spans="3:22" x14ac:dyDescent="0.25">
      <c r="C55" s="304"/>
      <c r="F55" s="270"/>
      <c r="J55" s="304"/>
      <c r="K55" s="458"/>
      <c r="L55" s="32"/>
      <c r="M55" s="457"/>
      <c r="N55" s="32"/>
      <c r="O55" s="459"/>
      <c r="P55" s="32"/>
      <c r="Q55" s="305"/>
      <c r="R55" s="32"/>
      <c r="S55" s="32"/>
    </row>
    <row r="56" spans="3:22" x14ac:dyDescent="0.25">
      <c r="C56" s="304"/>
      <c r="F56" s="270"/>
      <c r="J56" s="304"/>
      <c r="K56" s="458"/>
      <c r="L56" s="32"/>
      <c r="M56" s="457"/>
      <c r="N56" s="32"/>
      <c r="O56" s="32"/>
      <c r="P56" s="449"/>
      <c r="Q56" s="32"/>
      <c r="R56" s="32"/>
      <c r="S56" s="32"/>
    </row>
    <row r="57" spans="3:22" x14ac:dyDescent="0.25">
      <c r="C57" s="305"/>
      <c r="D57" s="32"/>
      <c r="E57" s="32"/>
      <c r="F57" s="270"/>
      <c r="G57" s="32"/>
      <c r="J57" s="304"/>
      <c r="K57" s="458"/>
      <c r="L57" s="32"/>
      <c r="M57" s="457"/>
      <c r="N57" s="305"/>
      <c r="O57" s="448"/>
      <c r="P57" s="32"/>
      <c r="Q57" s="460"/>
      <c r="R57" s="32"/>
      <c r="S57" s="32"/>
    </row>
    <row r="58" spans="3:22" x14ac:dyDescent="0.25">
      <c r="C58" s="305"/>
      <c r="D58" s="32"/>
      <c r="E58" s="32"/>
      <c r="F58" s="270"/>
      <c r="G58" s="32"/>
      <c r="J58" s="304"/>
      <c r="K58" s="458"/>
      <c r="L58" s="32"/>
      <c r="M58" s="457"/>
      <c r="N58" s="32"/>
      <c r="O58" s="32"/>
      <c r="P58" s="449"/>
      <c r="Q58" s="32"/>
      <c r="R58" s="32"/>
      <c r="S58" s="32"/>
    </row>
    <row r="59" spans="3:22" x14ac:dyDescent="0.25">
      <c r="C59" s="305"/>
      <c r="D59" s="32"/>
      <c r="E59" s="32"/>
      <c r="F59" s="270"/>
      <c r="G59" s="32"/>
      <c r="J59" s="31"/>
      <c r="K59" s="461"/>
      <c r="L59" s="32"/>
      <c r="M59" s="458"/>
      <c r="N59" s="32"/>
      <c r="O59" s="458"/>
      <c r="P59" s="32"/>
      <c r="Q59" s="460"/>
      <c r="R59" s="32"/>
      <c r="S59" s="32"/>
    </row>
    <row r="60" spans="3:22" x14ac:dyDescent="0.25">
      <c r="C60" s="305"/>
      <c r="D60" s="32"/>
      <c r="E60" s="32"/>
      <c r="F60" s="333"/>
      <c r="G60" s="32"/>
      <c r="K60" s="32"/>
      <c r="L60" s="32"/>
      <c r="M60" s="462"/>
      <c r="N60" s="32"/>
      <c r="O60" s="448"/>
      <c r="P60" s="32"/>
      <c r="Q60" s="32"/>
      <c r="R60" s="32"/>
      <c r="S60" s="32"/>
    </row>
    <row r="61" spans="3:22" x14ac:dyDescent="0.25">
      <c r="C61" s="305"/>
      <c r="D61" s="32"/>
      <c r="E61" s="32"/>
      <c r="F61" s="333"/>
      <c r="G61" s="32"/>
      <c r="K61" s="32"/>
      <c r="L61" s="463"/>
      <c r="M61" s="461"/>
      <c r="N61" s="32"/>
      <c r="O61" s="32"/>
      <c r="P61" s="32"/>
      <c r="Q61" s="32"/>
      <c r="R61" s="32"/>
      <c r="S61" s="32"/>
      <c r="U61" s="63"/>
    </row>
    <row r="62" spans="3:22" x14ac:dyDescent="0.25">
      <c r="C62" s="305"/>
      <c r="D62" s="32"/>
      <c r="E62" s="305"/>
      <c r="F62" s="333"/>
      <c r="G62" s="32"/>
      <c r="Q62" s="222"/>
    </row>
    <row r="63" spans="3:22" x14ac:dyDescent="0.25">
      <c r="C63" s="305"/>
      <c r="D63" s="32"/>
      <c r="E63" s="305"/>
      <c r="F63" s="333"/>
      <c r="G63" s="32"/>
      <c r="K63" s="336"/>
      <c r="O63" s="222"/>
    </row>
    <row r="64" spans="3:22" x14ac:dyDescent="0.25">
      <c r="C64" s="305"/>
      <c r="D64" s="32"/>
      <c r="E64" s="32"/>
      <c r="F64" s="333"/>
      <c r="G64" s="32"/>
      <c r="J64" s="328"/>
    </row>
    <row r="65" spans="3:15" x14ac:dyDescent="0.25">
      <c r="C65" s="32"/>
      <c r="D65" s="32"/>
      <c r="E65" s="32"/>
      <c r="F65" s="32"/>
      <c r="G65" s="32"/>
    </row>
    <row r="66" spans="3:15" x14ac:dyDescent="0.25">
      <c r="C66" s="32"/>
      <c r="D66" s="32"/>
      <c r="E66" s="32"/>
      <c r="F66" s="32"/>
      <c r="G66" s="32"/>
    </row>
    <row r="67" spans="3:15" x14ac:dyDescent="0.25">
      <c r="C67" s="305"/>
      <c r="D67" s="334"/>
      <c r="E67" s="32"/>
      <c r="F67" s="333"/>
      <c r="G67" s="32"/>
      <c r="O67" s="336"/>
    </row>
    <row r="68" spans="3:15" x14ac:dyDescent="0.25">
      <c r="C68" s="32"/>
      <c r="D68" s="32"/>
      <c r="E68" s="32"/>
      <c r="F68" s="32"/>
      <c r="G68" s="32"/>
      <c r="K68" s="328"/>
      <c r="L68" s="63"/>
      <c r="O68" s="328"/>
    </row>
    <row r="69" spans="3:15" x14ac:dyDescent="0.25">
      <c r="C69" s="32"/>
      <c r="D69" s="32"/>
      <c r="E69" s="32"/>
      <c r="F69" s="32"/>
      <c r="G69" s="32"/>
      <c r="I69" s="328"/>
      <c r="M69" s="51"/>
    </row>
    <row r="70" spans="3:15" x14ac:dyDescent="0.25">
      <c r="C70" s="32"/>
      <c r="D70" s="32"/>
      <c r="E70" s="32"/>
      <c r="F70" s="32"/>
      <c r="G70" s="32"/>
    </row>
    <row r="77" spans="3:15" x14ac:dyDescent="0.25">
      <c r="L77" s="63"/>
    </row>
  </sheetData>
  <mergeCells count="1">
    <mergeCell ref="C47:E47"/>
  </mergeCells>
  <phoneticPr fontId="8" type="noConversion"/>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(2017)</vt:lpstr>
      <vt:lpstr>Category Detail (2017)</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2016-09-08T20:29:33Z</dcterms:modified>
</cp:coreProperties>
</file>