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JL\RTF\Research\Momentum Savings\"/>
    </mc:Choice>
  </mc:AlternateContent>
  <bookViews>
    <workbookView xWindow="0" yWindow="0" windowWidth="28800" windowHeight="1248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5" i="1"/>
  <c r="B42" i="1"/>
  <c r="B41" i="1"/>
  <c r="B39" i="1"/>
  <c r="B38" i="1"/>
  <c r="C47" i="1" l="1"/>
  <c r="B46" i="1"/>
  <c r="B44" i="1"/>
  <c r="C42" i="1"/>
  <c r="B27" i="1"/>
  <c r="B26" i="1"/>
  <c r="C41" i="1"/>
  <c r="B36" i="1"/>
  <c r="B40" i="1"/>
  <c r="C36" i="1" l="1"/>
  <c r="C43" i="1"/>
  <c r="B43" i="1"/>
  <c r="C17" i="1"/>
  <c r="C9" i="1"/>
  <c r="F16" i="1"/>
  <c r="F15" i="1"/>
  <c r="F14" i="1"/>
  <c r="F6" i="1"/>
  <c r="F7" i="1"/>
  <c r="F8" i="1"/>
  <c r="F3" i="1"/>
  <c r="B30" i="1" l="1"/>
  <c r="B32" i="1"/>
  <c r="B29" i="1"/>
  <c r="B23" i="1"/>
  <c r="F17" i="1"/>
  <c r="F9" i="1"/>
  <c r="F11" i="1"/>
  <c r="B25" i="1" s="1"/>
  <c r="B31" i="1" l="1"/>
  <c r="B28" i="1" s="1"/>
  <c r="C27" i="1"/>
  <c r="B24" i="1"/>
  <c r="C28" i="1"/>
  <c r="C32" i="1"/>
  <c r="C26" i="1"/>
  <c r="B22" i="1"/>
  <c r="C22" i="1" s="1"/>
</calcChain>
</file>

<file path=xl/sharedStrings.xml><?xml version="1.0" encoding="utf-8"?>
<sst xmlns="http://schemas.openxmlformats.org/spreadsheetml/2006/main" count="76" uniqueCount="52">
  <si>
    <t>Method Review</t>
  </si>
  <si>
    <t>Model Review</t>
  </si>
  <si>
    <t>Standards</t>
  </si>
  <si>
    <t>Judgment</t>
  </si>
  <si>
    <t>Cross-Cutting</t>
  </si>
  <si>
    <t>Total</t>
  </si>
  <si>
    <t>Cross Cutting</t>
  </si>
  <si>
    <t>Standards Review</t>
  </si>
  <si>
    <t>Potential Future Model Development</t>
  </si>
  <si>
    <t>Notes</t>
  </si>
  <si>
    <t>Review of framework documents, including XYZ</t>
  </si>
  <si>
    <t>Existing Market Model Review</t>
  </si>
  <si>
    <t>Assumes approximately 1/2 to 2/3 the lift per standard compared to technology/market model review</t>
  </si>
  <si>
    <t>Resource Lift by Person</t>
  </si>
  <si>
    <t>Primary Contract Analyst</t>
  </si>
  <si>
    <t>RTF Manager</t>
  </si>
  <si>
    <t>Assumes familiarity of work (i.e. low-end of estiamte), working on all models, plus 1 hour for meeting prep</t>
  </si>
  <si>
    <t>No. of Meetings</t>
  </si>
  <si>
    <t>(per model estimate)</t>
  </si>
  <si>
    <t>Assumes bigger lift for digging into complex model</t>
  </si>
  <si>
    <t>Assumes similar lift as other models</t>
  </si>
  <si>
    <t>Assumes limited review required by those following along</t>
  </si>
  <si>
    <t>Assumes 90 minute minutes every two weeks for a 3 month period plus minimal review time</t>
  </si>
  <si>
    <t>Assumes two meetings, plus review time. Assumes more material model. Estimate may be higher for more complex model.</t>
  </si>
  <si>
    <t>Assumes review of all models</t>
  </si>
  <si>
    <t>Assumes detailed review on a subset of models plus 8 hrs of lift for other models (for review and participation in "Judgement" call</t>
  </si>
  <si>
    <t>Subcommittee Participate (full review)</t>
  </si>
  <si>
    <t>Subcommittee Participant (partial review)</t>
  </si>
  <si>
    <t>No. of Units</t>
  </si>
  <si>
    <t>Total (hrs)</t>
  </si>
  <si>
    <t>Meeting Duration (hrs)</t>
  </si>
  <si>
    <t>Prep/Review per Meeting (hrs)</t>
  </si>
  <si>
    <t>Existing Models</t>
  </si>
  <si>
    <t>Annual</t>
  </si>
  <si>
    <t>Percent of Annual Hours</t>
  </si>
  <si>
    <t>Internal Team Review</t>
  </si>
  <si>
    <t>Additional RTF Staff Lift</t>
  </si>
  <si>
    <t>Assumes all secondary contract analyst review cross cutting materials</t>
  </si>
  <si>
    <t>Assume 1/2 hour for internal discussion per meeting (per secondary contract analyst)</t>
  </si>
  <si>
    <t>Assumes monitoring of work, participating in meetings, plus cross cutting review</t>
  </si>
  <si>
    <t>Assumes review of 1 model by secondary contract analyst</t>
  </si>
  <si>
    <t>PER UNIT</t>
  </si>
  <si>
    <t>2016 Hours Estimate</t>
  </si>
  <si>
    <t>New Models</t>
  </si>
  <si>
    <t>Similar assumptions as for 2016, with the addition of 2 new models and no cross cutting review</t>
  </si>
  <si>
    <t>Assumes review of all models, no cross cutting review, plus new models</t>
  </si>
  <si>
    <t>Assumes detailed review on a subset of models plus 8 hrs of lift for other models (for review and participation in "Judgement" call), plus 1 new model</t>
  </si>
  <si>
    <t>Assumes some refresher of cross cutting</t>
  </si>
  <si>
    <t>Assume 1/2 hour for internal discussion per meeting (per secondary contract analyst), counts additional meetings for new models</t>
  </si>
  <si>
    <t>Assumes review of 2 models (one new, one existing) by secondary contract analyst</t>
  </si>
  <si>
    <t xml:space="preserve"> </t>
  </si>
  <si>
    <t>2017 Hours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</si>
</sst>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2" tint="-0.499984740745262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4" borderId="0" xfId="0" applyFill="1"/>
    <xf numFmtId="0" fontId="0" fillId="2" borderId="0" xfId="0" applyFont="1" applyFill="1"/>
    <xf numFmtId="0" fontId="0" fillId="2" borderId="0" xfId="0" applyFill="1"/>
    <xf numFmtId="9" fontId="0" fillId="2" borderId="0" xfId="1" applyFont="1" applyFill="1" applyAlignment="1">
      <alignment horizontal="center"/>
    </xf>
    <xf numFmtId="1" fontId="0" fillId="2" borderId="0" xfId="0" applyNumberFormat="1" applyFill="1"/>
    <xf numFmtId="0" fontId="4" fillId="2" borderId="0" xfId="0" applyFont="1" applyFill="1" applyAlignment="1">
      <alignment horizontal="left" indent="1"/>
    </xf>
    <xf numFmtId="1" fontId="4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2" xfId="0" applyFill="1" applyBorder="1"/>
    <xf numFmtId="0" fontId="2" fillId="5" borderId="3" xfId="0" applyFont="1" applyFill="1" applyBorder="1"/>
    <xf numFmtId="0" fontId="2" fillId="3" borderId="3" xfId="0" applyFont="1" applyFill="1" applyBorder="1" applyAlignment="1">
      <alignment horizontal="center" wrapText="1"/>
    </xf>
    <xf numFmtId="0" fontId="2" fillId="6" borderId="4" xfId="0" applyFont="1" applyFill="1" applyBorder="1"/>
    <xf numFmtId="0" fontId="2" fillId="4" borderId="5" xfId="0" applyFont="1" applyFill="1" applyBorder="1"/>
    <xf numFmtId="0" fontId="0" fillId="5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6" borderId="6" xfId="0" applyFill="1" applyBorder="1"/>
    <xf numFmtId="0" fontId="0" fillId="4" borderId="5" xfId="0" applyFill="1" applyBorder="1"/>
    <xf numFmtId="0" fontId="0" fillId="4" borderId="5" xfId="0" quotePrefix="1" applyFill="1" applyBorder="1"/>
    <xf numFmtId="0" fontId="0" fillId="5" borderId="0" xfId="0" quotePrefix="1" applyFont="1" applyFill="1" applyBorder="1" applyAlignment="1">
      <alignment horizontal="right"/>
    </xf>
    <xf numFmtId="0" fontId="3" fillId="4" borderId="5" xfId="0" quotePrefix="1" applyFont="1" applyFill="1" applyBorder="1"/>
    <xf numFmtId="0" fontId="3" fillId="5" borderId="0" xfId="0" quotePrefix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4" borderId="5" xfId="0" quotePrefix="1" applyFont="1" applyFill="1" applyBorder="1"/>
    <xf numFmtId="0" fontId="3" fillId="4" borderId="7" xfId="0" quotePrefix="1" applyFont="1" applyFill="1" applyBorder="1"/>
    <xf numFmtId="0" fontId="3" fillId="5" borderId="1" xfId="0" quotePrefix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6" borderId="8" xfId="0" applyFill="1" applyBorder="1"/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90" zoomScaleNormal="90" workbookViewId="0">
      <selection activeCell="L13" sqref="L13"/>
    </sheetView>
  </sheetViews>
  <sheetFormatPr defaultRowHeight="12.75" x14ac:dyDescent="0.2"/>
  <cols>
    <col min="1" max="1" width="37" style="1" customWidth="1"/>
    <col min="2" max="2" width="11.7109375" style="1" customWidth="1"/>
    <col min="3" max="5" width="12.7109375" style="14" customWidth="1"/>
    <col min="6" max="6" width="12.5703125" style="1" customWidth="1"/>
    <col min="7" max="7" width="112" style="1" bestFit="1" customWidth="1"/>
    <col min="8" max="16384" width="9.140625" style="1"/>
  </cols>
  <sheetData>
    <row r="1" spans="1:7" x14ac:dyDescent="0.2">
      <c r="C1" s="37" t="s">
        <v>41</v>
      </c>
      <c r="D1" s="37"/>
      <c r="E1" s="37"/>
      <c r="F1" s="37"/>
    </row>
    <row r="2" spans="1:7" ht="38.25" x14ac:dyDescent="0.2">
      <c r="A2" s="16"/>
      <c r="B2" s="17" t="s">
        <v>28</v>
      </c>
      <c r="C2" s="18" t="s">
        <v>17</v>
      </c>
      <c r="D2" s="18" t="s">
        <v>30</v>
      </c>
      <c r="E2" s="18" t="s">
        <v>31</v>
      </c>
      <c r="F2" s="18" t="s">
        <v>29</v>
      </c>
      <c r="G2" s="19" t="s">
        <v>9</v>
      </c>
    </row>
    <row r="3" spans="1:7" x14ac:dyDescent="0.2">
      <c r="A3" s="20" t="s">
        <v>4</v>
      </c>
      <c r="B3" s="21">
        <v>1</v>
      </c>
      <c r="C3" s="22">
        <v>1</v>
      </c>
      <c r="D3" s="22">
        <v>2</v>
      </c>
      <c r="E3" s="22">
        <v>2</v>
      </c>
      <c r="F3" s="22">
        <f>(C3*D3)+(E3*C3)</f>
        <v>4</v>
      </c>
      <c r="G3" s="23" t="s">
        <v>10</v>
      </c>
    </row>
    <row r="4" spans="1:7" x14ac:dyDescent="0.2">
      <c r="A4" s="24"/>
      <c r="B4" s="21"/>
      <c r="C4" s="22"/>
      <c r="D4" s="22"/>
      <c r="E4" s="22"/>
      <c r="F4" s="22"/>
      <c r="G4" s="23"/>
    </row>
    <row r="5" spans="1:7" x14ac:dyDescent="0.2">
      <c r="A5" s="20" t="s">
        <v>11</v>
      </c>
      <c r="B5" s="21">
        <v>4</v>
      </c>
      <c r="C5" s="38"/>
      <c r="D5" s="38"/>
      <c r="E5" s="38"/>
      <c r="F5" s="22"/>
      <c r="G5" s="23"/>
    </row>
    <row r="6" spans="1:7" x14ac:dyDescent="0.2">
      <c r="A6" s="24" t="s">
        <v>0</v>
      </c>
      <c r="B6" s="21"/>
      <c r="C6" s="22">
        <v>2</v>
      </c>
      <c r="D6" s="22">
        <v>1</v>
      </c>
      <c r="E6" s="22">
        <v>2</v>
      </c>
      <c r="F6" s="22">
        <f>(C6*D6)+(E6*C6)</f>
        <v>6</v>
      </c>
      <c r="G6" s="23" t="s">
        <v>23</v>
      </c>
    </row>
    <row r="7" spans="1:7" x14ac:dyDescent="0.2">
      <c r="A7" s="25" t="s">
        <v>1</v>
      </c>
      <c r="B7" s="26"/>
      <c r="C7" s="22">
        <v>6</v>
      </c>
      <c r="D7" s="22">
        <v>1.5</v>
      </c>
      <c r="E7" s="22">
        <v>1</v>
      </c>
      <c r="F7" s="22">
        <f>(C7*D7)+(E7*C7)</f>
        <v>15</v>
      </c>
      <c r="G7" s="23" t="s">
        <v>22</v>
      </c>
    </row>
    <row r="8" spans="1:7" x14ac:dyDescent="0.2">
      <c r="A8" s="25" t="s">
        <v>3</v>
      </c>
      <c r="B8" s="26"/>
      <c r="C8" s="22">
        <v>1</v>
      </c>
      <c r="D8" s="22">
        <v>2</v>
      </c>
      <c r="E8" s="22">
        <v>1</v>
      </c>
      <c r="F8" s="22">
        <f>(C8*D8)+(E8*C8)</f>
        <v>3</v>
      </c>
      <c r="G8" s="23" t="s">
        <v>21</v>
      </c>
    </row>
    <row r="9" spans="1:7" x14ac:dyDescent="0.2">
      <c r="A9" s="27" t="s">
        <v>5</v>
      </c>
      <c r="B9" s="28"/>
      <c r="C9" s="29">
        <f>SUM(C6:C8)</f>
        <v>9</v>
      </c>
      <c r="D9" s="29"/>
      <c r="E9" s="29"/>
      <c r="F9" s="29">
        <f>SUM(F6:F8)</f>
        <v>24</v>
      </c>
      <c r="G9" s="23"/>
    </row>
    <row r="10" spans="1:7" x14ac:dyDescent="0.2">
      <c r="A10" s="25"/>
      <c r="B10" s="26"/>
      <c r="C10" s="22"/>
      <c r="D10" s="22"/>
      <c r="E10" s="22"/>
      <c r="F10" s="22"/>
      <c r="G10" s="23"/>
    </row>
    <row r="11" spans="1:7" x14ac:dyDescent="0.2">
      <c r="A11" s="30" t="s">
        <v>7</v>
      </c>
      <c r="B11" s="26">
        <v>6</v>
      </c>
      <c r="C11" s="38"/>
      <c r="D11" s="38"/>
      <c r="E11" s="38"/>
      <c r="F11" s="22">
        <f>2/3*(SUM(F6:F8))</f>
        <v>16</v>
      </c>
      <c r="G11" s="23" t="s">
        <v>12</v>
      </c>
    </row>
    <row r="12" spans="1:7" x14ac:dyDescent="0.2">
      <c r="A12" s="25"/>
      <c r="B12" s="26"/>
      <c r="C12" s="22"/>
      <c r="D12" s="22"/>
      <c r="E12" s="22"/>
      <c r="F12" s="22"/>
      <c r="G12" s="23"/>
    </row>
    <row r="13" spans="1:7" x14ac:dyDescent="0.2">
      <c r="A13" s="20" t="s">
        <v>8</v>
      </c>
      <c r="B13" s="21">
        <v>2</v>
      </c>
      <c r="C13" s="38" t="s">
        <v>18</v>
      </c>
      <c r="D13" s="38"/>
      <c r="E13" s="38"/>
      <c r="F13" s="22"/>
      <c r="G13" s="23"/>
    </row>
    <row r="14" spans="1:7" x14ac:dyDescent="0.2">
      <c r="A14" s="24" t="s">
        <v>0</v>
      </c>
      <c r="B14" s="21"/>
      <c r="C14" s="22">
        <v>3</v>
      </c>
      <c r="D14" s="22">
        <v>2</v>
      </c>
      <c r="E14" s="22">
        <v>2</v>
      </c>
      <c r="F14" s="22">
        <f t="shared" ref="F14:F16" si="0">(C14*D14)+(E14*C14)</f>
        <v>12</v>
      </c>
      <c r="G14" s="23" t="s">
        <v>19</v>
      </c>
    </row>
    <row r="15" spans="1:7" x14ac:dyDescent="0.2">
      <c r="A15" s="25" t="s">
        <v>1</v>
      </c>
      <c r="B15" s="26"/>
      <c r="C15" s="22">
        <v>6</v>
      </c>
      <c r="D15" s="22">
        <v>1.5</v>
      </c>
      <c r="E15" s="22">
        <v>2</v>
      </c>
      <c r="F15" s="22">
        <f t="shared" si="0"/>
        <v>21</v>
      </c>
      <c r="G15" s="23" t="s">
        <v>19</v>
      </c>
    </row>
    <row r="16" spans="1:7" x14ac:dyDescent="0.2">
      <c r="A16" s="25" t="s">
        <v>3</v>
      </c>
      <c r="B16" s="26"/>
      <c r="C16" s="22">
        <v>1</v>
      </c>
      <c r="D16" s="22">
        <v>2</v>
      </c>
      <c r="E16" s="22">
        <v>1</v>
      </c>
      <c r="F16" s="22">
        <f t="shared" si="0"/>
        <v>3</v>
      </c>
      <c r="G16" s="23" t="s">
        <v>20</v>
      </c>
    </row>
    <row r="17" spans="1:7" x14ac:dyDescent="0.2">
      <c r="A17" s="31" t="s">
        <v>5</v>
      </c>
      <c r="B17" s="32"/>
      <c r="C17" s="33">
        <f>SUM(C14:C16)</f>
        <v>10</v>
      </c>
      <c r="D17" s="33"/>
      <c r="E17" s="33"/>
      <c r="F17" s="33">
        <f>SUM(F14:F16)</f>
        <v>36</v>
      </c>
      <c r="G17" s="34"/>
    </row>
    <row r="20" spans="1:7" ht="15" x14ac:dyDescent="0.25">
      <c r="A20" s="9" t="s">
        <v>42</v>
      </c>
      <c r="B20" s="3"/>
      <c r="C20" s="10"/>
    </row>
    <row r="21" spans="1:7" ht="38.25" x14ac:dyDescent="0.2">
      <c r="A21" s="11" t="s">
        <v>13</v>
      </c>
      <c r="B21" s="12" t="s">
        <v>33</v>
      </c>
      <c r="C21" s="13" t="s">
        <v>34</v>
      </c>
      <c r="D21" s="36" t="s">
        <v>9</v>
      </c>
      <c r="E21" s="36"/>
      <c r="F21" s="36"/>
      <c r="G21" s="36"/>
    </row>
    <row r="22" spans="1:7" x14ac:dyDescent="0.2">
      <c r="A22" s="2" t="s">
        <v>14</v>
      </c>
      <c r="B22" s="3">
        <f>SUM(B23:B25)</f>
        <v>238</v>
      </c>
      <c r="C22" s="4">
        <f>B22/2080</f>
        <v>0.11442307692307692</v>
      </c>
      <c r="D22" s="35" t="s">
        <v>16</v>
      </c>
      <c r="E22" s="35"/>
      <c r="F22" s="35"/>
      <c r="G22" s="35"/>
    </row>
    <row r="23" spans="1:7" x14ac:dyDescent="0.2">
      <c r="A23" s="6" t="s">
        <v>6</v>
      </c>
      <c r="B23" s="8">
        <f>$F$3</f>
        <v>4</v>
      </c>
      <c r="C23" s="4"/>
      <c r="D23" s="35" t="s">
        <v>50</v>
      </c>
      <c r="E23" s="35"/>
      <c r="F23" s="35"/>
      <c r="G23" s="35"/>
    </row>
    <row r="24" spans="1:7" x14ac:dyDescent="0.2">
      <c r="A24" s="6" t="s">
        <v>32</v>
      </c>
      <c r="B24" s="8">
        <f>$B$5*((1*$C$9)+$F$9)</f>
        <v>132</v>
      </c>
      <c r="C24" s="4"/>
      <c r="D24" s="35"/>
      <c r="E24" s="35"/>
      <c r="F24" s="35"/>
      <c r="G24" s="35"/>
    </row>
    <row r="25" spans="1:7" x14ac:dyDescent="0.2">
      <c r="A25" s="6" t="s">
        <v>2</v>
      </c>
      <c r="B25" s="8">
        <f>$B$11*$F$11+(2/3*$C$9)</f>
        <v>102</v>
      </c>
      <c r="C25" s="4"/>
      <c r="D25" s="35"/>
      <c r="E25" s="35"/>
      <c r="F25" s="35"/>
      <c r="G25" s="35"/>
    </row>
    <row r="26" spans="1:7" x14ac:dyDescent="0.2">
      <c r="A26" s="3" t="s">
        <v>26</v>
      </c>
      <c r="B26" s="3">
        <f>($B$5*$F$9)+($B$11*$F$11)+F3</f>
        <v>196</v>
      </c>
      <c r="C26" s="4">
        <f t="shared" ref="C26:C32" si="1">B26/2080</f>
        <v>9.4230769230769229E-2</v>
      </c>
      <c r="D26" s="35" t="s">
        <v>24</v>
      </c>
      <c r="E26" s="35"/>
      <c r="F26" s="35"/>
      <c r="G26" s="35"/>
    </row>
    <row r="27" spans="1:7" x14ac:dyDescent="0.2">
      <c r="A27" s="3" t="s">
        <v>27</v>
      </c>
      <c r="B27" s="5">
        <f>(($B$5/2*$F$9)+(5*$B$5/2))+(($B$11/2*$F$11)+(5*$B$11/2))+$F$3</f>
        <v>125</v>
      </c>
      <c r="C27" s="4">
        <f t="shared" si="1"/>
        <v>6.0096153846153848E-2</v>
      </c>
      <c r="D27" s="35" t="s">
        <v>25</v>
      </c>
      <c r="E27" s="35"/>
      <c r="F27" s="35"/>
      <c r="G27" s="35"/>
    </row>
    <row r="28" spans="1:7" x14ac:dyDescent="0.2">
      <c r="A28" s="3" t="s">
        <v>36</v>
      </c>
      <c r="B28" s="5">
        <f>SUM(B29:B32)</f>
        <v>296</v>
      </c>
      <c r="C28" s="4">
        <f>(B32/2080)+(B31/2080)+(B30/(2080*4))+(B29/(2080*4))</f>
        <v>8.461538461538462E-2</v>
      </c>
      <c r="D28" s="35"/>
      <c r="E28" s="35"/>
      <c r="F28" s="35"/>
      <c r="G28" s="35"/>
    </row>
    <row r="29" spans="1:7" x14ac:dyDescent="0.2">
      <c r="A29" s="6" t="s">
        <v>6</v>
      </c>
      <c r="B29" s="7">
        <f>4*$F$3</f>
        <v>16</v>
      </c>
      <c r="C29" s="4"/>
      <c r="D29" s="15" t="s">
        <v>37</v>
      </c>
      <c r="E29" s="15"/>
      <c r="F29" s="15"/>
      <c r="G29" s="15"/>
    </row>
    <row r="30" spans="1:7" x14ac:dyDescent="0.2">
      <c r="A30" s="6" t="s">
        <v>35</v>
      </c>
      <c r="B30" s="7">
        <f>4*(($B$5*$C$9*0.5)+($B$11*$C$9*2/3*0.5))</f>
        <v>144</v>
      </c>
      <c r="C30" s="4"/>
      <c r="D30" s="35" t="s">
        <v>38</v>
      </c>
      <c r="E30" s="35"/>
      <c r="F30" s="35"/>
      <c r="G30" s="35"/>
    </row>
    <row r="31" spans="1:7" x14ac:dyDescent="0.2">
      <c r="A31" s="6" t="s">
        <v>1</v>
      </c>
      <c r="B31" s="7">
        <f>$F$9</f>
        <v>24</v>
      </c>
      <c r="C31" s="4"/>
      <c r="D31" s="35" t="s">
        <v>40</v>
      </c>
      <c r="E31" s="35"/>
      <c r="F31" s="35"/>
      <c r="G31" s="35"/>
    </row>
    <row r="32" spans="1:7" x14ac:dyDescent="0.2">
      <c r="A32" s="6" t="s">
        <v>15</v>
      </c>
      <c r="B32" s="8">
        <f>(1.5*$C$9*$B$5)+($B$11*1.5*$C$9*2/3)+$F$3</f>
        <v>112</v>
      </c>
      <c r="C32" s="4">
        <f t="shared" si="1"/>
        <v>5.3846153846153849E-2</v>
      </c>
      <c r="D32" s="35" t="s">
        <v>39</v>
      </c>
      <c r="E32" s="35"/>
      <c r="F32" s="35"/>
      <c r="G32" s="35"/>
    </row>
    <row r="34" spans="1:7" ht="15" x14ac:dyDescent="0.25">
      <c r="A34" s="9" t="s">
        <v>51</v>
      </c>
      <c r="B34" s="3"/>
      <c r="C34" s="10"/>
    </row>
    <row r="35" spans="1:7" ht="38.25" x14ac:dyDescent="0.2">
      <c r="A35" s="11" t="s">
        <v>13</v>
      </c>
      <c r="B35" s="12" t="s">
        <v>33</v>
      </c>
      <c r="C35" s="13" t="s">
        <v>34</v>
      </c>
      <c r="D35" s="36" t="s">
        <v>9</v>
      </c>
      <c r="E35" s="36"/>
      <c r="F35" s="36"/>
      <c r="G35" s="36"/>
    </row>
    <row r="36" spans="1:7" x14ac:dyDescent="0.2">
      <c r="A36" s="2" t="s">
        <v>14</v>
      </c>
      <c r="B36" s="3">
        <f>SUM(B37:B40)</f>
        <v>293</v>
      </c>
      <c r="C36" s="4">
        <f>B36/2080</f>
        <v>0.14086538461538461</v>
      </c>
      <c r="D36" s="35" t="s">
        <v>44</v>
      </c>
      <c r="E36" s="35"/>
      <c r="F36" s="35"/>
      <c r="G36" s="35"/>
    </row>
    <row r="37" spans="1:7" x14ac:dyDescent="0.2">
      <c r="A37" s="6" t="s">
        <v>6</v>
      </c>
      <c r="B37" s="8">
        <v>0</v>
      </c>
      <c r="C37" s="4"/>
      <c r="D37" s="35"/>
      <c r="E37" s="35"/>
      <c r="F37" s="35"/>
      <c r="G37" s="35"/>
    </row>
    <row r="38" spans="1:7" x14ac:dyDescent="0.2">
      <c r="A38" s="6" t="s">
        <v>32</v>
      </c>
      <c r="B38" s="8">
        <f>($B$5-1)*((1*$C$9)+$F$9)</f>
        <v>99</v>
      </c>
      <c r="C38" s="4"/>
      <c r="D38" s="35"/>
      <c r="E38" s="35"/>
      <c r="F38" s="35"/>
      <c r="G38" s="35"/>
    </row>
    <row r="39" spans="1:7" x14ac:dyDescent="0.2">
      <c r="A39" s="6" t="s">
        <v>2</v>
      </c>
      <c r="B39" s="8">
        <f>$B$11*$F$11+(2/3*$C$9)</f>
        <v>102</v>
      </c>
      <c r="C39" s="4"/>
      <c r="D39" s="35"/>
      <c r="E39" s="35"/>
      <c r="F39" s="35"/>
      <c r="G39" s="35"/>
    </row>
    <row r="40" spans="1:7" x14ac:dyDescent="0.2">
      <c r="A40" s="6" t="s">
        <v>43</v>
      </c>
      <c r="B40" s="8">
        <f>$B$13*((1*$C$17)+$F$17)</f>
        <v>92</v>
      </c>
      <c r="C40" s="4"/>
      <c r="D40" s="35"/>
      <c r="E40" s="35"/>
      <c r="F40" s="35"/>
      <c r="G40" s="35"/>
    </row>
    <row r="41" spans="1:7" x14ac:dyDescent="0.2">
      <c r="A41" s="3" t="s">
        <v>26</v>
      </c>
      <c r="B41" s="3">
        <f>(($B$5-1)*$F$9)+($B$11*$F$11)+(B13*F17)</f>
        <v>240</v>
      </c>
      <c r="C41" s="4">
        <f t="shared" ref="C41:C42" si="2">B41/2080</f>
        <v>0.11538461538461539</v>
      </c>
      <c r="D41" s="35" t="s">
        <v>45</v>
      </c>
      <c r="E41" s="35"/>
      <c r="F41" s="35"/>
      <c r="G41" s="35"/>
    </row>
    <row r="42" spans="1:7" x14ac:dyDescent="0.2">
      <c r="A42" s="3" t="s">
        <v>27</v>
      </c>
      <c r="B42" s="5">
        <f>((($B$5-1)/2*$F$9)+(5*$B$5/2))+(($B$11/2*$F$11)+(5*$B$11/2))+$F$3+F17+8</f>
        <v>157</v>
      </c>
      <c r="C42" s="4">
        <f t="shared" si="2"/>
        <v>7.5480769230769226E-2</v>
      </c>
      <c r="D42" s="35" t="s">
        <v>46</v>
      </c>
      <c r="E42" s="35"/>
      <c r="F42" s="35"/>
      <c r="G42" s="35"/>
    </row>
    <row r="43" spans="1:7" x14ac:dyDescent="0.2">
      <c r="A43" s="3" t="s">
        <v>36</v>
      </c>
      <c r="B43" s="5">
        <f>SUM(B44:B47)</f>
        <v>328.5</v>
      </c>
      <c r="C43" s="4">
        <f>(B47/2080)+(B46/2080)+(B45/(2080*4))+(B44/(2080*4))</f>
        <v>0.10600961538461538</v>
      </c>
      <c r="D43" s="35"/>
      <c r="E43" s="35"/>
      <c r="F43" s="35"/>
      <c r="G43" s="35"/>
    </row>
    <row r="44" spans="1:7" x14ac:dyDescent="0.2">
      <c r="A44" s="6" t="s">
        <v>6</v>
      </c>
      <c r="B44" s="7">
        <f>4*F3/2</f>
        <v>8</v>
      </c>
      <c r="C44" s="4"/>
      <c r="D44" s="15" t="s">
        <v>47</v>
      </c>
      <c r="E44" s="15"/>
      <c r="F44" s="15"/>
      <c r="G44" s="15"/>
    </row>
    <row r="45" spans="1:7" x14ac:dyDescent="0.2">
      <c r="A45" s="6" t="s">
        <v>35</v>
      </c>
      <c r="B45" s="7">
        <f>4*((($B$5-1)*$C$9*0.5)+($B$11*$C$9*2/3*0.5))+(B13*C17*0.5)</f>
        <v>136</v>
      </c>
      <c r="C45" s="4"/>
      <c r="D45" s="35" t="s">
        <v>48</v>
      </c>
      <c r="E45" s="35"/>
      <c r="F45" s="35"/>
      <c r="G45" s="35"/>
    </row>
    <row r="46" spans="1:7" x14ac:dyDescent="0.2">
      <c r="A46" s="6" t="s">
        <v>1</v>
      </c>
      <c r="B46" s="7">
        <f>$F$9+F17</f>
        <v>60</v>
      </c>
      <c r="C46" s="4"/>
      <c r="D46" s="35" t="s">
        <v>49</v>
      </c>
      <c r="E46" s="35"/>
      <c r="F46" s="35"/>
      <c r="G46" s="35"/>
    </row>
    <row r="47" spans="1:7" x14ac:dyDescent="0.2">
      <c r="A47" s="6" t="s">
        <v>15</v>
      </c>
      <c r="B47" s="7">
        <f>(1.5*$C$9*($B$5-1))+($B$11*1.5*$C$9*2/3)+(B13*C17*1.5)</f>
        <v>124.5</v>
      </c>
      <c r="C47" s="4">
        <f t="shared" ref="C47" si="3">B47/2080</f>
        <v>5.9855769230769233E-2</v>
      </c>
      <c r="D47" s="35" t="s">
        <v>39</v>
      </c>
      <c r="E47" s="35"/>
      <c r="F47" s="35"/>
      <c r="G47" s="35"/>
    </row>
  </sheetData>
  <mergeCells count="27">
    <mergeCell ref="C1:F1"/>
    <mergeCell ref="D25:G25"/>
    <mergeCell ref="D26:G26"/>
    <mergeCell ref="D27:G27"/>
    <mergeCell ref="D32:G32"/>
    <mergeCell ref="D28:G28"/>
    <mergeCell ref="D30:G30"/>
    <mergeCell ref="D31:G31"/>
    <mergeCell ref="C13:E13"/>
    <mergeCell ref="C11:E11"/>
    <mergeCell ref="C5:E5"/>
    <mergeCell ref="D21:G21"/>
    <mergeCell ref="D22:G22"/>
    <mergeCell ref="D23:G23"/>
    <mergeCell ref="D24:G24"/>
    <mergeCell ref="D35:G35"/>
    <mergeCell ref="D36:G36"/>
    <mergeCell ref="D37:G37"/>
    <mergeCell ref="D38:G38"/>
    <mergeCell ref="D39:G39"/>
    <mergeCell ref="D47:G47"/>
    <mergeCell ref="D40:G40"/>
    <mergeCell ref="D41:G41"/>
    <mergeCell ref="D42:G42"/>
    <mergeCell ref="D43:G43"/>
    <mergeCell ref="D45:G45"/>
    <mergeCell ref="D46:G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Northwest Power and Conservation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Light</dc:creator>
  <cp:lastModifiedBy>Jennifer Light</cp:lastModifiedBy>
  <dcterms:created xsi:type="dcterms:W3CDTF">2016-02-10T21:35:12Z</dcterms:created>
  <dcterms:modified xsi:type="dcterms:W3CDTF">2016-02-12T00:03:13Z</dcterms:modified>
</cp:coreProperties>
</file>