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mc:AlternateContent xmlns:mc="http://schemas.openxmlformats.org/markup-compatibility/2006">
    <mc:Choice Requires="x15">
      <x15ac:absPath xmlns:x15ac="http://schemas.microsoft.com/office/spreadsheetml/2010/11/ac" url="C:\t\"/>
    </mc:Choice>
  </mc:AlternateContent>
  <bookViews>
    <workbookView xWindow="285" yWindow="45" windowWidth="13290" windowHeight="7455"/>
  </bookViews>
  <sheets>
    <sheet name="Target Calculator" sheetId="2" r:id="rId1"/>
    <sheet name="Budget Estimator" sheetId="4" r:id="rId2"/>
    <sheet name="Data Base and Calculations" sheetId="3" r:id="rId3"/>
    <sheet name="EIA Soure Data" sheetId="7" r:id="rId4"/>
    <sheet name="Change Log" sheetId="6" r:id="rId5"/>
  </sheets>
  <definedNames>
    <definedName name="_xlnm._FilterDatabase" localSheetId="2" hidden="1">'Data Base and Calculations'!$A$33:$AC$185</definedName>
    <definedName name="GDPDef">'Budget Estimator'!$F$3</definedName>
    <definedName name="PNWSales_Com">'Data Base and Calculations'!$E$195</definedName>
    <definedName name="PNWSales_Ind">'Data Base and Calculations'!$F$199</definedName>
    <definedName name="PNWSales_Ind_Agr">'Data Base and Calculations'!$F$195</definedName>
    <definedName name="PNWSales_Irrg">'Data Base and Calculations'!$F$200</definedName>
    <definedName name="PNWSales_Res">'Data Base and Calculations'!$D$195</definedName>
    <definedName name="PNWSales_Total">'Data Base and Calculations'!$G$195</definedName>
    <definedName name="Sale_TargetData">'Data Base and Calculations'!$A$34:$AC$190</definedName>
    <definedName name="Share_Com">'Data Base and Calculations'!$F$4</definedName>
    <definedName name="Share_Ind_Agr">'Data Base and Calculations'!$G$4</definedName>
    <definedName name="Share_Non_Ind">'Data Base and Calculations'!$H$5</definedName>
    <definedName name="Share_Res">'Data Base and Calculations'!$E$4</definedName>
    <definedName name="Share_Total">'Data Base and Calculations'!$H$4</definedName>
    <definedName name="solver_adj" localSheetId="0" hidden="1">'Target Calculator'!#REF!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'Target Calculator'!#REF!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191</definedName>
    <definedName name="state">'Data Base and Calculations'!$C$187:$C$191</definedName>
    <definedName name="state_names">'Data Base and Calculations'!$C$187:$C$191</definedName>
    <definedName name="utilagsales">'Target Calculator'!$I$35</definedName>
  </definedNames>
  <calcPr calcId="171027"/>
</workbook>
</file>

<file path=xl/calcChain.xml><?xml version="1.0" encoding="utf-8"?>
<calcChain xmlns="http://schemas.openxmlformats.org/spreadsheetml/2006/main">
  <c r="H204" i="3" l="1"/>
  <c r="G204" i="3"/>
  <c r="G205" i="3" s="1"/>
  <c r="F128" i="3" s="1"/>
  <c r="F204" i="3"/>
  <c r="F205" i="3" s="1"/>
  <c r="E128" i="3" s="1"/>
  <c r="E204" i="3"/>
  <c r="E205" i="3" s="1"/>
  <c r="D128" i="3" s="1"/>
  <c r="AK207" i="3"/>
  <c r="AK206" i="3"/>
  <c r="AK205" i="3"/>
  <c r="H205" i="3" l="1"/>
  <c r="G128" i="3" s="1"/>
  <c r="Z113" i="7" l="1"/>
  <c r="Z114" i="7"/>
  <c r="Z115" i="7"/>
  <c r="Z116" i="7"/>
  <c r="Z117" i="7"/>
  <c r="Z118" i="7"/>
  <c r="Z119" i="7"/>
  <c r="Z120" i="7"/>
  <c r="Z121" i="7"/>
  <c r="Z122" i="7"/>
  <c r="Z123" i="7"/>
  <c r="Z124" i="7"/>
  <c r="Z125" i="7"/>
  <c r="Z126" i="7"/>
  <c r="Z129" i="7"/>
  <c r="Z130" i="7"/>
  <c r="Z131" i="7"/>
  <c r="Z132" i="7"/>
  <c r="Z133" i="7"/>
  <c r="Z134" i="7"/>
  <c r="Z135" i="7"/>
  <c r="Z136" i="7"/>
  <c r="Z137" i="7"/>
  <c r="Z139" i="7"/>
  <c r="Z140" i="7"/>
  <c r="Z141" i="7"/>
  <c r="Z142" i="7"/>
  <c r="Z143" i="7"/>
  <c r="Z144" i="7"/>
  <c r="Z145" i="7"/>
  <c r="Z146" i="7"/>
  <c r="Z147" i="7"/>
  <c r="Z148" i="7"/>
  <c r="Z149" i="7"/>
  <c r="Z150" i="7"/>
  <c r="Z151" i="7"/>
  <c r="Z152" i="7"/>
  <c r="Z153" i="7"/>
  <c r="Z154" i="7"/>
  <c r="Z155" i="7"/>
  <c r="Z156" i="7"/>
  <c r="Z111" i="7"/>
  <c r="Z112" i="7"/>
  <c r="Z109" i="7"/>
  <c r="Z12" i="7" l="1"/>
  <c r="Z13" i="7"/>
  <c r="Z14" i="7"/>
  <c r="Z15" i="7"/>
  <c r="Z16" i="7"/>
  <c r="Z17" i="7"/>
  <c r="Z18" i="7"/>
  <c r="Z19" i="7"/>
  <c r="Z20" i="7"/>
  <c r="Z21" i="7"/>
  <c r="Z22" i="7"/>
  <c r="Z23" i="7"/>
  <c r="Z24" i="7"/>
  <c r="Z25" i="7"/>
  <c r="Z26" i="7"/>
  <c r="Z27" i="7"/>
  <c r="Z28" i="7"/>
  <c r="Z30" i="7"/>
  <c r="Z31" i="7"/>
  <c r="Z34" i="7"/>
  <c r="Z36" i="7"/>
  <c r="Z37" i="7"/>
  <c r="Z38" i="7"/>
  <c r="Z39" i="7"/>
  <c r="Z40" i="7"/>
  <c r="Z42" i="7"/>
  <c r="Z46" i="7"/>
  <c r="Z47" i="7"/>
  <c r="Z48" i="7"/>
  <c r="Z50" i="7"/>
  <c r="Z51" i="7"/>
  <c r="Z52" i="7"/>
  <c r="Z53" i="7"/>
  <c r="Z54" i="7"/>
  <c r="Z55" i="7"/>
  <c r="Z56" i="7"/>
  <c r="Z57" i="7"/>
  <c r="Z58" i="7"/>
  <c r="Z59" i="7"/>
  <c r="Z60" i="7"/>
  <c r="Z61" i="7"/>
  <c r="Z62" i="7"/>
  <c r="Z63" i="7"/>
  <c r="Z64" i="7"/>
  <c r="Z65" i="7"/>
  <c r="Z66" i="7"/>
  <c r="Z67" i="7"/>
  <c r="Z68" i="7"/>
  <c r="Z69" i="7"/>
  <c r="Z70" i="7"/>
  <c r="Z71" i="7"/>
  <c r="Z72" i="7"/>
  <c r="Z73" i="7"/>
  <c r="Z74" i="7"/>
  <c r="Z75" i="7"/>
  <c r="Z76" i="7"/>
  <c r="Z77" i="7"/>
  <c r="Z78" i="7"/>
  <c r="Z79" i="7"/>
  <c r="Z80" i="7"/>
  <c r="Z81" i="7"/>
  <c r="Z82" i="7"/>
  <c r="Z83" i="7"/>
  <c r="Z84" i="7"/>
  <c r="Z85" i="7"/>
  <c r="Z86" i="7"/>
  <c r="Z87" i="7"/>
  <c r="Z88" i="7"/>
  <c r="Z89" i="7"/>
  <c r="Z91" i="7"/>
  <c r="Z92" i="7"/>
  <c r="Z93" i="7"/>
  <c r="Z94" i="7"/>
  <c r="Z95" i="7"/>
  <c r="Z96" i="7"/>
  <c r="Z97" i="7"/>
  <c r="Z98" i="7"/>
  <c r="Z100" i="7"/>
  <c r="Z101" i="7"/>
  <c r="Z102" i="7"/>
  <c r="Z103" i="7"/>
  <c r="Z104" i="7"/>
  <c r="Z105" i="7"/>
  <c r="Z106" i="7"/>
  <c r="Z107" i="7"/>
  <c r="Z108" i="7"/>
  <c r="Z6" i="7"/>
  <c r="Z7" i="7"/>
  <c r="Z8" i="7"/>
  <c r="Z9" i="7"/>
  <c r="Z10" i="7"/>
  <c r="Z11" i="7"/>
  <c r="Z5" i="7"/>
  <c r="A138" i="7"/>
  <c r="Z138" i="7" s="1"/>
  <c r="A128" i="7"/>
  <c r="Z128" i="7" s="1"/>
  <c r="A127" i="7"/>
  <c r="Z127" i="7" s="1"/>
  <c r="A110" i="7"/>
  <c r="Z110" i="7" s="1"/>
  <c r="A99" i="7"/>
  <c r="Z99" i="7" s="1"/>
  <c r="A90" i="7"/>
  <c r="Z90" i="7" s="1"/>
  <c r="A49" i="7"/>
  <c r="Z49" i="7" s="1"/>
  <c r="A45" i="7"/>
  <c r="Z45" i="7" s="1"/>
  <c r="A44" i="7"/>
  <c r="Z44" i="7" s="1"/>
  <c r="A43" i="7"/>
  <c r="Z43" i="7" s="1"/>
  <c r="A41" i="7"/>
  <c r="Z41" i="7" s="1"/>
  <c r="A35" i="7"/>
  <c r="Z35" i="7" s="1"/>
  <c r="A33" i="7"/>
  <c r="Z33" i="7" s="1"/>
  <c r="A32" i="7"/>
  <c r="Z32" i="7" s="1"/>
  <c r="A29" i="7"/>
  <c r="Z29" i="7" l="1"/>
  <c r="F140" i="3"/>
  <c r="G140" i="3"/>
  <c r="E140" i="3"/>
  <c r="D140" i="3"/>
  <c r="E252" i="3" l="1"/>
  <c r="F252" i="3"/>
  <c r="G252" i="3"/>
  <c r="H252" i="3"/>
  <c r="I252" i="3"/>
  <c r="J252" i="3"/>
  <c r="K252" i="3"/>
  <c r="L252" i="3"/>
  <c r="M252" i="3"/>
  <c r="N252" i="3"/>
  <c r="O252" i="3"/>
  <c r="P252" i="3"/>
  <c r="Q252" i="3"/>
  <c r="R252" i="3"/>
  <c r="S252" i="3"/>
  <c r="T252" i="3"/>
  <c r="U252" i="3"/>
  <c r="V252" i="3"/>
  <c r="W252" i="3"/>
  <c r="D252" i="3"/>
  <c r="F255" i="3"/>
  <c r="G255" i="3"/>
  <c r="H255" i="3"/>
  <c r="I255" i="3"/>
  <c r="J255" i="3"/>
  <c r="K255" i="3"/>
  <c r="L255" i="3"/>
  <c r="M255" i="3"/>
  <c r="N255" i="3"/>
  <c r="O255" i="3"/>
  <c r="P255" i="3"/>
  <c r="Q255" i="3"/>
  <c r="R255" i="3"/>
  <c r="S255" i="3"/>
  <c r="T255" i="3"/>
  <c r="U255" i="3"/>
  <c r="V255" i="3"/>
  <c r="V257" i="3" s="1"/>
  <c r="W255" i="3"/>
  <c r="W257" i="3" s="1"/>
  <c r="F256" i="3"/>
  <c r="G256" i="3"/>
  <c r="H256" i="3"/>
  <c r="I256" i="3"/>
  <c r="J256" i="3"/>
  <c r="K256" i="3"/>
  <c r="L256" i="3"/>
  <c r="M256" i="3"/>
  <c r="N256" i="3"/>
  <c r="O256" i="3"/>
  <c r="P256" i="3"/>
  <c r="P257" i="3" s="1"/>
  <c r="Q256" i="3"/>
  <c r="R256" i="3"/>
  <c r="S256" i="3"/>
  <c r="T256" i="3"/>
  <c r="T257" i="3" s="1"/>
  <c r="U256" i="3"/>
  <c r="V256" i="3"/>
  <c r="W256" i="3"/>
  <c r="E256" i="3"/>
  <c r="E255" i="3"/>
  <c r="D256" i="3"/>
  <c r="D224" i="3"/>
  <c r="X224" i="3" s="1"/>
  <c r="X222" i="3"/>
  <c r="X223" i="3"/>
  <c r="X217" i="3"/>
  <c r="X218" i="3"/>
  <c r="X219" i="3"/>
  <c r="X220" i="3"/>
  <c r="X230" i="3" s="1"/>
  <c r="F257" i="3"/>
  <c r="H257" i="3"/>
  <c r="L257" i="3"/>
  <c r="N257" i="3"/>
  <c r="R257" i="3"/>
  <c r="D255" i="3"/>
  <c r="D257" i="3" s="1"/>
  <c r="A163" i="3"/>
  <c r="A34" i="3"/>
  <c r="A37" i="3"/>
  <c r="A35" i="3"/>
  <c r="A36"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4" i="3"/>
  <c r="A83" i="3"/>
  <c r="A85" i="3"/>
  <c r="A86" i="3"/>
  <c r="A87" i="3"/>
  <c r="A89" i="3"/>
  <c r="A88" i="3"/>
  <c r="A90" i="3"/>
  <c r="A91" i="3"/>
  <c r="A92" i="3"/>
  <c r="A93" i="3"/>
  <c r="A94" i="3"/>
  <c r="A95" i="3"/>
  <c r="A96" i="3"/>
  <c r="A97" i="3"/>
  <c r="A98" i="3"/>
  <c r="A99" i="3"/>
  <c r="A100" i="3"/>
  <c r="A101" i="3"/>
  <c r="A102" i="3"/>
  <c r="A103" i="3"/>
  <c r="A104" i="3"/>
  <c r="A105" i="3"/>
  <c r="A106" i="3"/>
  <c r="A107" i="3"/>
  <c r="A109" i="3"/>
  <c r="A108" i="3"/>
  <c r="A110" i="3"/>
  <c r="A111" i="3"/>
  <c r="A112" i="3"/>
  <c r="A113" i="3"/>
  <c r="A114" i="3"/>
  <c r="A115" i="3"/>
  <c r="A117" i="3"/>
  <c r="A116" i="3"/>
  <c r="A118" i="3"/>
  <c r="A119" i="3"/>
  <c r="A121" i="3"/>
  <c r="A120" i="3"/>
  <c r="A122" i="3"/>
  <c r="A123" i="3"/>
  <c r="A124" i="3"/>
  <c r="A125" i="3"/>
  <c r="A126" i="3"/>
  <c r="A127" i="3"/>
  <c r="A128" i="3"/>
  <c r="A129" i="3"/>
  <c r="A130" i="3"/>
  <c r="A131" i="3"/>
  <c r="A132" i="3"/>
  <c r="A134" i="3"/>
  <c r="A135" i="3"/>
  <c r="A133" i="3"/>
  <c r="A136" i="3"/>
  <c r="A137" i="3"/>
  <c r="A139" i="3"/>
  <c r="A141" i="3"/>
  <c r="A142" i="3"/>
  <c r="A143" i="3"/>
  <c r="A144" i="3"/>
  <c r="A145" i="3"/>
  <c r="A146" i="3"/>
  <c r="A147" i="3"/>
  <c r="A148" i="3"/>
  <c r="A149" i="3"/>
  <c r="A150" i="3"/>
  <c r="A151" i="3"/>
  <c r="A152" i="3"/>
  <c r="A153" i="3"/>
  <c r="A154" i="3"/>
  <c r="A155" i="3"/>
  <c r="A156" i="3"/>
  <c r="A157" i="3"/>
  <c r="A158" i="3"/>
  <c r="A159" i="3"/>
  <c r="A160" i="3"/>
  <c r="A161" i="3"/>
  <c r="A162" i="3"/>
  <c r="D227" i="3"/>
  <c r="D228" i="3"/>
  <c r="D229" i="3"/>
  <c r="B36" i="2"/>
  <c r="F10" i="3" s="1"/>
  <c r="F200" i="3"/>
  <c r="D230" i="3"/>
  <c r="D231" i="3"/>
  <c r="E227" i="3"/>
  <c r="E228" i="3"/>
  <c r="E229" i="3"/>
  <c r="E230" i="3"/>
  <c r="E239" i="3" s="1"/>
  <c r="E231" i="3"/>
  <c r="F227" i="3"/>
  <c r="F228" i="3"/>
  <c r="F229" i="3"/>
  <c r="F230" i="3"/>
  <c r="F231" i="3"/>
  <c r="G227" i="3"/>
  <c r="G228" i="3"/>
  <c r="G229" i="3"/>
  <c r="G230" i="3"/>
  <c r="G239" i="3" s="1"/>
  <c r="G231" i="3"/>
  <c r="H227" i="3"/>
  <c r="H228" i="3"/>
  <c r="H229" i="3"/>
  <c r="H230" i="3"/>
  <c r="H239" i="3" s="1"/>
  <c r="H231" i="3"/>
  <c r="I227" i="3"/>
  <c r="I228" i="3"/>
  <c r="I229" i="3"/>
  <c r="I230" i="3"/>
  <c r="I239" i="3" s="1"/>
  <c r="I231" i="3"/>
  <c r="J227" i="3"/>
  <c r="J232" i="3" s="1"/>
  <c r="J228" i="3"/>
  <c r="J229" i="3"/>
  <c r="J230" i="3"/>
  <c r="J231" i="3"/>
  <c r="K227" i="3"/>
  <c r="K228" i="3"/>
  <c r="K229" i="3"/>
  <c r="K230" i="3"/>
  <c r="K231" i="3"/>
  <c r="L227" i="3"/>
  <c r="L228" i="3"/>
  <c r="L229" i="3"/>
  <c r="L230" i="3"/>
  <c r="L239" i="3" s="1"/>
  <c r="L231" i="3"/>
  <c r="M227" i="3"/>
  <c r="M228" i="3"/>
  <c r="M229" i="3"/>
  <c r="M230" i="3"/>
  <c r="M239" i="3" s="1"/>
  <c r="M231" i="3"/>
  <c r="N227" i="3"/>
  <c r="N232" i="3" s="1"/>
  <c r="N228" i="3"/>
  <c r="N229" i="3"/>
  <c r="N230" i="3"/>
  <c r="N239" i="3" s="1"/>
  <c r="N231" i="3"/>
  <c r="O227" i="3"/>
  <c r="O228" i="3"/>
  <c r="O229" i="3"/>
  <c r="O230" i="3"/>
  <c r="O231" i="3"/>
  <c r="P227" i="3"/>
  <c r="P228" i="3"/>
  <c r="P229" i="3"/>
  <c r="P230" i="3"/>
  <c r="P231" i="3"/>
  <c r="Q227" i="3"/>
  <c r="Q228" i="3"/>
  <c r="Q229" i="3"/>
  <c r="Q230" i="3"/>
  <c r="Q231" i="3"/>
  <c r="R227" i="3"/>
  <c r="R232" i="3" s="1"/>
  <c r="R228" i="3"/>
  <c r="R229" i="3"/>
  <c r="R230" i="3"/>
  <c r="R231" i="3"/>
  <c r="S227" i="3"/>
  <c r="S228" i="3"/>
  <c r="S229" i="3"/>
  <c r="S230" i="3"/>
  <c r="S231" i="3"/>
  <c r="T227" i="3"/>
  <c r="T228" i="3"/>
  <c r="T229" i="3"/>
  <c r="T230" i="3"/>
  <c r="T231" i="3"/>
  <c r="U227" i="3"/>
  <c r="U228" i="3"/>
  <c r="U229" i="3"/>
  <c r="U230" i="3"/>
  <c r="U231" i="3"/>
  <c r="V227" i="3"/>
  <c r="V228" i="3"/>
  <c r="V229" i="3"/>
  <c r="V230" i="3"/>
  <c r="V231" i="3"/>
  <c r="W227" i="3"/>
  <c r="W228" i="3"/>
  <c r="W229" i="3"/>
  <c r="W230" i="3"/>
  <c r="W231" i="3"/>
  <c r="AC33" i="3"/>
  <c r="A167" i="3"/>
  <c r="D234" i="3"/>
  <c r="D236" i="3"/>
  <c r="D237" i="3"/>
  <c r="D240" i="3"/>
  <c r="B5" i="4"/>
  <c r="B6" i="4"/>
  <c r="B7" i="4"/>
  <c r="B9" i="4"/>
  <c r="B8" i="4"/>
  <c r="B10" i="4"/>
  <c r="X221" i="3"/>
  <c r="X231" i="3" s="1"/>
  <c r="E234" i="3"/>
  <c r="F234" i="3"/>
  <c r="G234" i="3"/>
  <c r="H234" i="3"/>
  <c r="I234" i="3"/>
  <c r="J234" i="3"/>
  <c r="K234" i="3"/>
  <c r="L234" i="3"/>
  <c r="M234" i="3"/>
  <c r="N234" i="3"/>
  <c r="E235" i="3"/>
  <c r="F235" i="3"/>
  <c r="G235" i="3"/>
  <c r="H235" i="3"/>
  <c r="I235" i="3"/>
  <c r="J235" i="3"/>
  <c r="K235" i="3"/>
  <c r="L235" i="3"/>
  <c r="M235" i="3"/>
  <c r="N235" i="3"/>
  <c r="E236" i="3"/>
  <c r="F236" i="3"/>
  <c r="G236" i="3"/>
  <c r="H236" i="3"/>
  <c r="I236" i="3"/>
  <c r="J236" i="3"/>
  <c r="K236" i="3"/>
  <c r="L236" i="3"/>
  <c r="M236" i="3"/>
  <c r="N236" i="3"/>
  <c r="E237" i="3"/>
  <c r="F237" i="3"/>
  <c r="G237" i="3"/>
  <c r="H237" i="3"/>
  <c r="I237" i="3"/>
  <c r="J237" i="3"/>
  <c r="K237" i="3"/>
  <c r="L237" i="3"/>
  <c r="M237" i="3"/>
  <c r="N237" i="3"/>
  <c r="E238" i="3"/>
  <c r="F238" i="3"/>
  <c r="G238" i="3"/>
  <c r="H238" i="3"/>
  <c r="I238" i="3"/>
  <c r="J238" i="3"/>
  <c r="K238" i="3"/>
  <c r="L238" i="3"/>
  <c r="M238" i="3"/>
  <c r="N238" i="3"/>
  <c r="F239" i="3"/>
  <c r="J239" i="3"/>
  <c r="K239" i="3"/>
  <c r="E240" i="3"/>
  <c r="F240" i="3"/>
  <c r="G240" i="3"/>
  <c r="H240" i="3"/>
  <c r="I240" i="3"/>
  <c r="J240" i="3"/>
  <c r="K240" i="3"/>
  <c r="L240" i="3"/>
  <c r="M240" i="3"/>
  <c r="N240" i="3"/>
  <c r="F232" i="3"/>
  <c r="V232" i="3"/>
  <c r="X228" i="3"/>
  <c r="X229" i="3"/>
  <c r="E22" i="3"/>
  <c r="F22" i="3"/>
  <c r="G22" i="3"/>
  <c r="H22" i="3"/>
  <c r="I22" i="3"/>
  <c r="J22" i="3"/>
  <c r="K22" i="3"/>
  <c r="L22" i="3"/>
  <c r="M22" i="3"/>
  <c r="N22" i="3"/>
  <c r="O22" i="3"/>
  <c r="P22" i="3"/>
  <c r="Q22" i="3"/>
  <c r="R22" i="3"/>
  <c r="S22" i="3"/>
  <c r="T22" i="3"/>
  <c r="U22" i="3"/>
  <c r="V22" i="3"/>
  <c r="W22" i="3"/>
  <c r="X20" i="3"/>
  <c r="X21" i="3"/>
  <c r="D22" i="3"/>
  <c r="A183" i="3"/>
  <c r="A184" i="3"/>
  <c r="I28" i="3"/>
  <c r="J28" i="3"/>
  <c r="K28" i="3"/>
  <c r="L28" i="3"/>
  <c r="M28" i="3"/>
  <c r="N28" i="3"/>
  <c r="O28" i="3"/>
  <c r="P28" i="3"/>
  <c r="Q28" i="3"/>
  <c r="A164" i="3"/>
  <c r="T28" i="3"/>
  <c r="U28" i="3"/>
  <c r="V28" i="3"/>
  <c r="W28" i="3"/>
  <c r="R28" i="3"/>
  <c r="S28" i="3"/>
  <c r="X27" i="3"/>
  <c r="D28" i="3"/>
  <c r="E28" i="3"/>
  <c r="F28" i="3"/>
  <c r="G28" i="3"/>
  <c r="H28" i="3"/>
  <c r="X26" i="3"/>
  <c r="A165" i="3"/>
  <c r="A166" i="3"/>
  <c r="A168" i="3"/>
  <c r="A169" i="3"/>
  <c r="A170" i="3"/>
  <c r="A172" i="3"/>
  <c r="A171" i="3"/>
  <c r="A173" i="3"/>
  <c r="A174" i="3"/>
  <c r="A175" i="3"/>
  <c r="A176" i="3"/>
  <c r="A177" i="3"/>
  <c r="A178" i="3"/>
  <c r="A179" i="3"/>
  <c r="A180" i="3"/>
  <c r="A182" i="3"/>
  <c r="A181" i="3"/>
  <c r="A185" i="3"/>
  <c r="W232" i="3" l="1"/>
  <c r="T232" i="3"/>
  <c r="S232" i="3"/>
  <c r="P232" i="3"/>
  <c r="O232" i="3"/>
  <c r="L232" i="3"/>
  <c r="K232" i="3"/>
  <c r="H232" i="3"/>
  <c r="G232" i="3"/>
  <c r="Z231" i="3"/>
  <c r="Z229" i="3"/>
  <c r="X227" i="3"/>
  <c r="S257" i="3"/>
  <c r="O257" i="3"/>
  <c r="K257" i="3"/>
  <c r="G257" i="3"/>
  <c r="Z230" i="3"/>
  <c r="D232" i="3"/>
  <c r="U232" i="3"/>
  <c r="Q232" i="3"/>
  <c r="M232" i="3"/>
  <c r="I232" i="3"/>
  <c r="E232" i="3"/>
  <c r="F11" i="3"/>
  <c r="C36" i="2" s="1"/>
  <c r="X255" i="3"/>
  <c r="E257" i="3"/>
  <c r="J257" i="3"/>
  <c r="D208" i="3"/>
  <c r="D212" i="3"/>
  <c r="D209" i="3"/>
  <c r="D206" i="3"/>
  <c r="D207" i="3"/>
  <c r="D211" i="3"/>
  <c r="D210" i="3"/>
  <c r="F210" i="3"/>
  <c r="Z227" i="3"/>
  <c r="Z228" i="3"/>
  <c r="X22" i="3"/>
  <c r="X28" i="3"/>
  <c r="G185" i="3"/>
  <c r="F185" i="3"/>
  <c r="E185" i="3"/>
  <c r="D185" i="3"/>
  <c r="G175" i="3"/>
  <c r="F175" i="3"/>
  <c r="E175" i="3"/>
  <c r="D175" i="3"/>
  <c r="G166" i="3"/>
  <c r="E166" i="3"/>
  <c r="F166" i="3"/>
  <c r="D166" i="3"/>
  <c r="G161" i="3"/>
  <c r="F161" i="3"/>
  <c r="E161" i="3"/>
  <c r="D161" i="3"/>
  <c r="G153" i="3"/>
  <c r="E153" i="3"/>
  <c r="F153" i="3"/>
  <c r="D153" i="3"/>
  <c r="G145" i="3"/>
  <c r="E145" i="3"/>
  <c r="F145" i="3"/>
  <c r="D145" i="3"/>
  <c r="G133" i="3"/>
  <c r="F133" i="3"/>
  <c r="E133" i="3"/>
  <c r="D133" i="3"/>
  <c r="G127" i="3"/>
  <c r="F127" i="3"/>
  <c r="E127" i="3"/>
  <c r="D127" i="3"/>
  <c r="G119" i="3"/>
  <c r="F119" i="3"/>
  <c r="E119" i="3"/>
  <c r="D119" i="3"/>
  <c r="G111" i="3"/>
  <c r="F111" i="3"/>
  <c r="E111" i="3"/>
  <c r="D111" i="3"/>
  <c r="G103" i="3"/>
  <c r="F103" i="3"/>
  <c r="E103" i="3"/>
  <c r="D103" i="3"/>
  <c r="G95" i="3"/>
  <c r="F95" i="3"/>
  <c r="E95" i="3"/>
  <c r="D95" i="3"/>
  <c r="G87" i="3"/>
  <c r="D87" i="3"/>
  <c r="F87" i="3"/>
  <c r="E87" i="3"/>
  <c r="G84" i="3"/>
  <c r="D84" i="3"/>
  <c r="F84" i="3"/>
  <c r="E84" i="3"/>
  <c r="G75" i="3"/>
  <c r="D75" i="3"/>
  <c r="F75" i="3"/>
  <c r="E75" i="3"/>
  <c r="G67" i="3"/>
  <c r="F67" i="3"/>
  <c r="E67" i="3"/>
  <c r="D67" i="3"/>
  <c r="G59" i="3"/>
  <c r="F59" i="3"/>
  <c r="E59" i="3"/>
  <c r="D59" i="3"/>
  <c r="G51" i="3"/>
  <c r="F51" i="3"/>
  <c r="E51" i="3"/>
  <c r="D51" i="3"/>
  <c r="G47" i="3"/>
  <c r="F47" i="3"/>
  <c r="E47" i="3"/>
  <c r="D47" i="3"/>
  <c r="G39" i="3"/>
  <c r="F39" i="3"/>
  <c r="E39" i="3"/>
  <c r="D39" i="3"/>
  <c r="G37" i="3"/>
  <c r="D37" i="3"/>
  <c r="F37" i="3"/>
  <c r="E37" i="3"/>
  <c r="G176" i="3"/>
  <c r="E176" i="3"/>
  <c r="F176" i="3"/>
  <c r="D176" i="3"/>
  <c r="G168" i="3"/>
  <c r="E168" i="3"/>
  <c r="F168" i="3"/>
  <c r="D168" i="3"/>
  <c r="G167" i="3"/>
  <c r="F167" i="3"/>
  <c r="E167" i="3"/>
  <c r="D167" i="3"/>
  <c r="G158" i="3"/>
  <c r="E158" i="3"/>
  <c r="F158" i="3"/>
  <c r="D158" i="3"/>
  <c r="G150" i="3"/>
  <c r="F150" i="3"/>
  <c r="E150" i="3"/>
  <c r="D150" i="3"/>
  <c r="G142" i="3"/>
  <c r="F142" i="3"/>
  <c r="E142" i="3"/>
  <c r="D142" i="3"/>
  <c r="G132" i="3"/>
  <c r="E132" i="3"/>
  <c r="F132" i="3"/>
  <c r="D132" i="3"/>
  <c r="G124" i="3"/>
  <c r="E124" i="3"/>
  <c r="F124" i="3"/>
  <c r="D124" i="3"/>
  <c r="G117" i="3"/>
  <c r="H208" i="3" s="1"/>
  <c r="E117" i="3"/>
  <c r="F208" i="3" s="1"/>
  <c r="F117" i="3"/>
  <c r="G208" i="3" s="1"/>
  <c r="D117" i="3"/>
  <c r="E208" i="3" s="1"/>
  <c r="G109" i="3"/>
  <c r="E109" i="3"/>
  <c r="F109" i="3"/>
  <c r="D109" i="3"/>
  <c r="G100" i="3"/>
  <c r="E100" i="3"/>
  <c r="F100" i="3"/>
  <c r="D100" i="3"/>
  <c r="G92" i="3"/>
  <c r="E92" i="3"/>
  <c r="F92" i="3"/>
  <c r="D92" i="3"/>
  <c r="G83" i="3"/>
  <c r="E83" i="3"/>
  <c r="F83" i="3"/>
  <c r="D83" i="3"/>
  <c r="G80" i="3"/>
  <c r="E80" i="3"/>
  <c r="F80" i="3"/>
  <c r="D80" i="3"/>
  <c r="G72" i="3"/>
  <c r="E72" i="3"/>
  <c r="F72" i="3"/>
  <c r="D72" i="3"/>
  <c r="G64" i="3"/>
  <c r="E64" i="3"/>
  <c r="D64" i="3"/>
  <c r="F64" i="3"/>
  <c r="G56" i="3"/>
  <c r="E56" i="3"/>
  <c r="D56" i="3"/>
  <c r="F56" i="3"/>
  <c r="G48" i="3"/>
  <c r="E48" i="3"/>
  <c r="D48" i="3"/>
  <c r="F48" i="3"/>
  <c r="G40" i="3"/>
  <c r="E40" i="3"/>
  <c r="D40" i="3"/>
  <c r="F40" i="3"/>
  <c r="G35" i="3"/>
  <c r="E35" i="3"/>
  <c r="F35" i="3"/>
  <c r="D35" i="3"/>
  <c r="G182" i="3"/>
  <c r="F182" i="3"/>
  <c r="E182" i="3"/>
  <c r="D182" i="3"/>
  <c r="G173" i="3"/>
  <c r="F173" i="3"/>
  <c r="E173" i="3"/>
  <c r="D173" i="3"/>
  <c r="G184" i="3"/>
  <c r="H212" i="3" s="1"/>
  <c r="E184" i="3"/>
  <c r="F212" i="3" s="1"/>
  <c r="F184" i="3"/>
  <c r="G212" i="3" s="1"/>
  <c r="D184" i="3"/>
  <c r="E212" i="3" s="1"/>
  <c r="G159" i="3"/>
  <c r="F159" i="3"/>
  <c r="E159" i="3"/>
  <c r="D159" i="3"/>
  <c r="G155" i="3"/>
  <c r="F155" i="3"/>
  <c r="E155" i="3"/>
  <c r="D155" i="3"/>
  <c r="G151" i="3"/>
  <c r="E151" i="3"/>
  <c r="F151" i="3"/>
  <c r="D151" i="3"/>
  <c r="G147" i="3"/>
  <c r="E147" i="3"/>
  <c r="F147" i="3"/>
  <c r="D147" i="3"/>
  <c r="G143" i="3"/>
  <c r="E143" i="3"/>
  <c r="F143" i="3"/>
  <c r="D143" i="3"/>
  <c r="G137" i="3"/>
  <c r="F137" i="3"/>
  <c r="E137" i="3"/>
  <c r="D137" i="3"/>
  <c r="G134" i="3"/>
  <c r="F134" i="3"/>
  <c r="E134" i="3"/>
  <c r="D134" i="3"/>
  <c r="G129" i="3"/>
  <c r="F129" i="3"/>
  <c r="E129" i="3"/>
  <c r="D129" i="3"/>
  <c r="G125" i="3"/>
  <c r="F125" i="3"/>
  <c r="E125" i="3"/>
  <c r="D125" i="3"/>
  <c r="G120" i="3"/>
  <c r="F120" i="3"/>
  <c r="E120" i="3"/>
  <c r="D120" i="3"/>
  <c r="G116" i="3"/>
  <c r="F116" i="3"/>
  <c r="E116" i="3"/>
  <c r="D116" i="3"/>
  <c r="G113" i="3"/>
  <c r="F113" i="3"/>
  <c r="E113" i="3"/>
  <c r="D113" i="3"/>
  <c r="G108" i="3"/>
  <c r="F108" i="3"/>
  <c r="E108" i="3"/>
  <c r="D108" i="3"/>
  <c r="G105" i="3"/>
  <c r="F105" i="3"/>
  <c r="E105" i="3"/>
  <c r="D105" i="3"/>
  <c r="G101" i="3"/>
  <c r="F101" i="3"/>
  <c r="E101" i="3"/>
  <c r="D101" i="3"/>
  <c r="G97" i="3"/>
  <c r="F97" i="3"/>
  <c r="E97" i="3"/>
  <c r="D97" i="3"/>
  <c r="G93" i="3"/>
  <c r="F93" i="3"/>
  <c r="E93" i="3"/>
  <c r="D93" i="3"/>
  <c r="G88" i="3"/>
  <c r="D88" i="3"/>
  <c r="F88" i="3"/>
  <c r="E88" i="3"/>
  <c r="G85" i="3"/>
  <c r="D85" i="3"/>
  <c r="F85" i="3"/>
  <c r="E85" i="3"/>
  <c r="G81" i="3"/>
  <c r="D81" i="3"/>
  <c r="F81" i="3"/>
  <c r="E81" i="3"/>
  <c r="G77" i="3"/>
  <c r="D77" i="3"/>
  <c r="F77" i="3"/>
  <c r="E77" i="3"/>
  <c r="G73" i="3"/>
  <c r="D73" i="3"/>
  <c r="F73" i="3"/>
  <c r="E73" i="3"/>
  <c r="G69" i="3"/>
  <c r="D69" i="3"/>
  <c r="F69" i="3"/>
  <c r="E69" i="3"/>
  <c r="G65" i="3"/>
  <c r="F65" i="3"/>
  <c r="E65" i="3"/>
  <c r="D65" i="3"/>
  <c r="G61" i="3"/>
  <c r="F61" i="3"/>
  <c r="E61" i="3"/>
  <c r="D61" i="3"/>
  <c r="G57" i="3"/>
  <c r="F57" i="3"/>
  <c r="E57" i="3"/>
  <c r="D57" i="3"/>
  <c r="G53" i="3"/>
  <c r="F53" i="3"/>
  <c r="E53" i="3"/>
  <c r="D53" i="3"/>
  <c r="G49" i="3"/>
  <c r="F49" i="3"/>
  <c r="E49" i="3"/>
  <c r="D49" i="3"/>
  <c r="G45" i="3"/>
  <c r="F45" i="3"/>
  <c r="E45" i="3"/>
  <c r="D45" i="3"/>
  <c r="G41" i="3"/>
  <c r="F41" i="3"/>
  <c r="E41" i="3"/>
  <c r="D41" i="3"/>
  <c r="G36" i="3"/>
  <c r="F36" i="3"/>
  <c r="E36" i="3"/>
  <c r="D36" i="3"/>
  <c r="G163" i="3"/>
  <c r="F163" i="3"/>
  <c r="E163" i="3"/>
  <c r="D163" i="3"/>
  <c r="G179" i="3"/>
  <c r="F179" i="3"/>
  <c r="E179" i="3"/>
  <c r="D179" i="3"/>
  <c r="G172" i="3"/>
  <c r="F172" i="3"/>
  <c r="E172" i="3"/>
  <c r="D172" i="3"/>
  <c r="G164" i="3"/>
  <c r="E164" i="3"/>
  <c r="F164" i="3"/>
  <c r="D164" i="3"/>
  <c r="G157" i="3"/>
  <c r="F157" i="3"/>
  <c r="E157" i="3"/>
  <c r="D157" i="3"/>
  <c r="G149" i="3"/>
  <c r="E149" i="3"/>
  <c r="F149" i="3"/>
  <c r="D149" i="3"/>
  <c r="G141" i="3"/>
  <c r="E141" i="3"/>
  <c r="F141" i="3"/>
  <c r="D141" i="3"/>
  <c r="G131" i="3"/>
  <c r="F131" i="3"/>
  <c r="E131" i="3"/>
  <c r="D131" i="3"/>
  <c r="G123" i="3"/>
  <c r="F123" i="3"/>
  <c r="E123" i="3"/>
  <c r="D123" i="3"/>
  <c r="G115" i="3"/>
  <c r="F115" i="3"/>
  <c r="E115" i="3"/>
  <c r="D115" i="3"/>
  <c r="G107" i="3"/>
  <c r="F107" i="3"/>
  <c r="E107" i="3"/>
  <c r="D107" i="3"/>
  <c r="G99" i="3"/>
  <c r="F99" i="3"/>
  <c r="E99" i="3"/>
  <c r="D99" i="3"/>
  <c r="G91" i="3"/>
  <c r="F91" i="3"/>
  <c r="E91" i="3"/>
  <c r="D91" i="3"/>
  <c r="G79" i="3"/>
  <c r="D79" i="3"/>
  <c r="F79" i="3"/>
  <c r="E79" i="3"/>
  <c r="G71" i="3"/>
  <c r="D71" i="3"/>
  <c r="F71" i="3"/>
  <c r="E71" i="3"/>
  <c r="G63" i="3"/>
  <c r="F63" i="3"/>
  <c r="E63" i="3"/>
  <c r="D63" i="3"/>
  <c r="G55" i="3"/>
  <c r="F55" i="3"/>
  <c r="E55" i="3"/>
  <c r="D55" i="3"/>
  <c r="G43" i="3"/>
  <c r="F43" i="3"/>
  <c r="E43" i="3"/>
  <c r="D43" i="3"/>
  <c r="G180" i="3"/>
  <c r="E180" i="3"/>
  <c r="F180" i="3"/>
  <c r="D180" i="3"/>
  <c r="G171" i="3"/>
  <c r="H211" i="3" s="1"/>
  <c r="E171" i="3"/>
  <c r="F211" i="3" s="1"/>
  <c r="F171" i="3"/>
  <c r="G211" i="3" s="1"/>
  <c r="D171" i="3"/>
  <c r="E211" i="3" s="1"/>
  <c r="G183" i="3"/>
  <c r="F183" i="3"/>
  <c r="E183" i="3"/>
  <c r="D183" i="3"/>
  <c r="G162" i="3"/>
  <c r="E162" i="3"/>
  <c r="F162" i="3"/>
  <c r="D162" i="3"/>
  <c r="G154" i="3"/>
  <c r="F154" i="3"/>
  <c r="E154" i="3"/>
  <c r="D154" i="3"/>
  <c r="G146" i="3"/>
  <c r="F146" i="3"/>
  <c r="E146" i="3"/>
  <c r="D146" i="3"/>
  <c r="G136" i="3"/>
  <c r="E136" i="3"/>
  <c r="F136" i="3"/>
  <c r="D136" i="3"/>
  <c r="G121" i="3"/>
  <c r="E121" i="3"/>
  <c r="F121" i="3"/>
  <c r="D121" i="3"/>
  <c r="G112" i="3"/>
  <c r="E112" i="3"/>
  <c r="F112" i="3"/>
  <c r="D112" i="3"/>
  <c r="G104" i="3"/>
  <c r="E104" i="3"/>
  <c r="F104" i="3"/>
  <c r="D104" i="3"/>
  <c r="G96" i="3"/>
  <c r="E96" i="3"/>
  <c r="F96" i="3"/>
  <c r="D96" i="3"/>
  <c r="G89" i="3"/>
  <c r="E89" i="3"/>
  <c r="F89" i="3"/>
  <c r="D89" i="3"/>
  <c r="G76" i="3"/>
  <c r="E76" i="3"/>
  <c r="F76" i="3"/>
  <c r="D76" i="3"/>
  <c r="G68" i="3"/>
  <c r="E68" i="3"/>
  <c r="F68" i="3"/>
  <c r="D68" i="3"/>
  <c r="G60" i="3"/>
  <c r="E60" i="3"/>
  <c r="D60" i="3"/>
  <c r="F60" i="3"/>
  <c r="G52" i="3"/>
  <c r="E52" i="3"/>
  <c r="D52" i="3"/>
  <c r="F52" i="3"/>
  <c r="G44" i="3"/>
  <c r="E44" i="3"/>
  <c r="D44" i="3"/>
  <c r="F44" i="3"/>
  <c r="G177" i="3"/>
  <c r="F177" i="3"/>
  <c r="E177" i="3"/>
  <c r="D177" i="3"/>
  <c r="G169" i="3"/>
  <c r="F169" i="3"/>
  <c r="E169" i="3"/>
  <c r="D169" i="3"/>
  <c r="G181" i="3"/>
  <c r="E181" i="3"/>
  <c r="F181" i="3"/>
  <c r="D181" i="3"/>
  <c r="G178" i="3"/>
  <c r="E178" i="3"/>
  <c r="F178" i="3"/>
  <c r="D178" i="3"/>
  <c r="G174" i="3"/>
  <c r="E174" i="3"/>
  <c r="F174" i="3"/>
  <c r="D174" i="3"/>
  <c r="G170" i="3"/>
  <c r="E170" i="3"/>
  <c r="E191" i="3" s="1"/>
  <c r="F170" i="3"/>
  <c r="D170" i="3"/>
  <c r="D191" i="3" s="1"/>
  <c r="G165" i="3"/>
  <c r="H209" i="3" s="1"/>
  <c r="F165" i="3"/>
  <c r="G209" i="3" s="1"/>
  <c r="E165" i="3"/>
  <c r="F209" i="3" s="1"/>
  <c r="D165" i="3"/>
  <c r="E209" i="3" s="1"/>
  <c r="G160" i="3"/>
  <c r="E160" i="3"/>
  <c r="F160" i="3"/>
  <c r="D160" i="3"/>
  <c r="G156" i="3"/>
  <c r="E156" i="3"/>
  <c r="F156" i="3"/>
  <c r="D156" i="3"/>
  <c r="G152" i="3"/>
  <c r="F152" i="3"/>
  <c r="E152" i="3"/>
  <c r="D152" i="3"/>
  <c r="G148" i="3"/>
  <c r="F148" i="3"/>
  <c r="E148" i="3"/>
  <c r="D148" i="3"/>
  <c r="G144" i="3"/>
  <c r="F144" i="3"/>
  <c r="E144" i="3"/>
  <c r="D144" i="3"/>
  <c r="G139" i="3"/>
  <c r="F139" i="3"/>
  <c r="E139" i="3"/>
  <c r="D139" i="3"/>
  <c r="G135" i="3"/>
  <c r="E135" i="3"/>
  <c r="F135" i="3"/>
  <c r="D135" i="3"/>
  <c r="G130" i="3"/>
  <c r="E130" i="3"/>
  <c r="F130" i="3"/>
  <c r="D130" i="3"/>
  <c r="G126" i="3"/>
  <c r="E126" i="3"/>
  <c r="F126" i="3"/>
  <c r="D126" i="3"/>
  <c r="G122" i="3"/>
  <c r="E122" i="3"/>
  <c r="F122" i="3"/>
  <c r="D122" i="3"/>
  <c r="G118" i="3"/>
  <c r="E118" i="3"/>
  <c r="F118" i="3"/>
  <c r="D118" i="3"/>
  <c r="G114" i="3"/>
  <c r="E114" i="3"/>
  <c r="F114" i="3"/>
  <c r="D114" i="3"/>
  <c r="G110" i="3"/>
  <c r="E110" i="3"/>
  <c r="F110" i="3"/>
  <c r="D110" i="3"/>
  <c r="G106" i="3"/>
  <c r="E106" i="3"/>
  <c r="F106" i="3"/>
  <c r="D106" i="3"/>
  <c r="G102" i="3"/>
  <c r="E102" i="3"/>
  <c r="F102" i="3"/>
  <c r="D102" i="3"/>
  <c r="D193" i="3" s="1"/>
  <c r="G98" i="3"/>
  <c r="E98" i="3"/>
  <c r="F98" i="3"/>
  <c r="F192" i="3" s="1"/>
  <c r="D98" i="3"/>
  <c r="G94" i="3"/>
  <c r="E94" i="3"/>
  <c r="F94" i="3"/>
  <c r="D94" i="3"/>
  <c r="G90" i="3"/>
  <c r="E90" i="3"/>
  <c r="F90" i="3"/>
  <c r="D90" i="3"/>
  <c r="G86" i="3"/>
  <c r="E86" i="3"/>
  <c r="F86" i="3"/>
  <c r="D86" i="3"/>
  <c r="G82" i="3"/>
  <c r="E82" i="3"/>
  <c r="F82" i="3"/>
  <c r="D82" i="3"/>
  <c r="G78" i="3"/>
  <c r="E78" i="3"/>
  <c r="F78" i="3"/>
  <c r="D78" i="3"/>
  <c r="G74" i="3"/>
  <c r="E74" i="3"/>
  <c r="F74" i="3"/>
  <c r="D74" i="3"/>
  <c r="G70" i="3"/>
  <c r="E70" i="3"/>
  <c r="F70" i="3"/>
  <c r="D70" i="3"/>
  <c r="G66" i="3"/>
  <c r="E66" i="3"/>
  <c r="D66" i="3"/>
  <c r="F66" i="3"/>
  <c r="G62" i="3"/>
  <c r="E62" i="3"/>
  <c r="D62" i="3"/>
  <c r="F62" i="3"/>
  <c r="G58" i="3"/>
  <c r="E58" i="3"/>
  <c r="D58" i="3"/>
  <c r="F58" i="3"/>
  <c r="G54" i="3"/>
  <c r="E54" i="3"/>
  <c r="D54" i="3"/>
  <c r="F54" i="3"/>
  <c r="G50" i="3"/>
  <c r="E50" i="3"/>
  <c r="D50" i="3"/>
  <c r="F50" i="3"/>
  <c r="G46" i="3"/>
  <c r="E46" i="3"/>
  <c r="D46" i="3"/>
  <c r="F46" i="3"/>
  <c r="G42" i="3"/>
  <c r="E42" i="3"/>
  <c r="D42" i="3"/>
  <c r="F42" i="3"/>
  <c r="G38" i="3"/>
  <c r="D38" i="3"/>
  <c r="F38" i="3"/>
  <c r="E38" i="3"/>
  <c r="D34" i="3"/>
  <c r="F34" i="3"/>
  <c r="E34" i="3"/>
  <c r="G34" i="3"/>
  <c r="X232" i="3"/>
  <c r="A2" i="3"/>
  <c r="C2" i="3" s="1"/>
  <c r="U257" i="3"/>
  <c r="Q257" i="3"/>
  <c r="M257" i="3"/>
  <c r="I257" i="3"/>
  <c r="X256" i="3"/>
  <c r="X257" i="3" s="1"/>
  <c r="J15" i="3"/>
  <c r="M15" i="3"/>
  <c r="E45" i="2" s="1"/>
  <c r="E29" i="4" s="1"/>
  <c r="Q15" i="3"/>
  <c r="I45" i="2" s="1"/>
  <c r="I29" i="4" s="1"/>
  <c r="U15" i="3"/>
  <c r="M45" i="2" s="1"/>
  <c r="L15" i="3"/>
  <c r="D45" i="2" s="1"/>
  <c r="D29" i="4" s="1"/>
  <c r="P15" i="3"/>
  <c r="H45" i="2" s="1"/>
  <c r="H29" i="4" s="1"/>
  <c r="T15" i="3"/>
  <c r="L45" i="2" s="1"/>
  <c r="X15" i="3"/>
  <c r="P45" i="2" s="1"/>
  <c r="P54" i="2" s="1"/>
  <c r="Y15" i="3"/>
  <c r="Q45" i="2" s="1"/>
  <c r="Q54" i="2" s="1"/>
  <c r="Z15" i="3"/>
  <c r="R45" i="2" s="1"/>
  <c r="R54" i="2" s="1"/>
  <c r="AA15" i="3"/>
  <c r="S45" i="2" s="1"/>
  <c r="S54" i="2" s="1"/>
  <c r="AB15" i="3"/>
  <c r="T45" i="2" s="1"/>
  <c r="T54" i="2" s="1"/>
  <c r="AC15" i="3"/>
  <c r="U45" i="2" s="1"/>
  <c r="U54" i="2" s="1"/>
  <c r="K15" i="3"/>
  <c r="C45" i="2" s="1"/>
  <c r="C29" i="4" s="1"/>
  <c r="O15" i="3"/>
  <c r="G45" i="2" s="1"/>
  <c r="G29" i="4" s="1"/>
  <c r="S15" i="3"/>
  <c r="K45" i="2" s="1"/>
  <c r="K29" i="4" s="1"/>
  <c r="W15" i="3"/>
  <c r="O45" i="2" s="1"/>
  <c r="O29" i="4" s="1"/>
  <c r="N15" i="3"/>
  <c r="F45" i="2" s="1"/>
  <c r="F29" i="4" s="1"/>
  <c r="R15" i="3"/>
  <c r="J45" i="2" s="1"/>
  <c r="J29" i="4" s="1"/>
  <c r="V15" i="3"/>
  <c r="N45" i="2" s="1"/>
  <c r="N29" i="4" s="1"/>
  <c r="D241" i="3"/>
  <c r="E206" i="3" l="1"/>
  <c r="D192" i="3"/>
  <c r="H206" i="3"/>
  <c r="G192" i="3"/>
  <c r="H210" i="3"/>
  <c r="G191" i="3"/>
  <c r="G206" i="3"/>
  <c r="G207" i="3"/>
  <c r="F193" i="3"/>
  <c r="G210" i="3"/>
  <c r="F191" i="3"/>
  <c r="H207" i="3"/>
  <c r="G193" i="3"/>
  <c r="F206" i="3"/>
  <c r="E192" i="3"/>
  <c r="E193" i="3"/>
  <c r="E207" i="3"/>
  <c r="F207" i="3"/>
  <c r="E210" i="3"/>
  <c r="E190" i="3"/>
  <c r="E188" i="3"/>
  <c r="F187" i="3"/>
  <c r="D190" i="3"/>
  <c r="G188" i="3"/>
  <c r="G187" i="3"/>
  <c r="G189" i="3"/>
  <c r="F190" i="3"/>
  <c r="G2" i="3" s="1"/>
  <c r="F188" i="3"/>
  <c r="E187" i="3"/>
  <c r="E189" i="3"/>
  <c r="D189" i="3"/>
  <c r="G190" i="3"/>
  <c r="H2" i="3" s="1"/>
  <c r="D188" i="3"/>
  <c r="D187" i="3"/>
  <c r="F189" i="3"/>
  <c r="L54" i="2"/>
  <c r="L29" i="4"/>
  <c r="M54" i="2"/>
  <c r="M29" i="4"/>
  <c r="D2" i="3"/>
  <c r="F2" i="3"/>
  <c r="B34" i="2" s="1"/>
  <c r="D10" i="3" s="1"/>
  <c r="E2" i="3"/>
  <c r="B33" i="2" s="1"/>
  <c r="C10" i="3" s="1"/>
  <c r="D195" i="3"/>
  <c r="D196" i="3" s="1"/>
  <c r="G195" i="3"/>
  <c r="F195" i="3"/>
  <c r="E195" i="3"/>
  <c r="E196" i="3" s="1"/>
  <c r="N54" i="2"/>
  <c r="AD29" i="4"/>
  <c r="K54" i="2"/>
  <c r="AA29" i="4"/>
  <c r="O54" i="2"/>
  <c r="AE29" i="4"/>
  <c r="D54" i="2"/>
  <c r="T29" i="4"/>
  <c r="B45" i="2"/>
  <c r="W45" i="2" s="1"/>
  <c r="AD15" i="3"/>
  <c r="F54" i="2"/>
  <c r="V29" i="4"/>
  <c r="S29" i="4"/>
  <c r="C54" i="2"/>
  <c r="H54" i="2"/>
  <c r="X29" i="4"/>
  <c r="E54" i="2"/>
  <c r="U29" i="4"/>
  <c r="J54" i="2"/>
  <c r="Z29" i="4"/>
  <c r="W29" i="4"/>
  <c r="G54" i="2"/>
  <c r="I54" i="2"/>
  <c r="Y29" i="4"/>
  <c r="G196" i="3" l="1"/>
  <c r="H140" i="3"/>
  <c r="H45" i="3"/>
  <c r="S45" i="3" s="1"/>
  <c r="G4" i="3"/>
  <c r="J7" i="3" s="1"/>
  <c r="C11" i="3"/>
  <c r="V12" i="3" s="1"/>
  <c r="N42" i="2" s="1"/>
  <c r="H156" i="3"/>
  <c r="P156" i="3" s="1"/>
  <c r="H166" i="3"/>
  <c r="O166" i="3" s="1"/>
  <c r="E4" i="3"/>
  <c r="J5" i="3" s="1"/>
  <c r="H4" i="3"/>
  <c r="H5" i="3"/>
  <c r="K16" i="3" s="1"/>
  <c r="C46" i="2" s="1"/>
  <c r="H82" i="3"/>
  <c r="R82" i="3" s="1"/>
  <c r="H112" i="3"/>
  <c r="O112" i="3" s="1"/>
  <c r="H164" i="3"/>
  <c r="Z164" i="3" s="1"/>
  <c r="I33" i="2"/>
  <c r="I34" i="2" s="1"/>
  <c r="B35" i="2" s="1"/>
  <c r="E10" i="3" s="1"/>
  <c r="H55" i="3"/>
  <c r="K55" i="3" s="1"/>
  <c r="H37" i="3"/>
  <c r="H171" i="3"/>
  <c r="N171" i="3" s="1"/>
  <c r="H139" i="3"/>
  <c r="N139" i="3" s="1"/>
  <c r="H167" i="3"/>
  <c r="M167" i="3" s="1"/>
  <c r="H60" i="3"/>
  <c r="S60" i="3" s="1"/>
  <c r="H76" i="3"/>
  <c r="S76" i="3" s="1"/>
  <c r="H118" i="3"/>
  <c r="AC118" i="3" s="1"/>
  <c r="H151" i="3"/>
  <c r="AB151" i="3" s="1"/>
  <c r="H176" i="3"/>
  <c r="S176" i="3" s="1"/>
  <c r="H107" i="3"/>
  <c r="R107" i="3" s="1"/>
  <c r="H127" i="3"/>
  <c r="Q127" i="3" s="1"/>
  <c r="H133" i="3"/>
  <c r="AB133" i="3" s="1"/>
  <c r="H71" i="3"/>
  <c r="V71" i="3" s="1"/>
  <c r="F4" i="3"/>
  <c r="H40" i="3"/>
  <c r="H183" i="3"/>
  <c r="X183" i="3" s="1"/>
  <c r="H146" i="3"/>
  <c r="H159" i="3"/>
  <c r="H109" i="3"/>
  <c r="H63" i="3"/>
  <c r="H179" i="3"/>
  <c r="H130" i="3"/>
  <c r="H80" i="3"/>
  <c r="H36" i="3"/>
  <c r="H165" i="3"/>
  <c r="H142" i="3"/>
  <c r="H113" i="3"/>
  <c r="H89" i="3"/>
  <c r="H67" i="3"/>
  <c r="H46" i="3"/>
  <c r="H180" i="3"/>
  <c r="H155" i="3"/>
  <c r="H132" i="3"/>
  <c r="H105" i="3"/>
  <c r="H81" i="3"/>
  <c r="H59" i="3"/>
  <c r="H38" i="3"/>
  <c r="H39" i="3"/>
  <c r="H58" i="3"/>
  <c r="H74" i="3"/>
  <c r="H91" i="3"/>
  <c r="H110" i="3"/>
  <c r="H131" i="3"/>
  <c r="H149" i="3"/>
  <c r="H169" i="3"/>
  <c r="H34" i="3"/>
  <c r="H119" i="3"/>
  <c r="H174" i="3"/>
  <c r="H123" i="3"/>
  <c r="H73" i="3"/>
  <c r="H114" i="3"/>
  <c r="H143" i="3"/>
  <c r="H90" i="3"/>
  <c r="H48" i="3"/>
  <c r="H172" i="3"/>
  <c r="H147" i="3"/>
  <c r="H122" i="3"/>
  <c r="H94" i="3"/>
  <c r="H72" i="3"/>
  <c r="H51" i="3"/>
  <c r="H101" i="3"/>
  <c r="H160" i="3"/>
  <c r="H137" i="3"/>
  <c r="H111" i="3"/>
  <c r="H86" i="3"/>
  <c r="H64" i="3"/>
  <c r="H44" i="3"/>
  <c r="H125" i="3"/>
  <c r="H181" i="3"/>
  <c r="H54" i="3"/>
  <c r="H70" i="3"/>
  <c r="H87" i="3"/>
  <c r="H106" i="3"/>
  <c r="H126" i="3"/>
  <c r="H145" i="3"/>
  <c r="H161" i="3"/>
  <c r="H182" i="3"/>
  <c r="H120" i="3"/>
  <c r="H47" i="3"/>
  <c r="H83" i="3"/>
  <c r="H102" i="3"/>
  <c r="H141" i="3"/>
  <c r="H177" i="3"/>
  <c r="H162" i="3"/>
  <c r="H148" i="3"/>
  <c r="H96" i="3"/>
  <c r="H52" i="3"/>
  <c r="H168" i="3"/>
  <c r="H116" i="3"/>
  <c r="H68" i="3"/>
  <c r="H158" i="3"/>
  <c r="H108" i="3"/>
  <c r="H84" i="3"/>
  <c r="H61" i="3"/>
  <c r="H150" i="3"/>
  <c r="H75" i="3"/>
  <c r="H100" i="3"/>
  <c r="H62" i="3"/>
  <c r="H95" i="3"/>
  <c r="H135" i="3"/>
  <c r="H173" i="3"/>
  <c r="H79" i="3"/>
  <c r="H185" i="3"/>
  <c r="H136" i="3"/>
  <c r="H85" i="3"/>
  <c r="H42" i="3"/>
  <c r="H154" i="3"/>
  <c r="H104" i="3"/>
  <c r="H57" i="3"/>
  <c r="H178" i="3"/>
  <c r="H152" i="3"/>
  <c r="H129" i="3"/>
  <c r="H103" i="3"/>
  <c r="H77" i="3"/>
  <c r="H56" i="3"/>
  <c r="H35" i="3"/>
  <c r="H170" i="3"/>
  <c r="H191" i="3" s="1"/>
  <c r="H144" i="3"/>
  <c r="H117" i="3"/>
  <c r="H92" i="3"/>
  <c r="H69" i="3"/>
  <c r="H49" i="3"/>
  <c r="H128" i="3"/>
  <c r="H66" i="3"/>
  <c r="H121" i="3"/>
  <c r="H157" i="3"/>
  <c r="H134" i="3"/>
  <c r="H41" i="3"/>
  <c r="H124" i="3"/>
  <c r="H43" i="3"/>
  <c r="H78" i="3"/>
  <c r="H115" i="3"/>
  <c r="H153" i="3"/>
  <c r="H138" i="3"/>
  <c r="H184" i="3"/>
  <c r="H175" i="3"/>
  <c r="H98" i="3"/>
  <c r="H192" i="3" s="1"/>
  <c r="H53" i="3"/>
  <c r="H50" i="3"/>
  <c r="M50" i="3" s="1"/>
  <c r="H163" i="3"/>
  <c r="H88" i="3"/>
  <c r="S88" i="3" s="1"/>
  <c r="H99" i="3"/>
  <c r="I99" i="3" s="1"/>
  <c r="H65" i="3"/>
  <c r="N65" i="3" s="1"/>
  <c r="H97" i="3"/>
  <c r="AC97" i="3" s="1"/>
  <c r="H93" i="3"/>
  <c r="S93" i="3" s="1"/>
  <c r="F199" i="3"/>
  <c r="F196" i="3"/>
  <c r="B37" i="2"/>
  <c r="V45" i="2"/>
  <c r="AB29" i="4" s="1"/>
  <c r="B54" i="2"/>
  <c r="W54" i="2" s="1"/>
  <c r="B29" i="4"/>
  <c r="D11" i="3"/>
  <c r="G10" i="3"/>
  <c r="G11" i="3" s="1"/>
  <c r="C37" i="2" s="1"/>
  <c r="K192" i="3" l="1"/>
  <c r="O192" i="3"/>
  <c r="S192" i="3"/>
  <c r="W192" i="3"/>
  <c r="AA192" i="3"/>
  <c r="L192" i="3"/>
  <c r="T192" i="3"/>
  <c r="AB192" i="3"/>
  <c r="J192" i="3"/>
  <c r="N192" i="3"/>
  <c r="R192" i="3"/>
  <c r="V192" i="3"/>
  <c r="Z192" i="3"/>
  <c r="I192" i="3"/>
  <c r="M192" i="3"/>
  <c r="Q192" i="3"/>
  <c r="U192" i="3"/>
  <c r="Y192" i="3"/>
  <c r="AC192" i="3"/>
  <c r="P192" i="3"/>
  <c r="X192" i="3"/>
  <c r="L191" i="3"/>
  <c r="P191" i="3"/>
  <c r="T191" i="3"/>
  <c r="X191" i="3"/>
  <c r="AB191" i="3"/>
  <c r="M191" i="3"/>
  <c r="U191" i="3"/>
  <c r="K191" i="3"/>
  <c r="O191" i="3"/>
  <c r="S191" i="3"/>
  <c r="W191" i="3"/>
  <c r="AA191" i="3"/>
  <c r="J191" i="3"/>
  <c r="N191" i="3"/>
  <c r="R191" i="3"/>
  <c r="V191" i="3"/>
  <c r="Z191" i="3"/>
  <c r="I191" i="3"/>
  <c r="Q191" i="3"/>
  <c r="Y191" i="3"/>
  <c r="AC191" i="3"/>
  <c r="H193" i="3"/>
  <c r="L140" i="3"/>
  <c r="P140" i="3"/>
  <c r="T140" i="3"/>
  <c r="X140" i="3"/>
  <c r="AB140" i="3"/>
  <c r="I140" i="3"/>
  <c r="Y140" i="3"/>
  <c r="K140" i="3"/>
  <c r="O140" i="3"/>
  <c r="S140" i="3"/>
  <c r="W140" i="3"/>
  <c r="AA140" i="3"/>
  <c r="J140" i="3"/>
  <c r="N140" i="3"/>
  <c r="R140" i="3"/>
  <c r="V140" i="3"/>
  <c r="Z140" i="3"/>
  <c r="M140" i="3"/>
  <c r="Q140" i="3"/>
  <c r="U140" i="3"/>
  <c r="AC140" i="3"/>
  <c r="I112" i="3"/>
  <c r="R16" i="3"/>
  <c r="J46" i="2" s="1"/>
  <c r="J30" i="4" s="1"/>
  <c r="Z30" i="4" s="1"/>
  <c r="Q118" i="3"/>
  <c r="X45" i="3"/>
  <c r="V176" i="3"/>
  <c r="H187" i="3"/>
  <c r="Y187" i="3" s="1"/>
  <c r="J37" i="3"/>
  <c r="H188" i="3"/>
  <c r="U133" i="3"/>
  <c r="V88" i="3"/>
  <c r="H190" i="3"/>
  <c r="J40" i="3"/>
  <c r="H189" i="3"/>
  <c r="AC166" i="3"/>
  <c r="N45" i="3"/>
  <c r="AB7" i="3"/>
  <c r="T19" i="2" s="1"/>
  <c r="T27" i="2" s="1"/>
  <c r="AB166" i="3"/>
  <c r="U88" i="3"/>
  <c r="N166" i="3"/>
  <c r="M82" i="3"/>
  <c r="T133" i="3"/>
  <c r="P45" i="3"/>
  <c r="L55" i="3"/>
  <c r="U183" i="3"/>
  <c r="K151" i="3"/>
  <c r="Q45" i="3"/>
  <c r="J82" i="3"/>
  <c r="M133" i="3"/>
  <c r="M45" i="3"/>
  <c r="AC37" i="3"/>
  <c r="AA93" i="3"/>
  <c r="I93" i="3"/>
  <c r="Z166" i="3"/>
  <c r="Y82" i="3"/>
  <c r="Y151" i="3"/>
  <c r="N133" i="3"/>
  <c r="L167" i="3"/>
  <c r="U45" i="3"/>
  <c r="K45" i="3"/>
  <c r="J88" i="3"/>
  <c r="L7" i="3"/>
  <c r="D19" i="2" s="1"/>
  <c r="D20" i="4" s="1"/>
  <c r="T20" i="4" s="1"/>
  <c r="T166" i="3"/>
  <c r="K166" i="3"/>
  <c r="J166" i="3"/>
  <c r="U82" i="3"/>
  <c r="AC82" i="3"/>
  <c r="V82" i="3"/>
  <c r="Y133" i="3"/>
  <c r="L133" i="3"/>
  <c r="J133" i="3"/>
  <c r="Q167" i="3"/>
  <c r="W45" i="3"/>
  <c r="Y45" i="3"/>
  <c r="O45" i="3"/>
  <c r="V45" i="3"/>
  <c r="L45" i="3"/>
  <c r="AA37" i="3"/>
  <c r="W88" i="3"/>
  <c r="P88" i="3"/>
  <c r="Z88" i="3"/>
  <c r="T93" i="3"/>
  <c r="Q93" i="3"/>
  <c r="R166" i="3"/>
  <c r="P166" i="3"/>
  <c r="L82" i="3"/>
  <c r="W133" i="3"/>
  <c r="R133" i="3"/>
  <c r="T45" i="3"/>
  <c r="J45" i="3"/>
  <c r="AC45" i="3"/>
  <c r="X88" i="3"/>
  <c r="O88" i="3"/>
  <c r="X166" i="3"/>
  <c r="S166" i="3"/>
  <c r="X82" i="3"/>
  <c r="Z82" i="3"/>
  <c r="P82" i="3"/>
  <c r="I151" i="3"/>
  <c r="Q133" i="3"/>
  <c r="O133" i="3"/>
  <c r="I167" i="3"/>
  <c r="AB45" i="3"/>
  <c r="AA45" i="3"/>
  <c r="I45" i="3"/>
  <c r="R45" i="3"/>
  <c r="Z45" i="3"/>
  <c r="O55" i="3"/>
  <c r="M88" i="3"/>
  <c r="AC88" i="3"/>
  <c r="W93" i="3"/>
  <c r="J93" i="3"/>
  <c r="U37" i="3"/>
  <c r="AB5" i="3"/>
  <c r="T17" i="2" s="1"/>
  <c r="T25" i="2" s="1"/>
  <c r="R7" i="3"/>
  <c r="J19" i="2" s="1"/>
  <c r="J20" i="4" s="1"/>
  <c r="Z20" i="4" s="1"/>
  <c r="L112" i="3"/>
  <c r="U176" i="3"/>
  <c r="V37" i="3"/>
  <c r="AC60" i="3"/>
  <c r="R5" i="3"/>
  <c r="J17" i="2" s="1"/>
  <c r="O7" i="3"/>
  <c r="G19" i="2" s="1"/>
  <c r="G27" i="2" s="1"/>
  <c r="X112" i="3"/>
  <c r="I176" i="3"/>
  <c r="Q37" i="3"/>
  <c r="V60" i="3"/>
  <c r="M7" i="3"/>
  <c r="E19" i="2" s="1"/>
  <c r="E27" i="2" s="1"/>
  <c r="U112" i="3"/>
  <c r="J112" i="3"/>
  <c r="AB176" i="3"/>
  <c r="W176" i="3"/>
  <c r="K37" i="3"/>
  <c r="T60" i="3"/>
  <c r="K60" i="3"/>
  <c r="T8" i="3"/>
  <c r="L20" i="2" s="1"/>
  <c r="L28" i="2" s="1"/>
  <c r="V127" i="3"/>
  <c r="U156" i="3"/>
  <c r="N127" i="3"/>
  <c r="U16" i="3"/>
  <c r="M46" i="2" s="1"/>
  <c r="M55" i="2" s="1"/>
  <c r="Z40" i="3"/>
  <c r="AC8" i="3"/>
  <c r="U20" i="2" s="1"/>
  <c r="U28" i="2" s="1"/>
  <c r="X40" i="3"/>
  <c r="J156" i="3"/>
  <c r="J97" i="3"/>
  <c r="Y166" i="3"/>
  <c r="U166" i="3"/>
  <c r="V166" i="3"/>
  <c r="L166" i="3"/>
  <c r="I166" i="3"/>
  <c r="AA82" i="3"/>
  <c r="W82" i="3"/>
  <c r="Q82" i="3"/>
  <c r="N82" i="3"/>
  <c r="I82" i="3"/>
  <c r="S82" i="3"/>
  <c r="J151" i="3"/>
  <c r="S151" i="3"/>
  <c r="S133" i="3"/>
  <c r="K133" i="3"/>
  <c r="AC133" i="3"/>
  <c r="I133" i="3"/>
  <c r="P133" i="3"/>
  <c r="W167" i="3"/>
  <c r="U55" i="3"/>
  <c r="R55" i="3"/>
  <c r="Y88" i="3"/>
  <c r="AA88" i="3"/>
  <c r="R88" i="3"/>
  <c r="K88" i="3"/>
  <c r="L88" i="3"/>
  <c r="X93" i="3"/>
  <c r="AC93" i="3"/>
  <c r="M166" i="3"/>
  <c r="AA166" i="3"/>
  <c r="Q166" i="3"/>
  <c r="W166" i="3"/>
  <c r="AB82" i="3"/>
  <c r="T82" i="3"/>
  <c r="K82" i="3"/>
  <c r="O82" i="3"/>
  <c r="P151" i="3"/>
  <c r="AA133" i="3"/>
  <c r="V133" i="3"/>
  <c r="X133" i="3"/>
  <c r="Z133" i="3"/>
  <c r="AA167" i="3"/>
  <c r="K167" i="3"/>
  <c r="AC55" i="3"/>
  <c r="AB88" i="3"/>
  <c r="T88" i="3"/>
  <c r="I88" i="3"/>
  <c r="Q88" i="3"/>
  <c r="N88" i="3"/>
  <c r="AB93" i="3"/>
  <c r="P93" i="3"/>
  <c r="M93" i="3"/>
  <c r="AA8" i="3"/>
  <c r="S20" i="2" s="1"/>
  <c r="S28" i="2" s="1"/>
  <c r="W8" i="3"/>
  <c r="O20" i="2" s="1"/>
  <c r="O28" i="2" s="1"/>
  <c r="AC171" i="3"/>
  <c r="P139" i="3"/>
  <c r="S156" i="3"/>
  <c r="V156" i="3"/>
  <c r="Z97" i="3"/>
  <c r="P118" i="3"/>
  <c r="N40" i="3"/>
  <c r="L139" i="3"/>
  <c r="AC156" i="3"/>
  <c r="K65" i="3"/>
  <c r="W7" i="3"/>
  <c r="O19" i="2" s="1"/>
  <c r="O27" i="2" s="1"/>
  <c r="N7" i="3"/>
  <c r="F19" i="2" s="1"/>
  <c r="F20" i="4" s="1"/>
  <c r="V20" i="4" s="1"/>
  <c r="AB112" i="3"/>
  <c r="R112" i="3"/>
  <c r="Z112" i="3"/>
  <c r="N176" i="3"/>
  <c r="Y176" i="3"/>
  <c r="AA176" i="3"/>
  <c r="AB37" i="3"/>
  <c r="N37" i="3"/>
  <c r="X60" i="3"/>
  <c r="I60" i="3"/>
  <c r="P60" i="3"/>
  <c r="Z60" i="3"/>
  <c r="Y5" i="3"/>
  <c r="Q17" i="2" s="1"/>
  <c r="Q25" i="2" s="1"/>
  <c r="K7" i="3"/>
  <c r="C19" i="2" s="1"/>
  <c r="C20" i="4" s="1"/>
  <c r="S20" i="4" s="1"/>
  <c r="T7" i="3"/>
  <c r="L19" i="2" s="1"/>
  <c r="L20" i="4" s="1"/>
  <c r="AB20" i="4" s="1"/>
  <c r="U7" i="3"/>
  <c r="M19" i="2" s="1"/>
  <c r="M27" i="2" s="1"/>
  <c r="AA7" i="3"/>
  <c r="S19" i="2" s="1"/>
  <c r="S27" i="2" s="1"/>
  <c r="Z7" i="3"/>
  <c r="R19" i="2" s="1"/>
  <c r="R27" i="2" s="1"/>
  <c r="AA112" i="3"/>
  <c r="S112" i="3"/>
  <c r="P112" i="3"/>
  <c r="V112" i="3"/>
  <c r="N112" i="3"/>
  <c r="T112" i="3"/>
  <c r="AC176" i="3"/>
  <c r="T176" i="3"/>
  <c r="R176" i="3"/>
  <c r="P176" i="3"/>
  <c r="Q176" i="3"/>
  <c r="S37" i="3"/>
  <c r="T37" i="3"/>
  <c r="R37" i="3"/>
  <c r="I37" i="3"/>
  <c r="O37" i="3"/>
  <c r="Y60" i="3"/>
  <c r="AA60" i="3"/>
  <c r="N60" i="3"/>
  <c r="J60" i="3"/>
  <c r="L60" i="3"/>
  <c r="R60" i="3"/>
  <c r="P5" i="3"/>
  <c r="H17" i="2" s="1"/>
  <c r="X7" i="3"/>
  <c r="P19" i="2" s="1"/>
  <c r="P27" i="2" s="1"/>
  <c r="Y7" i="3"/>
  <c r="Q19" i="2" s="1"/>
  <c r="Q27" i="2" s="1"/>
  <c r="AC7" i="3"/>
  <c r="U19" i="2" s="1"/>
  <c r="U27" i="2" s="1"/>
  <c r="W112" i="3"/>
  <c r="M112" i="3"/>
  <c r="M176" i="3"/>
  <c r="Z176" i="3"/>
  <c r="Y71" i="3"/>
  <c r="X37" i="3"/>
  <c r="L37" i="3"/>
  <c r="Z37" i="3"/>
  <c r="W60" i="3"/>
  <c r="S5" i="3"/>
  <c r="K17" i="2" s="1"/>
  <c r="R12" i="3"/>
  <c r="J42" i="2" s="1"/>
  <c r="J51" i="2" s="1"/>
  <c r="P7" i="3"/>
  <c r="H19" i="2" s="1"/>
  <c r="H20" i="4" s="1"/>
  <c r="X20" i="4" s="1"/>
  <c r="Q7" i="3"/>
  <c r="I19" i="2" s="1"/>
  <c r="I27" i="2" s="1"/>
  <c r="S7" i="3"/>
  <c r="K19" i="2" s="1"/>
  <c r="K20" i="4" s="1"/>
  <c r="AA20" i="4" s="1"/>
  <c r="V7" i="3"/>
  <c r="N19" i="2" s="1"/>
  <c r="N27" i="2" s="1"/>
  <c r="Y112" i="3"/>
  <c r="K112" i="3"/>
  <c r="Q112" i="3"/>
  <c r="AC112" i="3"/>
  <c r="L176" i="3"/>
  <c r="X176" i="3"/>
  <c r="O176" i="3"/>
  <c r="J176" i="3"/>
  <c r="K176" i="3"/>
  <c r="W37" i="3"/>
  <c r="Y37" i="3"/>
  <c r="P37" i="3"/>
  <c r="M37" i="3"/>
  <c r="L99" i="3"/>
  <c r="AB60" i="3"/>
  <c r="U60" i="3"/>
  <c r="Q60" i="3"/>
  <c r="M60" i="3"/>
  <c r="O60" i="3"/>
  <c r="J26" i="4"/>
  <c r="Z26" i="4" s="1"/>
  <c r="N26" i="4"/>
  <c r="AD26" i="4" s="1"/>
  <c r="N12" i="3"/>
  <c r="F42" i="2" s="1"/>
  <c r="I171" i="3"/>
  <c r="AC65" i="3"/>
  <c r="L12" i="3"/>
  <c r="D42" i="2" s="1"/>
  <c r="D51" i="2" s="1"/>
  <c r="J12" i="3"/>
  <c r="B42" i="2" s="1"/>
  <c r="M16" i="3"/>
  <c r="E46" i="2" s="1"/>
  <c r="Z8" i="3"/>
  <c r="R20" i="2" s="1"/>
  <c r="R28" i="2" s="1"/>
  <c r="M118" i="3"/>
  <c r="P40" i="3"/>
  <c r="AA139" i="3"/>
  <c r="O139" i="3"/>
  <c r="W156" i="3"/>
  <c r="T156" i="3"/>
  <c r="Z156" i="3"/>
  <c r="X127" i="3"/>
  <c r="O97" i="3"/>
  <c r="W65" i="3"/>
  <c r="I65" i="3"/>
  <c r="P76" i="3"/>
  <c r="J50" i="3"/>
  <c r="C30" i="4"/>
  <c r="S30" i="4" s="1"/>
  <c r="Y65" i="3"/>
  <c r="L50" i="3"/>
  <c r="Q12" i="3"/>
  <c r="I42" i="2" s="1"/>
  <c r="P8" i="3"/>
  <c r="H20" i="2" s="1"/>
  <c r="H28" i="2" s="1"/>
  <c r="W118" i="3"/>
  <c r="X118" i="3"/>
  <c r="Q40" i="3"/>
  <c r="Y139" i="3"/>
  <c r="AC139" i="3"/>
  <c r="L156" i="3"/>
  <c r="N156" i="3"/>
  <c r="K156" i="3"/>
  <c r="AB127" i="3"/>
  <c r="Z127" i="3"/>
  <c r="L97" i="3"/>
  <c r="U97" i="3"/>
  <c r="P65" i="3"/>
  <c r="R164" i="3"/>
  <c r="T107" i="3"/>
  <c r="K50" i="3"/>
  <c r="AC12" i="3"/>
  <c r="U42" i="2" s="1"/>
  <c r="U51" i="2" s="1"/>
  <c r="U12" i="3"/>
  <c r="M42" i="2" s="1"/>
  <c r="X12" i="3"/>
  <c r="P42" i="2" s="1"/>
  <c r="P51" i="2" s="1"/>
  <c r="C33" i="2"/>
  <c r="AB171" i="3"/>
  <c r="AB71" i="3"/>
  <c r="Q71" i="3"/>
  <c r="N99" i="3"/>
  <c r="W76" i="3"/>
  <c r="K76" i="3"/>
  <c r="Y183" i="3"/>
  <c r="AB183" i="3"/>
  <c r="Y164" i="3"/>
  <c r="U107" i="3"/>
  <c r="Z107" i="3"/>
  <c r="P107" i="3"/>
  <c r="J107" i="3"/>
  <c r="Q16" i="3"/>
  <c r="I46" i="2" s="1"/>
  <c r="I55" i="2" s="1"/>
  <c r="C55" i="2"/>
  <c r="W12" i="3"/>
  <c r="O42" i="2" s="1"/>
  <c r="T12" i="3"/>
  <c r="L42" i="2" s="1"/>
  <c r="Y12" i="3"/>
  <c r="Q42" i="2" s="1"/>
  <c r="Q51" i="2" s="1"/>
  <c r="AB12" i="3"/>
  <c r="T42" i="2" s="1"/>
  <c r="T51" i="2" s="1"/>
  <c r="S12" i="3"/>
  <c r="K42" i="2" s="1"/>
  <c r="K51" i="2" s="1"/>
  <c r="S8" i="3"/>
  <c r="K20" i="2" s="1"/>
  <c r="K21" i="4" s="1"/>
  <c r="AA21" i="4" s="1"/>
  <c r="J16" i="3"/>
  <c r="B46" i="2" s="1"/>
  <c r="R8" i="3"/>
  <c r="J20" i="2" s="1"/>
  <c r="J28" i="2" s="1"/>
  <c r="AC16" i="3"/>
  <c r="U46" i="2" s="1"/>
  <c r="U55" i="2" s="1"/>
  <c r="W171" i="3"/>
  <c r="S118" i="3"/>
  <c r="J118" i="3"/>
  <c r="V118" i="3"/>
  <c r="K139" i="3"/>
  <c r="I139" i="3"/>
  <c r="AA156" i="3"/>
  <c r="I156" i="3"/>
  <c r="X156" i="3"/>
  <c r="Y156" i="3"/>
  <c r="R156" i="3"/>
  <c r="P71" i="3"/>
  <c r="X65" i="3"/>
  <c r="Q65" i="3"/>
  <c r="Y99" i="3"/>
  <c r="J76" i="3"/>
  <c r="AB50" i="3"/>
  <c r="N183" i="3"/>
  <c r="Q164" i="3"/>
  <c r="AC164" i="3"/>
  <c r="M107" i="3"/>
  <c r="Y16" i="3"/>
  <c r="Q46" i="2" s="1"/>
  <c r="Q55" i="2" s="1"/>
  <c r="Z12" i="3"/>
  <c r="R42" i="2" s="1"/>
  <c r="R51" i="2" s="1"/>
  <c r="P12" i="3"/>
  <c r="H42" i="2" s="1"/>
  <c r="H51" i="2" s="1"/>
  <c r="M12" i="3"/>
  <c r="E42" i="2" s="1"/>
  <c r="AA12" i="3"/>
  <c r="S42" i="2" s="1"/>
  <c r="S51" i="2" s="1"/>
  <c r="O12" i="3"/>
  <c r="G42" i="2" s="1"/>
  <c r="K12" i="3"/>
  <c r="C42" i="2" s="1"/>
  <c r="C51" i="2" s="1"/>
  <c r="AB8" i="3"/>
  <c r="T20" i="2" s="1"/>
  <c r="T28" i="2" s="1"/>
  <c r="O16" i="3"/>
  <c r="G46" i="2" s="1"/>
  <c r="X16" i="3"/>
  <c r="P46" i="2" s="1"/>
  <c r="P55" i="2" s="1"/>
  <c r="N16" i="3"/>
  <c r="F46" i="2" s="1"/>
  <c r="V171" i="3"/>
  <c r="U118" i="3"/>
  <c r="I118" i="3"/>
  <c r="L118" i="3"/>
  <c r="U139" i="3"/>
  <c r="Q139" i="3"/>
  <c r="T139" i="3"/>
  <c r="Q156" i="3"/>
  <c r="M156" i="3"/>
  <c r="AB156" i="3"/>
  <c r="O156" i="3"/>
  <c r="Z71" i="3"/>
  <c r="T65" i="3"/>
  <c r="L65" i="3"/>
  <c r="AA99" i="3"/>
  <c r="M99" i="3"/>
  <c r="I76" i="3"/>
  <c r="X50" i="3"/>
  <c r="Q183" i="3"/>
  <c r="AA164" i="3"/>
  <c r="L107" i="3"/>
  <c r="S16" i="3"/>
  <c r="K46" i="2" s="1"/>
  <c r="K55" i="2" s="1"/>
  <c r="U5" i="3"/>
  <c r="M17" i="2" s="1"/>
  <c r="Q5" i="3"/>
  <c r="I17" i="2" s="1"/>
  <c r="L5" i="3"/>
  <c r="AC5" i="3"/>
  <c r="U17" i="2" s="1"/>
  <c r="U25" i="2" s="1"/>
  <c r="M5" i="3"/>
  <c r="E17" i="2" s="1"/>
  <c r="K5" i="3"/>
  <c r="C17" i="2" s="1"/>
  <c r="AA5" i="3"/>
  <c r="V5" i="3"/>
  <c r="N17" i="2" s="1"/>
  <c r="X5" i="3"/>
  <c r="P17" i="2" s="1"/>
  <c r="P25" i="2" s="1"/>
  <c r="O5" i="3"/>
  <c r="G17" i="2" s="1"/>
  <c r="Z5" i="3"/>
  <c r="R17" i="2" s="1"/>
  <c r="R25" i="2" s="1"/>
  <c r="W5" i="3"/>
  <c r="O17" i="2" s="1"/>
  <c r="N5" i="3"/>
  <c r="F17" i="2" s="1"/>
  <c r="T5" i="3"/>
  <c r="L17" i="2" s="1"/>
  <c r="M171" i="3"/>
  <c r="AA171" i="3"/>
  <c r="L171" i="3"/>
  <c r="X71" i="3"/>
  <c r="N71" i="3"/>
  <c r="I71" i="3"/>
  <c r="W99" i="3"/>
  <c r="AC99" i="3"/>
  <c r="Z99" i="3"/>
  <c r="AB76" i="3"/>
  <c r="N76" i="3"/>
  <c r="AB164" i="3"/>
  <c r="V183" i="3"/>
  <c r="R183" i="3"/>
  <c r="P164" i="3"/>
  <c r="J164" i="3"/>
  <c r="W164" i="3"/>
  <c r="S107" i="3"/>
  <c r="K107" i="3"/>
  <c r="L8" i="3"/>
  <c r="D20" i="2" s="1"/>
  <c r="D28" i="2" s="1"/>
  <c r="K8" i="3"/>
  <c r="C20" i="2" s="1"/>
  <c r="C21" i="4" s="1"/>
  <c r="S21" i="4" s="1"/>
  <c r="AA16" i="3"/>
  <c r="S46" i="2" s="1"/>
  <c r="S55" i="2" s="1"/>
  <c r="V8" i="3"/>
  <c r="N20" i="2" s="1"/>
  <c r="N21" i="4" s="1"/>
  <c r="AD21" i="4" s="1"/>
  <c r="U8" i="3"/>
  <c r="M20" i="2" s="1"/>
  <c r="M28" i="2" s="1"/>
  <c r="B38" i="2"/>
  <c r="H10" i="3" s="1"/>
  <c r="H11" i="3" s="1"/>
  <c r="C38" i="2" s="1"/>
  <c r="P16" i="3"/>
  <c r="H46" i="2" s="1"/>
  <c r="L16" i="3"/>
  <c r="D46" i="2" s="1"/>
  <c r="X8" i="3"/>
  <c r="P20" i="2" s="1"/>
  <c r="P28" i="2" s="1"/>
  <c r="R171" i="3"/>
  <c r="P171" i="3"/>
  <c r="K171" i="3"/>
  <c r="T171" i="3"/>
  <c r="Y171" i="3"/>
  <c r="Y118" i="3"/>
  <c r="AA118" i="3"/>
  <c r="Z118" i="3"/>
  <c r="K118" i="3"/>
  <c r="N118" i="3"/>
  <c r="W139" i="3"/>
  <c r="X139" i="3"/>
  <c r="V139" i="3"/>
  <c r="M139" i="3"/>
  <c r="J139" i="3"/>
  <c r="U71" i="3"/>
  <c r="T71" i="3"/>
  <c r="AC71" i="3"/>
  <c r="O71" i="3"/>
  <c r="M71" i="3"/>
  <c r="S71" i="3"/>
  <c r="AA65" i="3"/>
  <c r="AB65" i="3"/>
  <c r="O65" i="3"/>
  <c r="V65" i="3"/>
  <c r="M65" i="3"/>
  <c r="S65" i="3"/>
  <c r="AB99" i="3"/>
  <c r="J99" i="3"/>
  <c r="O99" i="3"/>
  <c r="R99" i="3"/>
  <c r="Q99" i="3"/>
  <c r="T76" i="3"/>
  <c r="U76" i="3"/>
  <c r="Q76" i="3"/>
  <c r="R76" i="3"/>
  <c r="AC76" i="3"/>
  <c r="L164" i="3"/>
  <c r="U50" i="3"/>
  <c r="Z183" i="3"/>
  <c r="J183" i="3"/>
  <c r="AA183" i="3"/>
  <c r="L183" i="3"/>
  <c r="AC183" i="3"/>
  <c r="U164" i="3"/>
  <c r="V164" i="3"/>
  <c r="O164" i="3"/>
  <c r="T164" i="3"/>
  <c r="Y107" i="3"/>
  <c r="AA107" i="3"/>
  <c r="AC50" i="3"/>
  <c r="N50" i="3"/>
  <c r="X164" i="3"/>
  <c r="Q107" i="3"/>
  <c r="AC107" i="3"/>
  <c r="P50" i="3"/>
  <c r="O107" i="3"/>
  <c r="Z16" i="3"/>
  <c r="R46" i="2" s="1"/>
  <c r="R55" i="2" s="1"/>
  <c r="Z171" i="3"/>
  <c r="Q171" i="3"/>
  <c r="U171" i="3"/>
  <c r="W71" i="3"/>
  <c r="L71" i="3"/>
  <c r="X99" i="3"/>
  <c r="V99" i="3"/>
  <c r="T99" i="3"/>
  <c r="X76" i="3"/>
  <c r="M76" i="3"/>
  <c r="O76" i="3"/>
  <c r="I183" i="3"/>
  <c r="T183" i="3"/>
  <c r="S183" i="3"/>
  <c r="N164" i="3"/>
  <c r="V107" i="3"/>
  <c r="J8" i="3"/>
  <c r="B20" i="2" s="1"/>
  <c r="V16" i="3"/>
  <c r="N46" i="2" s="1"/>
  <c r="T16" i="3"/>
  <c r="L46" i="2" s="1"/>
  <c r="N8" i="3"/>
  <c r="F20" i="2" s="1"/>
  <c r="F28" i="2" s="1"/>
  <c r="M8" i="3"/>
  <c r="E20" i="2" s="1"/>
  <c r="E28" i="2" s="1"/>
  <c r="AB16" i="3"/>
  <c r="T46" i="2" s="1"/>
  <c r="T55" i="2" s="1"/>
  <c r="Q8" i="3"/>
  <c r="I20" i="2" s="1"/>
  <c r="I28" i="2" s="1"/>
  <c r="O8" i="3"/>
  <c r="G20" i="2" s="1"/>
  <c r="G21" i="4" s="1"/>
  <c r="W21" i="4" s="1"/>
  <c r="Y8" i="3"/>
  <c r="Q20" i="2" s="1"/>
  <c r="Q28" i="2" s="1"/>
  <c r="E11" i="3"/>
  <c r="L14" i="3" s="1"/>
  <c r="D44" i="2" s="1"/>
  <c r="O171" i="3"/>
  <c r="J171" i="3"/>
  <c r="S171" i="3"/>
  <c r="X171" i="3"/>
  <c r="AB118" i="3"/>
  <c r="T118" i="3"/>
  <c r="O118" i="3"/>
  <c r="R118" i="3"/>
  <c r="S139" i="3"/>
  <c r="AB139" i="3"/>
  <c r="R139" i="3"/>
  <c r="Z139" i="3"/>
  <c r="AA71" i="3"/>
  <c r="J71" i="3"/>
  <c r="K71" i="3"/>
  <c r="R71" i="3"/>
  <c r="U65" i="3"/>
  <c r="J65" i="3"/>
  <c r="R65" i="3"/>
  <c r="Z65" i="3"/>
  <c r="U99" i="3"/>
  <c r="S99" i="3"/>
  <c r="K99" i="3"/>
  <c r="P99" i="3"/>
  <c r="AA76" i="3"/>
  <c r="Y76" i="3"/>
  <c r="L76" i="3"/>
  <c r="V76" i="3"/>
  <c r="Z76" i="3"/>
  <c r="AA50" i="3"/>
  <c r="Y50" i="3"/>
  <c r="O183" i="3"/>
  <c r="K183" i="3"/>
  <c r="W183" i="3"/>
  <c r="M183" i="3"/>
  <c r="M164" i="3"/>
  <c r="I164" i="3"/>
  <c r="S164" i="3"/>
  <c r="K164" i="3"/>
  <c r="AB107" i="3"/>
  <c r="W107" i="3"/>
  <c r="I50" i="3"/>
  <c r="O50" i="3"/>
  <c r="P183" i="3"/>
  <c r="N107" i="3"/>
  <c r="I107" i="3"/>
  <c r="Q50" i="3"/>
  <c r="X107" i="3"/>
  <c r="W16" i="3"/>
  <c r="O46" i="2" s="1"/>
  <c r="O30" i="4" s="1"/>
  <c r="K6" i="3"/>
  <c r="C18" i="2" s="1"/>
  <c r="M6" i="3"/>
  <c r="E18" i="2" s="1"/>
  <c r="W6" i="3"/>
  <c r="O18" i="2" s="1"/>
  <c r="J6" i="3"/>
  <c r="Q6" i="3"/>
  <c r="I18" i="2" s="1"/>
  <c r="X6" i="3"/>
  <c r="P18" i="2" s="1"/>
  <c r="P26" i="2" s="1"/>
  <c r="AC6" i="3"/>
  <c r="U18" i="2" s="1"/>
  <c r="U26" i="2" s="1"/>
  <c r="O6" i="3"/>
  <c r="G18" i="2" s="1"/>
  <c r="Z6" i="3"/>
  <c r="R18" i="2" s="1"/>
  <c r="R26" i="2" s="1"/>
  <c r="U6" i="3"/>
  <c r="M18" i="2" s="1"/>
  <c r="L6" i="3"/>
  <c r="D18" i="2" s="1"/>
  <c r="N6" i="3"/>
  <c r="F18" i="2" s="1"/>
  <c r="AA6" i="3"/>
  <c r="S18" i="2" s="1"/>
  <c r="S26" i="2" s="1"/>
  <c r="R6" i="3"/>
  <c r="J18" i="2" s="1"/>
  <c r="AB6" i="3"/>
  <c r="T18" i="2" s="1"/>
  <c r="T26" i="2" s="1"/>
  <c r="T6" i="3"/>
  <c r="L18" i="2" s="1"/>
  <c r="Y6" i="3"/>
  <c r="Q18" i="2" s="1"/>
  <c r="Q26" i="2" s="1"/>
  <c r="S6" i="3"/>
  <c r="K18" i="2" s="1"/>
  <c r="V6" i="3"/>
  <c r="N18" i="2" s="1"/>
  <c r="P6" i="3"/>
  <c r="H18" i="2" s="1"/>
  <c r="Y40" i="3"/>
  <c r="U40" i="3"/>
  <c r="T40" i="3"/>
  <c r="O40" i="3"/>
  <c r="AC40" i="3"/>
  <c r="AA151" i="3"/>
  <c r="AC151" i="3"/>
  <c r="O151" i="3"/>
  <c r="R151" i="3"/>
  <c r="Q151" i="3"/>
  <c r="S127" i="3"/>
  <c r="AA127" i="3"/>
  <c r="M127" i="3"/>
  <c r="J127" i="3"/>
  <c r="K127" i="3"/>
  <c r="V167" i="3"/>
  <c r="U167" i="3"/>
  <c r="T167" i="3"/>
  <c r="S167" i="3"/>
  <c r="R167" i="3"/>
  <c r="Y55" i="3"/>
  <c r="T55" i="3"/>
  <c r="Q55" i="3"/>
  <c r="N55" i="3"/>
  <c r="Z55" i="3"/>
  <c r="S55" i="3"/>
  <c r="T97" i="3"/>
  <c r="S97" i="3"/>
  <c r="N97" i="3"/>
  <c r="I97" i="3"/>
  <c r="Y97" i="3"/>
  <c r="L40" i="3"/>
  <c r="M40" i="3"/>
  <c r="I40" i="3"/>
  <c r="AB40" i="3"/>
  <c r="W40" i="3"/>
  <c r="U151" i="3"/>
  <c r="V151" i="3"/>
  <c r="L151" i="3"/>
  <c r="M151" i="3"/>
  <c r="T151" i="3"/>
  <c r="U127" i="3"/>
  <c r="W127" i="3"/>
  <c r="AC127" i="3"/>
  <c r="O127" i="3"/>
  <c r="R127" i="3"/>
  <c r="T127" i="3"/>
  <c r="O167" i="3"/>
  <c r="J167" i="3"/>
  <c r="N167" i="3"/>
  <c r="X167" i="3"/>
  <c r="AC167" i="3"/>
  <c r="AB55" i="3"/>
  <c r="AA55" i="3"/>
  <c r="I55" i="3"/>
  <c r="J55" i="3"/>
  <c r="P55" i="3"/>
  <c r="X97" i="3"/>
  <c r="K97" i="3"/>
  <c r="AA97" i="3"/>
  <c r="V97" i="3"/>
  <c r="Q97" i="3"/>
  <c r="R40" i="3"/>
  <c r="V40" i="3"/>
  <c r="K40" i="3"/>
  <c r="AA40" i="3"/>
  <c r="S40" i="3"/>
  <c r="W151" i="3"/>
  <c r="N151" i="3"/>
  <c r="X151" i="3"/>
  <c r="Z151" i="3"/>
  <c r="Y127" i="3"/>
  <c r="L127" i="3"/>
  <c r="I127" i="3"/>
  <c r="P127" i="3"/>
  <c r="AB167" i="3"/>
  <c r="Z167" i="3"/>
  <c r="P167" i="3"/>
  <c r="Y167" i="3"/>
  <c r="W55" i="3"/>
  <c r="X55" i="3"/>
  <c r="M55" i="3"/>
  <c r="V55" i="3"/>
  <c r="P97" i="3"/>
  <c r="AB97" i="3"/>
  <c r="W97" i="3"/>
  <c r="R97" i="3"/>
  <c r="M97" i="3"/>
  <c r="U93" i="3"/>
  <c r="Y93" i="3"/>
  <c r="W50" i="3"/>
  <c r="T50" i="3"/>
  <c r="R50" i="3"/>
  <c r="R93" i="3"/>
  <c r="V93" i="3"/>
  <c r="N93" i="3"/>
  <c r="Z93" i="3"/>
  <c r="V50" i="3"/>
  <c r="S50" i="3"/>
  <c r="Z50" i="3"/>
  <c r="V184" i="3"/>
  <c r="T184" i="3"/>
  <c r="W184" i="3"/>
  <c r="K184" i="3"/>
  <c r="Q184" i="3"/>
  <c r="R184" i="3"/>
  <c r="P184" i="3"/>
  <c r="O184" i="3"/>
  <c r="AC184" i="3"/>
  <c r="I184" i="3"/>
  <c r="N184" i="3"/>
  <c r="L184" i="3"/>
  <c r="AB184" i="3"/>
  <c r="U184" i="3"/>
  <c r="AA184" i="3"/>
  <c r="J184" i="3"/>
  <c r="Z184" i="3"/>
  <c r="X184" i="3"/>
  <c r="M184" i="3"/>
  <c r="S184" i="3"/>
  <c r="Y184" i="3"/>
  <c r="T78" i="3"/>
  <c r="W78" i="3"/>
  <c r="O78" i="3"/>
  <c r="N78" i="3"/>
  <c r="R78" i="3"/>
  <c r="K78" i="3"/>
  <c r="S78" i="3"/>
  <c r="Y78" i="3"/>
  <c r="Z78" i="3"/>
  <c r="V78" i="3"/>
  <c r="J78" i="3"/>
  <c r="AB78" i="3"/>
  <c r="U78" i="3"/>
  <c r="M78" i="3"/>
  <c r="L78" i="3"/>
  <c r="P78" i="3"/>
  <c r="X78" i="3"/>
  <c r="AA78" i="3"/>
  <c r="I78" i="3"/>
  <c r="AC78" i="3"/>
  <c r="Q78" i="3"/>
  <c r="Y134" i="3"/>
  <c r="T134" i="3"/>
  <c r="Z134" i="3"/>
  <c r="X134" i="3"/>
  <c r="V134" i="3"/>
  <c r="U134" i="3"/>
  <c r="AA134" i="3"/>
  <c r="K134" i="3"/>
  <c r="J134" i="3"/>
  <c r="M134" i="3"/>
  <c r="L134" i="3"/>
  <c r="W134" i="3"/>
  <c r="Q134" i="3"/>
  <c r="P134" i="3"/>
  <c r="I134" i="3"/>
  <c r="AC134" i="3"/>
  <c r="S134" i="3"/>
  <c r="AB134" i="3"/>
  <c r="R134" i="3"/>
  <c r="O134" i="3"/>
  <c r="N134" i="3"/>
  <c r="AC128" i="3"/>
  <c r="W128" i="3"/>
  <c r="Q128" i="3"/>
  <c r="S128" i="3"/>
  <c r="V128" i="3"/>
  <c r="K128" i="3"/>
  <c r="X128" i="3"/>
  <c r="R128" i="3"/>
  <c r="U128" i="3"/>
  <c r="L128" i="3"/>
  <c r="M128" i="3"/>
  <c r="Y128" i="3"/>
  <c r="I128" i="3"/>
  <c r="O128" i="3"/>
  <c r="N128" i="3"/>
  <c r="AB128" i="3"/>
  <c r="Z128" i="3"/>
  <c r="J128" i="3"/>
  <c r="P128" i="3"/>
  <c r="AA128" i="3"/>
  <c r="T128" i="3"/>
  <c r="U117" i="3"/>
  <c r="AA117" i="3"/>
  <c r="M117" i="3"/>
  <c r="T117" i="3"/>
  <c r="Z117" i="3"/>
  <c r="L117" i="3"/>
  <c r="W117" i="3"/>
  <c r="I117" i="3"/>
  <c r="AC117" i="3"/>
  <c r="K117" i="3"/>
  <c r="J117" i="3"/>
  <c r="S117" i="3"/>
  <c r="O117" i="3"/>
  <c r="N117" i="3"/>
  <c r="Q117" i="3"/>
  <c r="P117" i="3"/>
  <c r="Y117" i="3"/>
  <c r="X117" i="3"/>
  <c r="V117" i="3"/>
  <c r="AB117" i="3"/>
  <c r="R117" i="3"/>
  <c r="S56" i="3"/>
  <c r="N56" i="3"/>
  <c r="V56" i="3"/>
  <c r="T56" i="3"/>
  <c r="Z56" i="3"/>
  <c r="Y56" i="3"/>
  <c r="X56" i="3"/>
  <c r="M56" i="3"/>
  <c r="L56" i="3"/>
  <c r="K56" i="3"/>
  <c r="U56" i="3"/>
  <c r="AA56" i="3"/>
  <c r="I56" i="3"/>
  <c r="Q56" i="3"/>
  <c r="P56" i="3"/>
  <c r="J56" i="3"/>
  <c r="W56" i="3"/>
  <c r="AC56" i="3"/>
  <c r="R56" i="3"/>
  <c r="AB56" i="3"/>
  <c r="O56" i="3"/>
  <c r="Q152" i="3"/>
  <c r="Y152" i="3"/>
  <c r="T152" i="3"/>
  <c r="K152" i="3"/>
  <c r="N152" i="3"/>
  <c r="Z152" i="3"/>
  <c r="U152" i="3"/>
  <c r="L152" i="3"/>
  <c r="O152" i="3"/>
  <c r="AA152" i="3"/>
  <c r="V152" i="3"/>
  <c r="M152" i="3"/>
  <c r="P152" i="3"/>
  <c r="AB152" i="3"/>
  <c r="W152" i="3"/>
  <c r="J152" i="3"/>
  <c r="I152" i="3"/>
  <c r="R152" i="3"/>
  <c r="X152" i="3"/>
  <c r="S152" i="3"/>
  <c r="AC152" i="3"/>
  <c r="L154" i="3"/>
  <c r="K154" i="3"/>
  <c r="R154" i="3"/>
  <c r="W154" i="3"/>
  <c r="I154" i="3"/>
  <c r="Q154" i="3"/>
  <c r="P154" i="3"/>
  <c r="AB154" i="3"/>
  <c r="S154" i="3"/>
  <c r="AC154" i="3"/>
  <c r="Z154" i="3"/>
  <c r="Y154" i="3"/>
  <c r="X154" i="3"/>
  <c r="J154" i="3"/>
  <c r="N154" i="3"/>
  <c r="V154" i="3"/>
  <c r="U154" i="3"/>
  <c r="T154" i="3"/>
  <c r="O154" i="3"/>
  <c r="AA154" i="3"/>
  <c r="M154" i="3"/>
  <c r="T185" i="3"/>
  <c r="S185" i="3"/>
  <c r="I185" i="3"/>
  <c r="Z185" i="3"/>
  <c r="U185" i="3"/>
  <c r="J185" i="3"/>
  <c r="P185" i="3"/>
  <c r="O185" i="3"/>
  <c r="V185" i="3"/>
  <c r="AC185" i="3"/>
  <c r="K185" i="3"/>
  <c r="AB185" i="3"/>
  <c r="AA185" i="3"/>
  <c r="L185" i="3"/>
  <c r="N185" i="3"/>
  <c r="Q185" i="3"/>
  <c r="X185" i="3"/>
  <c r="W185" i="3"/>
  <c r="M185" i="3"/>
  <c r="R185" i="3"/>
  <c r="Y185" i="3"/>
  <c r="X95" i="3"/>
  <c r="AA95" i="3"/>
  <c r="Z95" i="3"/>
  <c r="Y95" i="3"/>
  <c r="P95" i="3"/>
  <c r="T95" i="3"/>
  <c r="W95" i="3"/>
  <c r="L95" i="3"/>
  <c r="K95" i="3"/>
  <c r="V95" i="3"/>
  <c r="J95" i="3"/>
  <c r="S95" i="3"/>
  <c r="O95" i="3"/>
  <c r="AC95" i="3"/>
  <c r="Q95" i="3"/>
  <c r="M95" i="3"/>
  <c r="AB95" i="3"/>
  <c r="U95" i="3"/>
  <c r="N95" i="3"/>
  <c r="R95" i="3"/>
  <c r="I95" i="3"/>
  <c r="Y75" i="3"/>
  <c r="T75" i="3"/>
  <c r="I75" i="3"/>
  <c r="L75" i="3"/>
  <c r="V75" i="3"/>
  <c r="U75" i="3"/>
  <c r="AA75" i="3"/>
  <c r="Q75" i="3"/>
  <c r="P75" i="3"/>
  <c r="K75" i="3"/>
  <c r="J75" i="3"/>
  <c r="W75" i="3"/>
  <c r="R75" i="3"/>
  <c r="Z75" i="3"/>
  <c r="O75" i="3"/>
  <c r="AC75" i="3"/>
  <c r="S75" i="3"/>
  <c r="AB75" i="3"/>
  <c r="M75" i="3"/>
  <c r="X75" i="3"/>
  <c r="N75" i="3"/>
  <c r="S108" i="3"/>
  <c r="AB108" i="3"/>
  <c r="Z108" i="3"/>
  <c r="X108" i="3"/>
  <c r="N108" i="3"/>
  <c r="Y108" i="3"/>
  <c r="T108" i="3"/>
  <c r="M108" i="3"/>
  <c r="L108" i="3"/>
  <c r="V108" i="3"/>
  <c r="U108" i="3"/>
  <c r="AA108" i="3"/>
  <c r="I108" i="3"/>
  <c r="P108" i="3"/>
  <c r="K108" i="3"/>
  <c r="J108" i="3"/>
  <c r="W108" i="3"/>
  <c r="Q108" i="3"/>
  <c r="R108" i="3"/>
  <c r="O108" i="3"/>
  <c r="AC108" i="3"/>
  <c r="J168" i="3"/>
  <c r="I168" i="3"/>
  <c r="X168" i="3"/>
  <c r="W168" i="3"/>
  <c r="AC168" i="3"/>
  <c r="Q168" i="3"/>
  <c r="P168" i="3"/>
  <c r="T168" i="3"/>
  <c r="S168" i="3"/>
  <c r="N168" i="3"/>
  <c r="Z168" i="3"/>
  <c r="Y168" i="3"/>
  <c r="L168" i="3"/>
  <c r="O168" i="3"/>
  <c r="R168" i="3"/>
  <c r="V168" i="3"/>
  <c r="U168" i="3"/>
  <c r="M168" i="3"/>
  <c r="AB168" i="3"/>
  <c r="AA168" i="3"/>
  <c r="K168" i="3"/>
  <c r="R162" i="3"/>
  <c r="Q162" i="3"/>
  <c r="L162" i="3"/>
  <c r="K162" i="3"/>
  <c r="AA162" i="3"/>
  <c r="N162" i="3"/>
  <c r="M162" i="3"/>
  <c r="I162" i="3"/>
  <c r="X162" i="3"/>
  <c r="W162" i="3"/>
  <c r="J162" i="3"/>
  <c r="Z162" i="3"/>
  <c r="Y162" i="3"/>
  <c r="T162" i="3"/>
  <c r="S162" i="3"/>
  <c r="AC162" i="3"/>
  <c r="V162" i="3"/>
  <c r="U162" i="3"/>
  <c r="P162" i="3"/>
  <c r="O162" i="3"/>
  <c r="AB162" i="3"/>
  <c r="T83" i="3"/>
  <c r="W83" i="3"/>
  <c r="I83" i="3"/>
  <c r="AC83" i="3"/>
  <c r="Q83" i="3"/>
  <c r="J83" i="3"/>
  <c r="O83" i="3"/>
  <c r="P83" i="3"/>
  <c r="V83" i="3"/>
  <c r="R83" i="3"/>
  <c r="Y83" i="3"/>
  <c r="Z83" i="3"/>
  <c r="X83" i="3"/>
  <c r="AA83" i="3"/>
  <c r="M83" i="3"/>
  <c r="L83" i="3"/>
  <c r="K83" i="3"/>
  <c r="S83" i="3"/>
  <c r="N83" i="3"/>
  <c r="AB83" i="3"/>
  <c r="U83" i="3"/>
  <c r="S161" i="3"/>
  <c r="M161" i="3"/>
  <c r="V161" i="3"/>
  <c r="P161" i="3"/>
  <c r="W161" i="3"/>
  <c r="Y161" i="3"/>
  <c r="K161" i="3"/>
  <c r="T161" i="3"/>
  <c r="N161" i="3"/>
  <c r="AB161" i="3"/>
  <c r="Z161" i="3"/>
  <c r="I161" i="3"/>
  <c r="Q161" i="3"/>
  <c r="L161" i="3"/>
  <c r="X161" i="3"/>
  <c r="AC161" i="3"/>
  <c r="U161" i="3"/>
  <c r="O161" i="3"/>
  <c r="J161" i="3"/>
  <c r="R161" i="3"/>
  <c r="AA161" i="3"/>
  <c r="T87" i="3"/>
  <c r="W87" i="3"/>
  <c r="J87" i="3"/>
  <c r="I87" i="3"/>
  <c r="Q87" i="3"/>
  <c r="K87" i="3"/>
  <c r="S87" i="3"/>
  <c r="O87" i="3"/>
  <c r="AC87" i="3"/>
  <c r="R87" i="3"/>
  <c r="P87" i="3"/>
  <c r="AB87" i="3"/>
  <c r="U87" i="3"/>
  <c r="N87" i="3"/>
  <c r="Y87" i="3"/>
  <c r="V87" i="3"/>
  <c r="X87" i="3"/>
  <c r="AA87" i="3"/>
  <c r="Z87" i="3"/>
  <c r="M87" i="3"/>
  <c r="L87" i="3"/>
  <c r="AB125" i="3"/>
  <c r="X125" i="3"/>
  <c r="T125" i="3"/>
  <c r="P125" i="3"/>
  <c r="L125" i="3"/>
  <c r="AC125" i="3"/>
  <c r="Y125" i="3"/>
  <c r="U125" i="3"/>
  <c r="Q125" i="3"/>
  <c r="M125" i="3"/>
  <c r="I125" i="3"/>
  <c r="Z125" i="3"/>
  <c r="V125" i="3"/>
  <c r="R125" i="3"/>
  <c r="N125" i="3"/>
  <c r="J125" i="3"/>
  <c r="AA125" i="3"/>
  <c r="W125" i="3"/>
  <c r="S125" i="3"/>
  <c r="O125" i="3"/>
  <c r="K125" i="3"/>
  <c r="Y86" i="3"/>
  <c r="T86" i="3"/>
  <c r="M86" i="3"/>
  <c r="L86" i="3"/>
  <c r="K86" i="3"/>
  <c r="U86" i="3"/>
  <c r="AA86" i="3"/>
  <c r="I86" i="3"/>
  <c r="AC86" i="3"/>
  <c r="Q86" i="3"/>
  <c r="J86" i="3"/>
  <c r="W86" i="3"/>
  <c r="O86" i="3"/>
  <c r="N86" i="3"/>
  <c r="R86" i="3"/>
  <c r="P86" i="3"/>
  <c r="S86" i="3"/>
  <c r="AB86" i="3"/>
  <c r="Z86" i="3"/>
  <c r="X86" i="3"/>
  <c r="V86" i="3"/>
  <c r="S101" i="3"/>
  <c r="U101" i="3"/>
  <c r="W101" i="3"/>
  <c r="L101" i="3"/>
  <c r="P101" i="3"/>
  <c r="AC101" i="3"/>
  <c r="N101" i="3"/>
  <c r="AA101" i="3"/>
  <c r="K101" i="3"/>
  <c r="J101" i="3"/>
  <c r="T101" i="3"/>
  <c r="Y101" i="3"/>
  <c r="O101" i="3"/>
  <c r="Z101" i="3"/>
  <c r="M101" i="3"/>
  <c r="X101" i="3"/>
  <c r="AB101" i="3"/>
  <c r="I101" i="3"/>
  <c r="Q101" i="3"/>
  <c r="R101" i="3"/>
  <c r="V101" i="3"/>
  <c r="W122" i="3"/>
  <c r="Q122" i="3"/>
  <c r="R122" i="3"/>
  <c r="O122" i="3"/>
  <c r="AC122" i="3"/>
  <c r="S122" i="3"/>
  <c r="AB122" i="3"/>
  <c r="Z122" i="3"/>
  <c r="X122" i="3"/>
  <c r="N122" i="3"/>
  <c r="Y122" i="3"/>
  <c r="T122" i="3"/>
  <c r="M122" i="3"/>
  <c r="L122" i="3"/>
  <c r="V122" i="3"/>
  <c r="U122" i="3"/>
  <c r="AA122" i="3"/>
  <c r="I122" i="3"/>
  <c r="P122" i="3"/>
  <c r="K122" i="3"/>
  <c r="J122" i="3"/>
  <c r="U90" i="3"/>
  <c r="T90" i="3"/>
  <c r="P90" i="3"/>
  <c r="R90" i="3"/>
  <c r="AC90" i="3"/>
  <c r="Z90" i="3"/>
  <c r="X90" i="3"/>
  <c r="N90" i="3"/>
  <c r="L90" i="3"/>
  <c r="Y90" i="3"/>
  <c r="Q90" i="3"/>
  <c r="J90" i="3"/>
  <c r="V90" i="3"/>
  <c r="M90" i="3"/>
  <c r="S90" i="3"/>
  <c r="W90" i="3"/>
  <c r="AA90" i="3"/>
  <c r="AB90" i="3"/>
  <c r="K90" i="3"/>
  <c r="O90" i="3"/>
  <c r="I90" i="3"/>
  <c r="AA123" i="3"/>
  <c r="W123" i="3"/>
  <c r="U123" i="3"/>
  <c r="X123" i="3"/>
  <c r="N123" i="3"/>
  <c r="T123" i="3"/>
  <c r="P123" i="3"/>
  <c r="Y123" i="3"/>
  <c r="V123" i="3"/>
  <c r="J123" i="3"/>
  <c r="Z123" i="3"/>
  <c r="L123" i="3"/>
  <c r="S123" i="3"/>
  <c r="O123" i="3"/>
  <c r="K123" i="3"/>
  <c r="Q123" i="3"/>
  <c r="M123" i="3"/>
  <c r="R123" i="3"/>
  <c r="AC123" i="3"/>
  <c r="AB123" i="3"/>
  <c r="I123" i="3"/>
  <c r="X169" i="3"/>
  <c r="I169" i="3"/>
  <c r="W169" i="3"/>
  <c r="L169" i="3"/>
  <c r="U169" i="3"/>
  <c r="T169" i="3"/>
  <c r="O169" i="3"/>
  <c r="S169" i="3"/>
  <c r="AC169" i="3"/>
  <c r="Q169" i="3"/>
  <c r="J169" i="3"/>
  <c r="R169" i="3"/>
  <c r="AB169" i="3"/>
  <c r="M169" i="3"/>
  <c r="AA169" i="3"/>
  <c r="V169" i="3"/>
  <c r="Y169" i="3"/>
  <c r="K169" i="3"/>
  <c r="P169" i="3"/>
  <c r="Z169" i="3"/>
  <c r="N169" i="3"/>
  <c r="S91" i="3"/>
  <c r="O91" i="3"/>
  <c r="AC91" i="3"/>
  <c r="R91" i="3"/>
  <c r="P91" i="3"/>
  <c r="AB91" i="3"/>
  <c r="Y91" i="3"/>
  <c r="N91" i="3"/>
  <c r="U91" i="3"/>
  <c r="Z91" i="3"/>
  <c r="X91" i="3"/>
  <c r="AA91" i="3"/>
  <c r="V91" i="3"/>
  <c r="M91" i="3"/>
  <c r="L91" i="3"/>
  <c r="T91" i="3"/>
  <c r="W91" i="3"/>
  <c r="J91" i="3"/>
  <c r="I91" i="3"/>
  <c r="Q91" i="3"/>
  <c r="K91" i="3"/>
  <c r="Q38" i="3"/>
  <c r="I38" i="3"/>
  <c r="Y38" i="3"/>
  <c r="L38" i="3"/>
  <c r="T38" i="3"/>
  <c r="M38" i="3"/>
  <c r="AA38" i="3"/>
  <c r="S38" i="3"/>
  <c r="AC38" i="3"/>
  <c r="R38" i="3"/>
  <c r="J38" i="3"/>
  <c r="W38" i="3"/>
  <c r="O38" i="3"/>
  <c r="Z38" i="3"/>
  <c r="P38" i="3"/>
  <c r="X38" i="3"/>
  <c r="U38" i="3"/>
  <c r="K38" i="3"/>
  <c r="AB38" i="3"/>
  <c r="N38" i="3"/>
  <c r="V38" i="3"/>
  <c r="S132" i="3"/>
  <c r="O132" i="3"/>
  <c r="AC132" i="3"/>
  <c r="AB132" i="3"/>
  <c r="R132" i="3"/>
  <c r="Y132" i="3"/>
  <c r="X132" i="3"/>
  <c r="N132" i="3"/>
  <c r="T132" i="3"/>
  <c r="Z132" i="3"/>
  <c r="U132" i="3"/>
  <c r="AA132" i="3"/>
  <c r="V132" i="3"/>
  <c r="M132" i="3"/>
  <c r="L132" i="3"/>
  <c r="K132" i="3"/>
  <c r="W132" i="3"/>
  <c r="J132" i="3"/>
  <c r="I132" i="3"/>
  <c r="Q132" i="3"/>
  <c r="P132" i="3"/>
  <c r="U67" i="3"/>
  <c r="AA67" i="3"/>
  <c r="L67" i="3"/>
  <c r="K67" i="3"/>
  <c r="J67" i="3"/>
  <c r="M67" i="3"/>
  <c r="W67" i="3"/>
  <c r="AC67" i="3"/>
  <c r="Q67" i="3"/>
  <c r="P67" i="3"/>
  <c r="I67" i="3"/>
  <c r="S67" i="3"/>
  <c r="N67" i="3"/>
  <c r="R67" i="3"/>
  <c r="AB67" i="3"/>
  <c r="O67" i="3"/>
  <c r="Y67" i="3"/>
  <c r="X67" i="3"/>
  <c r="V67" i="3"/>
  <c r="T67" i="3"/>
  <c r="Z67" i="3"/>
  <c r="V165" i="3"/>
  <c r="K165" i="3"/>
  <c r="J165" i="3"/>
  <c r="P165" i="3"/>
  <c r="W165" i="3"/>
  <c r="L165" i="3"/>
  <c r="AC165" i="3"/>
  <c r="Q165" i="3"/>
  <c r="AB165" i="3"/>
  <c r="S165" i="3"/>
  <c r="O165" i="3"/>
  <c r="N165" i="3"/>
  <c r="Y165" i="3"/>
  <c r="X165" i="3"/>
  <c r="M165" i="3"/>
  <c r="R165" i="3"/>
  <c r="Z165" i="3"/>
  <c r="U165" i="3"/>
  <c r="T165" i="3"/>
  <c r="I165" i="3"/>
  <c r="AA165" i="3"/>
  <c r="Z179" i="3"/>
  <c r="Y179" i="3"/>
  <c r="X179" i="3"/>
  <c r="S179" i="3"/>
  <c r="N179" i="3"/>
  <c r="V179" i="3"/>
  <c r="U179" i="3"/>
  <c r="T179" i="3"/>
  <c r="J179" i="3"/>
  <c r="R179" i="3"/>
  <c r="M179" i="3"/>
  <c r="L179" i="3"/>
  <c r="K179" i="3"/>
  <c r="O179" i="3"/>
  <c r="AA179" i="3"/>
  <c r="I179" i="3"/>
  <c r="Q179" i="3"/>
  <c r="P179" i="3"/>
  <c r="AB179" i="3"/>
  <c r="W179" i="3"/>
  <c r="AC179" i="3"/>
  <c r="S146" i="3"/>
  <c r="AC146" i="3"/>
  <c r="Q146" i="3"/>
  <c r="R146" i="3"/>
  <c r="O146" i="3"/>
  <c r="W146" i="3"/>
  <c r="N146" i="3"/>
  <c r="AB146" i="3"/>
  <c r="Z146" i="3"/>
  <c r="X146" i="3"/>
  <c r="AA146" i="3"/>
  <c r="V146" i="3"/>
  <c r="T146" i="3"/>
  <c r="M146" i="3"/>
  <c r="L146" i="3"/>
  <c r="U146" i="3"/>
  <c r="Y146" i="3"/>
  <c r="J146" i="3"/>
  <c r="I146" i="3"/>
  <c r="P146" i="3"/>
  <c r="K146" i="3"/>
  <c r="L93" i="3"/>
  <c r="O93" i="3"/>
  <c r="K93" i="3"/>
  <c r="U163" i="3"/>
  <c r="T163" i="3"/>
  <c r="S163" i="3"/>
  <c r="R163" i="3"/>
  <c r="AC163" i="3"/>
  <c r="Q163" i="3"/>
  <c r="P163" i="3"/>
  <c r="O163" i="3"/>
  <c r="N163" i="3"/>
  <c r="Z163" i="3"/>
  <c r="M163" i="3"/>
  <c r="L163" i="3"/>
  <c r="K163" i="3"/>
  <c r="J163" i="3"/>
  <c r="AB163" i="3"/>
  <c r="I163" i="3"/>
  <c r="Y163" i="3"/>
  <c r="X163" i="3"/>
  <c r="W163" i="3"/>
  <c r="V163" i="3"/>
  <c r="AA163" i="3"/>
  <c r="Z175" i="3"/>
  <c r="Y175" i="3"/>
  <c r="T175" i="3"/>
  <c r="AC175" i="3"/>
  <c r="AA175" i="3"/>
  <c r="V175" i="3"/>
  <c r="U175" i="3"/>
  <c r="K175" i="3"/>
  <c r="N175" i="3"/>
  <c r="W175" i="3"/>
  <c r="M175" i="3"/>
  <c r="L175" i="3"/>
  <c r="O175" i="3"/>
  <c r="AB175" i="3"/>
  <c r="S175" i="3"/>
  <c r="I175" i="3"/>
  <c r="P175" i="3"/>
  <c r="R175" i="3"/>
  <c r="X175" i="3"/>
  <c r="J175" i="3"/>
  <c r="Q175" i="3"/>
  <c r="AB115" i="3"/>
  <c r="J115" i="3"/>
  <c r="N115" i="3"/>
  <c r="Y115" i="3"/>
  <c r="R115" i="3"/>
  <c r="X115" i="3"/>
  <c r="O115" i="3"/>
  <c r="Z115" i="3"/>
  <c r="S115" i="3"/>
  <c r="W115" i="3"/>
  <c r="T115" i="3"/>
  <c r="AA115" i="3"/>
  <c r="U115" i="3"/>
  <c r="M115" i="3"/>
  <c r="L115" i="3"/>
  <c r="K115" i="3"/>
  <c r="V115" i="3"/>
  <c r="I115" i="3"/>
  <c r="AC115" i="3"/>
  <c r="Q115" i="3"/>
  <c r="P115" i="3"/>
  <c r="Y41" i="3"/>
  <c r="X41" i="3"/>
  <c r="V41" i="3"/>
  <c r="M41" i="3"/>
  <c r="L41" i="3"/>
  <c r="U41" i="3"/>
  <c r="AA41" i="3"/>
  <c r="J41" i="3"/>
  <c r="I41" i="3"/>
  <c r="P41" i="3"/>
  <c r="K41" i="3"/>
  <c r="W41" i="3"/>
  <c r="AC41" i="3"/>
  <c r="Q41" i="3"/>
  <c r="AB41" i="3"/>
  <c r="O41" i="3"/>
  <c r="S41" i="3"/>
  <c r="N41" i="3"/>
  <c r="R41" i="3"/>
  <c r="T41" i="3"/>
  <c r="Z41" i="3"/>
  <c r="S66" i="3"/>
  <c r="Y66" i="3"/>
  <c r="Z66" i="3"/>
  <c r="N66" i="3"/>
  <c r="K66" i="3"/>
  <c r="U66" i="3"/>
  <c r="V66" i="3"/>
  <c r="AA66" i="3"/>
  <c r="R66" i="3"/>
  <c r="I66" i="3"/>
  <c r="T66" i="3"/>
  <c r="W66" i="3"/>
  <c r="P66" i="3"/>
  <c r="O66" i="3"/>
  <c r="AC66" i="3"/>
  <c r="M66" i="3"/>
  <c r="AB66" i="3"/>
  <c r="L66" i="3"/>
  <c r="Q66" i="3"/>
  <c r="X66" i="3"/>
  <c r="J66" i="3"/>
  <c r="Y92" i="3"/>
  <c r="T92" i="3"/>
  <c r="Z92" i="3"/>
  <c r="M92" i="3"/>
  <c r="L92" i="3"/>
  <c r="U92" i="3"/>
  <c r="AA92" i="3"/>
  <c r="J92" i="3"/>
  <c r="I92" i="3"/>
  <c r="Q92" i="3"/>
  <c r="K92" i="3"/>
  <c r="W92" i="3"/>
  <c r="O92" i="3"/>
  <c r="AC92" i="3"/>
  <c r="R92" i="3"/>
  <c r="P92" i="3"/>
  <c r="S92" i="3"/>
  <c r="AB92" i="3"/>
  <c r="N92" i="3"/>
  <c r="X92" i="3"/>
  <c r="V92" i="3"/>
  <c r="U35" i="3"/>
  <c r="K35" i="3"/>
  <c r="Z35" i="3"/>
  <c r="X35" i="3"/>
  <c r="L35" i="3"/>
  <c r="AA35" i="3"/>
  <c r="Q35" i="3"/>
  <c r="P35" i="3"/>
  <c r="M35" i="3"/>
  <c r="AC35" i="3"/>
  <c r="W35" i="3"/>
  <c r="V35" i="3"/>
  <c r="AB35" i="3"/>
  <c r="I35" i="3"/>
  <c r="N35" i="3"/>
  <c r="S35" i="3"/>
  <c r="Y35" i="3"/>
  <c r="T35" i="3"/>
  <c r="O35" i="3"/>
  <c r="R35" i="3"/>
  <c r="J35" i="3"/>
  <c r="W129" i="3"/>
  <c r="Q129" i="3"/>
  <c r="P129" i="3"/>
  <c r="J129" i="3"/>
  <c r="I129" i="3"/>
  <c r="S129" i="3"/>
  <c r="AB129" i="3"/>
  <c r="R129" i="3"/>
  <c r="O129" i="3"/>
  <c r="AC129" i="3"/>
  <c r="Y129" i="3"/>
  <c r="T129" i="3"/>
  <c r="Z129" i="3"/>
  <c r="X129" i="3"/>
  <c r="N129" i="3"/>
  <c r="U129" i="3"/>
  <c r="AA129" i="3"/>
  <c r="L129" i="3"/>
  <c r="K129" i="3"/>
  <c r="V129" i="3"/>
  <c r="M129" i="3"/>
  <c r="U104" i="3"/>
  <c r="S104" i="3"/>
  <c r="AA104" i="3"/>
  <c r="L104" i="3"/>
  <c r="X104" i="3"/>
  <c r="V104" i="3"/>
  <c r="M104" i="3"/>
  <c r="Y104" i="3"/>
  <c r="Q104" i="3"/>
  <c r="K104" i="3"/>
  <c r="J104" i="3"/>
  <c r="I104" i="3"/>
  <c r="W104" i="3"/>
  <c r="AB104" i="3"/>
  <c r="P104" i="3"/>
  <c r="O104" i="3"/>
  <c r="AC104" i="3"/>
  <c r="T104" i="3"/>
  <c r="Z104" i="3"/>
  <c r="R104" i="3"/>
  <c r="N104" i="3"/>
  <c r="S136" i="3"/>
  <c r="X136" i="3"/>
  <c r="V136" i="3"/>
  <c r="I136" i="3"/>
  <c r="M136" i="3"/>
  <c r="W136" i="3"/>
  <c r="Y136" i="3"/>
  <c r="K136" i="3"/>
  <c r="J136" i="3"/>
  <c r="Q136" i="3"/>
  <c r="L136" i="3"/>
  <c r="U136" i="3"/>
  <c r="AA136" i="3"/>
  <c r="O136" i="3"/>
  <c r="AC136" i="3"/>
  <c r="AB136" i="3"/>
  <c r="P136" i="3"/>
  <c r="R136" i="3"/>
  <c r="N136" i="3"/>
  <c r="T136" i="3"/>
  <c r="Z136" i="3"/>
  <c r="U135" i="3"/>
  <c r="P135" i="3"/>
  <c r="K135" i="3"/>
  <c r="AA135" i="3"/>
  <c r="V135" i="3"/>
  <c r="Q135" i="3"/>
  <c r="L135" i="3"/>
  <c r="AB135" i="3"/>
  <c r="W135" i="3"/>
  <c r="R135" i="3"/>
  <c r="M135" i="3"/>
  <c r="AC135" i="3"/>
  <c r="X135" i="3"/>
  <c r="S135" i="3"/>
  <c r="N135" i="3"/>
  <c r="I2" i="3"/>
  <c r="I135" i="3"/>
  <c r="Y135" i="3"/>
  <c r="T135" i="3"/>
  <c r="O135" i="3"/>
  <c r="J135" i="3"/>
  <c r="Z135" i="3"/>
  <c r="W84" i="3"/>
  <c r="Q84" i="3"/>
  <c r="I84" i="3"/>
  <c r="O84" i="3"/>
  <c r="AC84" i="3"/>
  <c r="S84" i="3"/>
  <c r="R84" i="3"/>
  <c r="P84" i="3"/>
  <c r="AB84" i="3"/>
  <c r="N84" i="3"/>
  <c r="Y84" i="3"/>
  <c r="X84" i="3"/>
  <c r="V84" i="3"/>
  <c r="T84" i="3"/>
  <c r="Z84" i="3"/>
  <c r="U84" i="3"/>
  <c r="AA84" i="3"/>
  <c r="J84" i="3"/>
  <c r="M84" i="3"/>
  <c r="L84" i="3"/>
  <c r="K84" i="3"/>
  <c r="W116" i="3"/>
  <c r="AA116" i="3"/>
  <c r="L116" i="3"/>
  <c r="J116" i="3"/>
  <c r="V116" i="3"/>
  <c r="M116" i="3"/>
  <c r="U116" i="3"/>
  <c r="Y116" i="3"/>
  <c r="Q116" i="3"/>
  <c r="K116" i="3"/>
  <c r="O116" i="3"/>
  <c r="I116" i="3"/>
  <c r="AB116" i="3"/>
  <c r="P116" i="3"/>
  <c r="R116" i="3"/>
  <c r="AC116" i="3"/>
  <c r="S116" i="3"/>
  <c r="T116" i="3"/>
  <c r="Z116" i="3"/>
  <c r="X116" i="3"/>
  <c r="N116" i="3"/>
  <c r="S148" i="3"/>
  <c r="U148" i="3"/>
  <c r="Y148" i="3"/>
  <c r="X148" i="3"/>
  <c r="N148" i="3"/>
  <c r="T148" i="3"/>
  <c r="Z148" i="3"/>
  <c r="AA148" i="3"/>
  <c r="V148" i="3"/>
  <c r="I148" i="3"/>
  <c r="M148" i="3"/>
  <c r="K148" i="3"/>
  <c r="O148" i="3"/>
  <c r="J148" i="3"/>
  <c r="Q148" i="3"/>
  <c r="L148" i="3"/>
  <c r="W148" i="3"/>
  <c r="R148" i="3"/>
  <c r="AC148" i="3"/>
  <c r="AB148" i="3"/>
  <c r="P148" i="3"/>
  <c r="X102" i="3"/>
  <c r="AA102" i="3"/>
  <c r="I102" i="3"/>
  <c r="U102" i="3"/>
  <c r="Z102" i="3"/>
  <c r="T102" i="3"/>
  <c r="AC102" i="3"/>
  <c r="J102" i="3"/>
  <c r="O102" i="3"/>
  <c r="L102" i="3"/>
  <c r="K102" i="3"/>
  <c r="N102" i="3"/>
  <c r="AB102" i="3"/>
  <c r="Y102" i="3"/>
  <c r="V102" i="3"/>
  <c r="R102" i="3"/>
  <c r="P102" i="3"/>
  <c r="W102" i="3"/>
  <c r="M102" i="3"/>
  <c r="S102" i="3"/>
  <c r="Q102" i="3"/>
  <c r="AB182" i="3"/>
  <c r="X182" i="3"/>
  <c r="T182" i="3"/>
  <c r="P182" i="3"/>
  <c r="L182" i="3"/>
  <c r="AC182" i="3"/>
  <c r="Y182" i="3"/>
  <c r="U182" i="3"/>
  <c r="Q182" i="3"/>
  <c r="M182" i="3"/>
  <c r="I182" i="3"/>
  <c r="Z182" i="3"/>
  <c r="V182" i="3"/>
  <c r="R182" i="3"/>
  <c r="N182" i="3"/>
  <c r="J182" i="3"/>
  <c r="AA182" i="3"/>
  <c r="W182" i="3"/>
  <c r="S182" i="3"/>
  <c r="O182" i="3"/>
  <c r="K182" i="3"/>
  <c r="X106" i="3"/>
  <c r="AA106" i="3"/>
  <c r="M106" i="3"/>
  <c r="AC106" i="3"/>
  <c r="R106" i="3"/>
  <c r="T106" i="3"/>
  <c r="W106" i="3"/>
  <c r="I106" i="3"/>
  <c r="N106" i="3"/>
  <c r="V106" i="3"/>
  <c r="K106" i="3"/>
  <c r="S106" i="3"/>
  <c r="O106" i="3"/>
  <c r="Z106" i="3"/>
  <c r="Q106" i="3"/>
  <c r="J106" i="3"/>
  <c r="AB106" i="3"/>
  <c r="U106" i="3"/>
  <c r="L106" i="3"/>
  <c r="Y106" i="3"/>
  <c r="P106" i="3"/>
  <c r="X181" i="3"/>
  <c r="L181" i="3"/>
  <c r="N181" i="3"/>
  <c r="Q181" i="3"/>
  <c r="P181" i="3"/>
  <c r="T181" i="3"/>
  <c r="Z181" i="3"/>
  <c r="R181" i="3"/>
  <c r="U181" i="3"/>
  <c r="O181" i="3"/>
  <c r="W181" i="3"/>
  <c r="M181" i="3"/>
  <c r="AB181" i="3"/>
  <c r="S181" i="3"/>
  <c r="K181" i="3"/>
  <c r="J181" i="3"/>
  <c r="I181" i="3"/>
  <c r="AA181" i="3"/>
  <c r="Y181" i="3"/>
  <c r="AC181" i="3"/>
  <c r="V181" i="3"/>
  <c r="S64" i="3"/>
  <c r="AB64" i="3"/>
  <c r="O64" i="3"/>
  <c r="AC64" i="3"/>
  <c r="Q64" i="3"/>
  <c r="Y64" i="3"/>
  <c r="T64" i="3"/>
  <c r="Z64" i="3"/>
  <c r="N64" i="3"/>
  <c r="R64" i="3"/>
  <c r="U64" i="3"/>
  <c r="AA64" i="3"/>
  <c r="L64" i="3"/>
  <c r="X64" i="3"/>
  <c r="V64" i="3"/>
  <c r="M64" i="3"/>
  <c r="W64" i="3"/>
  <c r="P64" i="3"/>
  <c r="K64" i="3"/>
  <c r="J64" i="3"/>
  <c r="I64" i="3"/>
  <c r="R160" i="3"/>
  <c r="Y160" i="3"/>
  <c r="X160" i="3"/>
  <c r="I160" i="3"/>
  <c r="AA160" i="3"/>
  <c r="Z160" i="3"/>
  <c r="U160" i="3"/>
  <c r="T160" i="3"/>
  <c r="AC160" i="3"/>
  <c r="W160" i="3"/>
  <c r="V160" i="3"/>
  <c r="K160" i="3"/>
  <c r="J160" i="3"/>
  <c r="N160" i="3"/>
  <c r="S160" i="3"/>
  <c r="L160" i="3"/>
  <c r="P160" i="3"/>
  <c r="O160" i="3"/>
  <c r="AB160" i="3"/>
  <c r="M160" i="3"/>
  <c r="Q160" i="3"/>
  <c r="U94" i="3"/>
  <c r="AA94" i="3"/>
  <c r="K94" i="3"/>
  <c r="T94" i="3"/>
  <c r="M94" i="3"/>
  <c r="L94" i="3"/>
  <c r="W94" i="3"/>
  <c r="Q94" i="3"/>
  <c r="J94" i="3"/>
  <c r="I94" i="3"/>
  <c r="AC94" i="3"/>
  <c r="S94" i="3"/>
  <c r="R94" i="3"/>
  <c r="P94" i="3"/>
  <c r="O94" i="3"/>
  <c r="N94" i="3"/>
  <c r="Y94" i="3"/>
  <c r="X94" i="3"/>
  <c r="V94" i="3"/>
  <c r="AB94" i="3"/>
  <c r="Z94" i="3"/>
  <c r="U48" i="3"/>
  <c r="W48" i="3"/>
  <c r="AA48" i="3"/>
  <c r="T48" i="3"/>
  <c r="Z48" i="3"/>
  <c r="X48" i="3"/>
  <c r="V48" i="3"/>
  <c r="S48" i="3"/>
  <c r="L48" i="3"/>
  <c r="K48" i="3"/>
  <c r="J48" i="3"/>
  <c r="M48" i="3"/>
  <c r="Y48" i="3"/>
  <c r="P48" i="3"/>
  <c r="O48" i="3"/>
  <c r="AC48" i="3"/>
  <c r="I48" i="3"/>
  <c r="AB48" i="3"/>
  <c r="R48" i="3"/>
  <c r="N48" i="3"/>
  <c r="Q48" i="3"/>
  <c r="W73" i="3"/>
  <c r="X73" i="3"/>
  <c r="Q73" i="3"/>
  <c r="AB73" i="3"/>
  <c r="R73" i="3"/>
  <c r="U73" i="3"/>
  <c r="Y73" i="3"/>
  <c r="V73" i="3"/>
  <c r="T73" i="3"/>
  <c r="Z73" i="3"/>
  <c r="K73" i="3"/>
  <c r="AA73" i="3"/>
  <c r="S73" i="3"/>
  <c r="AC73" i="3"/>
  <c r="I73" i="3"/>
  <c r="M73" i="3"/>
  <c r="L73" i="3"/>
  <c r="N73" i="3"/>
  <c r="J73" i="3"/>
  <c r="P73" i="3"/>
  <c r="O73" i="3"/>
  <c r="AC34" i="3"/>
  <c r="S34" i="3"/>
  <c r="V34" i="3"/>
  <c r="U34" i="3"/>
  <c r="AA34" i="3"/>
  <c r="T34" i="3"/>
  <c r="O34" i="3"/>
  <c r="R34" i="3"/>
  <c r="Q34" i="3"/>
  <c r="W34" i="3"/>
  <c r="P34" i="3"/>
  <c r="K34" i="3"/>
  <c r="N34" i="3"/>
  <c r="M34" i="3"/>
  <c r="AB34" i="3"/>
  <c r="Y34" i="3"/>
  <c r="L34" i="3"/>
  <c r="H195" i="3"/>
  <c r="J34" i="3"/>
  <c r="I34" i="3"/>
  <c r="X34" i="3"/>
  <c r="Z34" i="3"/>
  <c r="T110" i="3"/>
  <c r="W110" i="3"/>
  <c r="M110" i="3"/>
  <c r="AC110" i="3"/>
  <c r="Q110" i="3"/>
  <c r="L110" i="3"/>
  <c r="S110" i="3"/>
  <c r="J110" i="3"/>
  <c r="N110" i="3"/>
  <c r="Z110" i="3"/>
  <c r="P110" i="3"/>
  <c r="AB110" i="3"/>
  <c r="K110" i="3"/>
  <c r="AA110" i="3"/>
  <c r="U110" i="3"/>
  <c r="R110" i="3"/>
  <c r="X110" i="3"/>
  <c r="O110" i="3"/>
  <c r="V110" i="3"/>
  <c r="I110" i="3"/>
  <c r="Y110" i="3"/>
  <c r="X39" i="3"/>
  <c r="AA39" i="3"/>
  <c r="Y39" i="3"/>
  <c r="O39" i="3"/>
  <c r="AC39" i="3"/>
  <c r="T39" i="3"/>
  <c r="W39" i="3"/>
  <c r="U39" i="3"/>
  <c r="M39" i="3"/>
  <c r="N39" i="3"/>
  <c r="J39" i="3"/>
  <c r="S39" i="3"/>
  <c r="Z39" i="3"/>
  <c r="I39" i="3"/>
  <c r="R39" i="3"/>
  <c r="Q39" i="3"/>
  <c r="AB39" i="3"/>
  <c r="V39" i="3"/>
  <c r="P39" i="3"/>
  <c r="L39" i="3"/>
  <c r="K39" i="3"/>
  <c r="W105" i="3"/>
  <c r="K105" i="3"/>
  <c r="J105" i="3"/>
  <c r="I105" i="3"/>
  <c r="P105" i="3"/>
  <c r="S105" i="3"/>
  <c r="O105" i="3"/>
  <c r="AC105" i="3"/>
  <c r="Q105" i="3"/>
  <c r="R105" i="3"/>
  <c r="Y105" i="3"/>
  <c r="X105" i="3"/>
  <c r="N105" i="3"/>
  <c r="AB105" i="3"/>
  <c r="Z105" i="3"/>
  <c r="U105" i="3"/>
  <c r="AA105" i="3"/>
  <c r="V105" i="3"/>
  <c r="T105" i="3"/>
  <c r="M105" i="3"/>
  <c r="L105" i="3"/>
  <c r="Y46" i="3"/>
  <c r="X46" i="3"/>
  <c r="U46" i="3"/>
  <c r="W46" i="3"/>
  <c r="S46" i="3"/>
  <c r="AA46" i="3"/>
  <c r="M46" i="3"/>
  <c r="L46" i="3"/>
  <c r="K46" i="3"/>
  <c r="I46" i="3"/>
  <c r="Q46" i="3"/>
  <c r="P46" i="3"/>
  <c r="J46" i="3"/>
  <c r="AC46" i="3"/>
  <c r="R46" i="3"/>
  <c r="AB46" i="3"/>
  <c r="O46" i="3"/>
  <c r="N46" i="3"/>
  <c r="V46" i="3"/>
  <c r="T46" i="3"/>
  <c r="Z46" i="3"/>
  <c r="Y142" i="3"/>
  <c r="T142" i="3"/>
  <c r="Z142" i="3"/>
  <c r="M142" i="3"/>
  <c r="V142" i="3"/>
  <c r="U142" i="3"/>
  <c r="AA142" i="3"/>
  <c r="J142" i="3"/>
  <c r="I142" i="3"/>
  <c r="L142" i="3"/>
  <c r="K142" i="3"/>
  <c r="W142" i="3"/>
  <c r="Q142" i="3"/>
  <c r="P142" i="3"/>
  <c r="O142" i="3"/>
  <c r="AC142" i="3"/>
  <c r="S142" i="3"/>
  <c r="AB142" i="3"/>
  <c r="R142" i="3"/>
  <c r="X142" i="3"/>
  <c r="N142" i="3"/>
  <c r="W130" i="3"/>
  <c r="Y130" i="3"/>
  <c r="AB130" i="3"/>
  <c r="O130" i="3"/>
  <c r="AC130" i="3"/>
  <c r="Q130" i="3"/>
  <c r="U130" i="3"/>
  <c r="AA130" i="3"/>
  <c r="T130" i="3"/>
  <c r="Z130" i="3"/>
  <c r="R130" i="3"/>
  <c r="V130" i="3"/>
  <c r="S130" i="3"/>
  <c r="K130" i="3"/>
  <c r="X130" i="3"/>
  <c r="I130" i="3"/>
  <c r="J130" i="3"/>
  <c r="P130" i="3"/>
  <c r="L130" i="3"/>
  <c r="M130" i="3"/>
  <c r="N130" i="3"/>
  <c r="R159" i="3"/>
  <c r="N159" i="3"/>
  <c r="L159" i="3"/>
  <c r="Q159" i="3"/>
  <c r="P159" i="3"/>
  <c r="Z159" i="3"/>
  <c r="Y159" i="3"/>
  <c r="M159" i="3"/>
  <c r="AB159" i="3"/>
  <c r="AA159" i="3"/>
  <c r="V159" i="3"/>
  <c r="U159" i="3"/>
  <c r="I159" i="3"/>
  <c r="X159" i="3"/>
  <c r="W159" i="3"/>
  <c r="J159" i="3"/>
  <c r="O159" i="3"/>
  <c r="AC159" i="3"/>
  <c r="T159" i="3"/>
  <c r="S159" i="3"/>
  <c r="K159" i="3"/>
  <c r="U98" i="3"/>
  <c r="AA98" i="3"/>
  <c r="I98" i="3"/>
  <c r="AC98" i="3"/>
  <c r="Q98" i="3"/>
  <c r="J98" i="3"/>
  <c r="W98" i="3"/>
  <c r="O98" i="3"/>
  <c r="N98" i="3"/>
  <c r="R98" i="3"/>
  <c r="P98" i="3"/>
  <c r="S98" i="3"/>
  <c r="AB98" i="3"/>
  <c r="Z98" i="3"/>
  <c r="X98" i="3"/>
  <c r="V98" i="3"/>
  <c r="Y98" i="3"/>
  <c r="T98" i="3"/>
  <c r="M98" i="3"/>
  <c r="L98" i="3"/>
  <c r="K98" i="3"/>
  <c r="S153" i="3"/>
  <c r="Q153" i="3"/>
  <c r="Z153" i="3"/>
  <c r="Y153" i="3"/>
  <c r="AB153" i="3"/>
  <c r="L153" i="3"/>
  <c r="R153" i="3"/>
  <c r="V153" i="3"/>
  <c r="U153" i="3"/>
  <c r="X153" i="3"/>
  <c r="J153" i="3"/>
  <c r="AA153" i="3"/>
  <c r="M153" i="3"/>
  <c r="K153" i="3"/>
  <c r="T153" i="3"/>
  <c r="AC153" i="3"/>
  <c r="W153" i="3"/>
  <c r="I153" i="3"/>
  <c r="P153" i="3"/>
  <c r="O153" i="3"/>
  <c r="N153" i="3"/>
  <c r="W124" i="3"/>
  <c r="K124" i="3"/>
  <c r="J124" i="3"/>
  <c r="I124" i="3"/>
  <c r="P124" i="3"/>
  <c r="S124" i="3"/>
  <c r="O124" i="3"/>
  <c r="AC124" i="3"/>
  <c r="Q124" i="3"/>
  <c r="R124" i="3"/>
  <c r="Y124" i="3"/>
  <c r="X124" i="3"/>
  <c r="N124" i="3"/>
  <c r="AB124" i="3"/>
  <c r="Z124" i="3"/>
  <c r="U124" i="3"/>
  <c r="AA124" i="3"/>
  <c r="V124" i="3"/>
  <c r="T124" i="3"/>
  <c r="M124" i="3"/>
  <c r="L124" i="3"/>
  <c r="Z121" i="3"/>
  <c r="V121" i="3"/>
  <c r="R121" i="3"/>
  <c r="N121" i="3"/>
  <c r="J121" i="3"/>
  <c r="S121" i="3"/>
  <c r="X121" i="3"/>
  <c r="P121" i="3"/>
  <c r="W121" i="3"/>
  <c r="T121" i="3"/>
  <c r="AC121" i="3"/>
  <c r="Y121" i="3"/>
  <c r="U121" i="3"/>
  <c r="Q121" i="3"/>
  <c r="M121" i="3"/>
  <c r="I121" i="3"/>
  <c r="AA121" i="3"/>
  <c r="O121" i="3"/>
  <c r="K121" i="3"/>
  <c r="AB121" i="3"/>
  <c r="L121" i="3"/>
  <c r="S69" i="3"/>
  <c r="AB69" i="3"/>
  <c r="O69" i="3"/>
  <c r="N69" i="3"/>
  <c r="R69" i="3"/>
  <c r="Y69" i="3"/>
  <c r="T69" i="3"/>
  <c r="Z69" i="3"/>
  <c r="X69" i="3"/>
  <c r="V69" i="3"/>
  <c r="U69" i="3"/>
  <c r="AA69" i="3"/>
  <c r="J69" i="3"/>
  <c r="M69" i="3"/>
  <c r="L69" i="3"/>
  <c r="K69" i="3"/>
  <c r="W69" i="3"/>
  <c r="P69" i="3"/>
  <c r="I69" i="3"/>
  <c r="AC69" i="3"/>
  <c r="Q69" i="3"/>
  <c r="P170" i="3"/>
  <c r="R170" i="3"/>
  <c r="T170" i="3"/>
  <c r="AC170" i="3"/>
  <c r="AA170" i="3"/>
  <c r="Z170" i="3"/>
  <c r="Y170" i="3"/>
  <c r="M170" i="3"/>
  <c r="N170" i="3"/>
  <c r="W170" i="3"/>
  <c r="V170" i="3"/>
  <c r="U170" i="3"/>
  <c r="I170" i="3"/>
  <c r="AB170" i="3"/>
  <c r="S170" i="3"/>
  <c r="K170" i="3"/>
  <c r="J170" i="3"/>
  <c r="O170" i="3"/>
  <c r="X170" i="3"/>
  <c r="L170" i="3"/>
  <c r="Q170" i="3"/>
  <c r="N103" i="3"/>
  <c r="L103" i="3"/>
  <c r="AA103" i="3"/>
  <c r="M103" i="3"/>
  <c r="U103" i="3"/>
  <c r="AC103" i="3"/>
  <c r="Y103" i="3"/>
  <c r="W103" i="3"/>
  <c r="J103" i="3"/>
  <c r="S103" i="3"/>
  <c r="X103" i="3"/>
  <c r="V103" i="3"/>
  <c r="T103" i="3"/>
  <c r="AB103" i="3"/>
  <c r="Q103" i="3"/>
  <c r="I103" i="3"/>
  <c r="R103" i="3"/>
  <c r="P103" i="3"/>
  <c r="K103" i="3"/>
  <c r="O103" i="3"/>
  <c r="Z103" i="3"/>
  <c r="U57" i="3"/>
  <c r="Y57" i="3"/>
  <c r="M57" i="3"/>
  <c r="L57" i="3"/>
  <c r="K57" i="3"/>
  <c r="I57" i="3"/>
  <c r="S57" i="3"/>
  <c r="W57" i="3"/>
  <c r="AA57" i="3"/>
  <c r="P57" i="3"/>
  <c r="O57" i="3"/>
  <c r="AC57" i="3"/>
  <c r="J57" i="3"/>
  <c r="AB57" i="3"/>
  <c r="R57" i="3"/>
  <c r="N57" i="3"/>
  <c r="Q57" i="3"/>
  <c r="T57" i="3"/>
  <c r="Z57" i="3"/>
  <c r="X57" i="3"/>
  <c r="V57" i="3"/>
  <c r="S85" i="3"/>
  <c r="X85" i="3"/>
  <c r="V85" i="3"/>
  <c r="M85" i="3"/>
  <c r="Q85" i="3"/>
  <c r="J85" i="3"/>
  <c r="I85" i="3"/>
  <c r="AB85" i="3"/>
  <c r="K85" i="3"/>
  <c r="U85" i="3"/>
  <c r="O85" i="3"/>
  <c r="AC85" i="3"/>
  <c r="T85" i="3"/>
  <c r="P85" i="3"/>
  <c r="W85" i="3"/>
  <c r="AA85" i="3"/>
  <c r="Y85" i="3"/>
  <c r="R85" i="3"/>
  <c r="N85" i="3"/>
  <c r="L85" i="3"/>
  <c r="Z85" i="3"/>
  <c r="X173" i="3"/>
  <c r="I173" i="3"/>
  <c r="AA173" i="3"/>
  <c r="V173" i="3"/>
  <c r="U173" i="3"/>
  <c r="T173" i="3"/>
  <c r="O173" i="3"/>
  <c r="W173" i="3"/>
  <c r="L173" i="3"/>
  <c r="K173" i="3"/>
  <c r="J173" i="3"/>
  <c r="R173" i="3"/>
  <c r="S173" i="3"/>
  <c r="AC173" i="3"/>
  <c r="Q173" i="3"/>
  <c r="P173" i="3"/>
  <c r="AB173" i="3"/>
  <c r="M173" i="3"/>
  <c r="N173" i="3"/>
  <c r="Z173" i="3"/>
  <c r="Y173" i="3"/>
  <c r="Z100" i="3"/>
  <c r="V100" i="3"/>
  <c r="R100" i="3"/>
  <c r="N100" i="3"/>
  <c r="J100" i="3"/>
  <c r="AA100" i="3"/>
  <c r="W100" i="3"/>
  <c r="S100" i="3"/>
  <c r="O100" i="3"/>
  <c r="K100" i="3"/>
  <c r="AB100" i="3"/>
  <c r="X100" i="3"/>
  <c r="T100" i="3"/>
  <c r="P100" i="3"/>
  <c r="L100" i="3"/>
  <c r="AC100" i="3"/>
  <c r="Y100" i="3"/>
  <c r="U100" i="3"/>
  <c r="Q100" i="3"/>
  <c r="M100" i="3"/>
  <c r="I100" i="3"/>
  <c r="U61" i="3"/>
  <c r="AA61" i="3"/>
  <c r="K61" i="3"/>
  <c r="J61" i="3"/>
  <c r="I61" i="3"/>
  <c r="L61" i="3"/>
  <c r="W61" i="3"/>
  <c r="AC61" i="3"/>
  <c r="Q61" i="3"/>
  <c r="P61" i="3"/>
  <c r="O61" i="3"/>
  <c r="S61" i="3"/>
  <c r="N61" i="3"/>
  <c r="R61" i="3"/>
  <c r="AB61" i="3"/>
  <c r="Z61" i="3"/>
  <c r="Y61" i="3"/>
  <c r="X61" i="3"/>
  <c r="V61" i="3"/>
  <c r="T61" i="3"/>
  <c r="M61" i="3"/>
  <c r="U68" i="3"/>
  <c r="W68" i="3"/>
  <c r="Z68" i="3"/>
  <c r="J68" i="3"/>
  <c r="V68" i="3"/>
  <c r="L68" i="3"/>
  <c r="Y68" i="3"/>
  <c r="P68" i="3"/>
  <c r="K68" i="3"/>
  <c r="AC68" i="3"/>
  <c r="M68" i="3"/>
  <c r="S68" i="3"/>
  <c r="AB68" i="3"/>
  <c r="O68" i="3"/>
  <c r="N68" i="3"/>
  <c r="I68" i="3"/>
  <c r="AA68" i="3"/>
  <c r="T68" i="3"/>
  <c r="R68" i="3"/>
  <c r="X68" i="3"/>
  <c r="Q68" i="3"/>
  <c r="AA96" i="3"/>
  <c r="X96" i="3"/>
  <c r="N96" i="3"/>
  <c r="L96" i="3"/>
  <c r="Z96" i="3"/>
  <c r="V96" i="3"/>
  <c r="M96" i="3"/>
  <c r="Q96" i="3"/>
  <c r="J96" i="3"/>
  <c r="Y96" i="3"/>
  <c r="W96" i="3"/>
  <c r="O96" i="3"/>
  <c r="I96" i="3"/>
  <c r="AB96" i="3"/>
  <c r="K96" i="3"/>
  <c r="U96" i="3"/>
  <c r="S96" i="3"/>
  <c r="R96" i="3"/>
  <c r="AC96" i="3"/>
  <c r="T96" i="3"/>
  <c r="P96" i="3"/>
  <c r="X141" i="3"/>
  <c r="I141" i="3"/>
  <c r="M141" i="3"/>
  <c r="L141" i="3"/>
  <c r="AC141" i="3"/>
  <c r="S141" i="3"/>
  <c r="N141" i="3"/>
  <c r="Q141" i="3"/>
  <c r="AB141" i="3"/>
  <c r="P141" i="3"/>
  <c r="Y141" i="3"/>
  <c r="V141" i="3"/>
  <c r="R141" i="3"/>
  <c r="W141" i="3"/>
  <c r="U141" i="3"/>
  <c r="T141" i="3"/>
  <c r="K141" i="3"/>
  <c r="J141" i="3"/>
  <c r="O141" i="3"/>
  <c r="Z141" i="3"/>
  <c r="AA141" i="3"/>
  <c r="X120" i="3"/>
  <c r="Z120" i="3"/>
  <c r="S120" i="3"/>
  <c r="Q120" i="3"/>
  <c r="R120" i="3"/>
  <c r="T120" i="3"/>
  <c r="U120" i="3"/>
  <c r="J120" i="3"/>
  <c r="W120" i="3"/>
  <c r="AA120" i="3"/>
  <c r="I120" i="3"/>
  <c r="AC120" i="3"/>
  <c r="K120" i="3"/>
  <c r="N120" i="3"/>
  <c r="V120" i="3"/>
  <c r="L120" i="3"/>
  <c r="AB120" i="3"/>
  <c r="O120" i="3"/>
  <c r="Y120" i="3"/>
  <c r="M120" i="3"/>
  <c r="P120" i="3"/>
  <c r="AB126" i="3"/>
  <c r="I126" i="3"/>
  <c r="O126" i="3"/>
  <c r="N126" i="3"/>
  <c r="R126" i="3"/>
  <c r="X126" i="3"/>
  <c r="P126" i="3"/>
  <c r="W126" i="3"/>
  <c r="AA126" i="3"/>
  <c r="Z126" i="3"/>
  <c r="T126" i="3"/>
  <c r="Y126" i="3"/>
  <c r="L126" i="3"/>
  <c r="V126" i="3"/>
  <c r="U126" i="3"/>
  <c r="J126" i="3"/>
  <c r="S126" i="3"/>
  <c r="M126" i="3"/>
  <c r="K126" i="3"/>
  <c r="AC126" i="3"/>
  <c r="Q126" i="3"/>
  <c r="AB54" i="3"/>
  <c r="V54" i="3"/>
  <c r="P54" i="3"/>
  <c r="N54" i="3"/>
  <c r="R54" i="3"/>
  <c r="X54" i="3"/>
  <c r="AA54" i="3"/>
  <c r="Y54" i="3"/>
  <c r="J54" i="3"/>
  <c r="M54" i="3"/>
  <c r="T54" i="3"/>
  <c r="W54" i="3"/>
  <c r="U54" i="3"/>
  <c r="O54" i="3"/>
  <c r="I54" i="3"/>
  <c r="L54" i="3"/>
  <c r="S54" i="3"/>
  <c r="Z54" i="3"/>
  <c r="K54" i="3"/>
  <c r="AC54" i="3"/>
  <c r="Q54" i="3"/>
  <c r="W44" i="3"/>
  <c r="P44" i="3"/>
  <c r="K44" i="3"/>
  <c r="J44" i="3"/>
  <c r="I44" i="3"/>
  <c r="S44" i="3"/>
  <c r="AB44" i="3"/>
  <c r="O44" i="3"/>
  <c r="AC44" i="3"/>
  <c r="Q44" i="3"/>
  <c r="Y44" i="3"/>
  <c r="T44" i="3"/>
  <c r="Z44" i="3"/>
  <c r="N44" i="3"/>
  <c r="R44" i="3"/>
  <c r="U44" i="3"/>
  <c r="AA44" i="3"/>
  <c r="L44" i="3"/>
  <c r="X44" i="3"/>
  <c r="V44" i="3"/>
  <c r="M44" i="3"/>
  <c r="W137" i="3"/>
  <c r="K137" i="3"/>
  <c r="J137" i="3"/>
  <c r="I137" i="3"/>
  <c r="P137" i="3"/>
  <c r="S137" i="3"/>
  <c r="O137" i="3"/>
  <c r="AC137" i="3"/>
  <c r="Q137" i="3"/>
  <c r="R137" i="3"/>
  <c r="Y137" i="3"/>
  <c r="X137" i="3"/>
  <c r="N137" i="3"/>
  <c r="AB137" i="3"/>
  <c r="Z137" i="3"/>
  <c r="U137" i="3"/>
  <c r="AA137" i="3"/>
  <c r="V137" i="3"/>
  <c r="T137" i="3"/>
  <c r="M137" i="3"/>
  <c r="L137" i="3"/>
  <c r="Y72" i="3"/>
  <c r="X72" i="3"/>
  <c r="K72" i="3"/>
  <c r="O72" i="3"/>
  <c r="AC72" i="3"/>
  <c r="U72" i="3"/>
  <c r="AA72" i="3"/>
  <c r="J72" i="3"/>
  <c r="N72" i="3"/>
  <c r="R72" i="3"/>
  <c r="Z72" i="3"/>
  <c r="W72" i="3"/>
  <c r="I72" i="3"/>
  <c r="M72" i="3"/>
  <c r="Q72" i="3"/>
  <c r="AB72" i="3"/>
  <c r="S72" i="3"/>
  <c r="V72" i="3"/>
  <c r="L72" i="3"/>
  <c r="P72" i="3"/>
  <c r="T72" i="3"/>
  <c r="Z172" i="3"/>
  <c r="U172" i="3"/>
  <c r="T172" i="3"/>
  <c r="I172" i="3"/>
  <c r="AA172" i="3"/>
  <c r="V172" i="3"/>
  <c r="K172" i="3"/>
  <c r="J172" i="3"/>
  <c r="P172" i="3"/>
  <c r="W172" i="3"/>
  <c r="L172" i="3"/>
  <c r="AC172" i="3"/>
  <c r="Q172" i="3"/>
  <c r="AB172" i="3"/>
  <c r="S172" i="3"/>
  <c r="O172" i="3"/>
  <c r="N172" i="3"/>
  <c r="Y172" i="3"/>
  <c r="X172" i="3"/>
  <c r="M172" i="3"/>
  <c r="R172" i="3"/>
  <c r="AC114" i="3"/>
  <c r="AB114" i="3"/>
  <c r="Y114" i="3"/>
  <c r="R114" i="3"/>
  <c r="M114" i="3"/>
  <c r="Q114" i="3"/>
  <c r="Z114" i="3"/>
  <c r="J114" i="3"/>
  <c r="T114" i="3"/>
  <c r="U114" i="3"/>
  <c r="V114" i="3"/>
  <c r="S114" i="3"/>
  <c r="X114" i="3"/>
  <c r="I114" i="3"/>
  <c r="P114" i="3"/>
  <c r="K114" i="3"/>
  <c r="AA114" i="3"/>
  <c r="N114" i="3"/>
  <c r="L114" i="3"/>
  <c r="O114" i="3"/>
  <c r="W114" i="3"/>
  <c r="Z119" i="3"/>
  <c r="V119" i="3"/>
  <c r="R119" i="3"/>
  <c r="N119" i="3"/>
  <c r="J119" i="3"/>
  <c r="AA119" i="3"/>
  <c r="W119" i="3"/>
  <c r="S119" i="3"/>
  <c r="O119" i="3"/>
  <c r="K119" i="3"/>
  <c r="AB119" i="3"/>
  <c r="X119" i="3"/>
  <c r="T119" i="3"/>
  <c r="P119" i="3"/>
  <c r="L119" i="3"/>
  <c r="AC119" i="3"/>
  <c r="Y119" i="3"/>
  <c r="U119" i="3"/>
  <c r="Q119" i="3"/>
  <c r="M119" i="3"/>
  <c r="I119" i="3"/>
  <c r="X131" i="3"/>
  <c r="I131" i="3"/>
  <c r="O131" i="3"/>
  <c r="N131" i="3"/>
  <c r="Y131" i="3"/>
  <c r="T131" i="3"/>
  <c r="P131" i="3"/>
  <c r="AA131" i="3"/>
  <c r="Z131" i="3"/>
  <c r="S131" i="3"/>
  <c r="J131" i="3"/>
  <c r="W131" i="3"/>
  <c r="V131" i="3"/>
  <c r="U131" i="3"/>
  <c r="K131" i="3"/>
  <c r="Q131" i="3"/>
  <c r="AB131" i="3"/>
  <c r="M131" i="3"/>
  <c r="L131" i="3"/>
  <c r="AC131" i="3"/>
  <c r="R131" i="3"/>
  <c r="X58" i="3"/>
  <c r="AA58" i="3"/>
  <c r="K58" i="3"/>
  <c r="V58" i="3"/>
  <c r="M58" i="3"/>
  <c r="T58" i="3"/>
  <c r="W58" i="3"/>
  <c r="P58" i="3"/>
  <c r="J58" i="3"/>
  <c r="I58" i="3"/>
  <c r="L58" i="3"/>
  <c r="S58" i="3"/>
  <c r="Y58" i="3"/>
  <c r="O58" i="3"/>
  <c r="AC58" i="3"/>
  <c r="Q58" i="3"/>
  <c r="AB58" i="3"/>
  <c r="U58" i="3"/>
  <c r="Z58" i="3"/>
  <c r="N58" i="3"/>
  <c r="R58" i="3"/>
  <c r="U81" i="3"/>
  <c r="AA81" i="3"/>
  <c r="L81" i="3"/>
  <c r="K81" i="3"/>
  <c r="J81" i="3"/>
  <c r="M81" i="3"/>
  <c r="W81" i="3"/>
  <c r="O81" i="3"/>
  <c r="AC81" i="3"/>
  <c r="Q81" i="3"/>
  <c r="I81" i="3"/>
  <c r="S81" i="3"/>
  <c r="AB81" i="3"/>
  <c r="N81" i="3"/>
  <c r="R81" i="3"/>
  <c r="P81" i="3"/>
  <c r="Y81" i="3"/>
  <c r="T81" i="3"/>
  <c r="Z81" i="3"/>
  <c r="X81" i="3"/>
  <c r="V81" i="3"/>
  <c r="V180" i="3"/>
  <c r="I180" i="3"/>
  <c r="O180" i="3"/>
  <c r="N180" i="3"/>
  <c r="W180" i="3"/>
  <c r="M180" i="3"/>
  <c r="J180" i="3"/>
  <c r="R180" i="3"/>
  <c r="AB180" i="3"/>
  <c r="S180" i="3"/>
  <c r="K180" i="3"/>
  <c r="P180" i="3"/>
  <c r="Y180" i="3"/>
  <c r="X180" i="3"/>
  <c r="L180" i="3"/>
  <c r="Q180" i="3"/>
  <c r="Z180" i="3"/>
  <c r="U180" i="3"/>
  <c r="T180" i="3"/>
  <c r="AC180" i="3"/>
  <c r="AA180" i="3"/>
  <c r="S113" i="3"/>
  <c r="AB113" i="3"/>
  <c r="R113" i="3"/>
  <c r="O113" i="3"/>
  <c r="AC113" i="3"/>
  <c r="Y113" i="3"/>
  <c r="T113" i="3"/>
  <c r="Z113" i="3"/>
  <c r="X113" i="3"/>
  <c r="N113" i="3"/>
  <c r="U113" i="3"/>
  <c r="AA113" i="3"/>
  <c r="L113" i="3"/>
  <c r="K113" i="3"/>
  <c r="V113" i="3"/>
  <c r="M113" i="3"/>
  <c r="W113" i="3"/>
  <c r="Q113" i="3"/>
  <c r="P113" i="3"/>
  <c r="J113" i="3"/>
  <c r="I113" i="3"/>
  <c r="W80" i="3"/>
  <c r="AA80" i="3"/>
  <c r="U80" i="3"/>
  <c r="AB80" i="3"/>
  <c r="P80" i="3"/>
  <c r="R80" i="3"/>
  <c r="AC80" i="3"/>
  <c r="T80" i="3"/>
  <c r="Z80" i="3"/>
  <c r="X80" i="3"/>
  <c r="N80" i="3"/>
  <c r="S80" i="3"/>
  <c r="I80" i="3"/>
  <c r="K80" i="3"/>
  <c r="V80" i="3"/>
  <c r="M80" i="3"/>
  <c r="Y80" i="3"/>
  <c r="Q80" i="3"/>
  <c r="L80" i="3"/>
  <c r="O80" i="3"/>
  <c r="J80" i="3"/>
  <c r="AA109" i="3"/>
  <c r="S109" i="3"/>
  <c r="Y109" i="3"/>
  <c r="O109" i="3"/>
  <c r="I109" i="3"/>
  <c r="AB109" i="3"/>
  <c r="K109" i="3"/>
  <c r="R109" i="3"/>
  <c r="AC109" i="3"/>
  <c r="T109" i="3"/>
  <c r="P109" i="3"/>
  <c r="W109" i="3"/>
  <c r="X109" i="3"/>
  <c r="N109" i="3"/>
  <c r="L109" i="3"/>
  <c r="Z109" i="3"/>
  <c r="U109" i="3"/>
  <c r="V109" i="3"/>
  <c r="M109" i="3"/>
  <c r="Q109" i="3"/>
  <c r="J109" i="3"/>
  <c r="S53" i="3"/>
  <c r="AB53" i="3"/>
  <c r="O53" i="3"/>
  <c r="N53" i="3"/>
  <c r="R53" i="3"/>
  <c r="Y53" i="3"/>
  <c r="T53" i="3"/>
  <c r="Z53" i="3"/>
  <c r="X53" i="3"/>
  <c r="V53" i="3"/>
  <c r="U53" i="3"/>
  <c r="AA53" i="3"/>
  <c r="J53" i="3"/>
  <c r="M53" i="3"/>
  <c r="L53" i="3"/>
  <c r="K53" i="3"/>
  <c r="W53" i="3"/>
  <c r="P53" i="3"/>
  <c r="I53" i="3"/>
  <c r="AC53" i="3"/>
  <c r="Q53" i="3"/>
  <c r="L138" i="3"/>
  <c r="P138" i="3"/>
  <c r="T138" i="3"/>
  <c r="X138" i="3"/>
  <c r="AB138" i="3"/>
  <c r="K138" i="3"/>
  <c r="O138" i="3"/>
  <c r="S138" i="3"/>
  <c r="W138" i="3"/>
  <c r="AA138" i="3"/>
  <c r="J138" i="3"/>
  <c r="N138" i="3"/>
  <c r="R138" i="3"/>
  <c r="V138" i="3"/>
  <c r="Z138" i="3"/>
  <c r="I138" i="3"/>
  <c r="M138" i="3"/>
  <c r="Q138" i="3"/>
  <c r="U138" i="3"/>
  <c r="Y138" i="3"/>
  <c r="AC138" i="3"/>
  <c r="T43" i="3"/>
  <c r="W43" i="3"/>
  <c r="U43" i="3"/>
  <c r="O43" i="3"/>
  <c r="J43" i="3"/>
  <c r="M43" i="3"/>
  <c r="S43" i="3"/>
  <c r="Z43" i="3"/>
  <c r="L43" i="3"/>
  <c r="AC43" i="3"/>
  <c r="I43" i="3"/>
  <c r="AB43" i="3"/>
  <c r="V43" i="3"/>
  <c r="P43" i="3"/>
  <c r="N43" i="3"/>
  <c r="Q43" i="3"/>
  <c r="X43" i="3"/>
  <c r="AA43" i="3"/>
  <c r="Y43" i="3"/>
  <c r="K43" i="3"/>
  <c r="R43" i="3"/>
  <c r="O157" i="3"/>
  <c r="M157" i="3"/>
  <c r="Q157" i="3"/>
  <c r="N157" i="3"/>
  <c r="AB157" i="3"/>
  <c r="I157" i="3"/>
  <c r="L157" i="3"/>
  <c r="W157" i="3"/>
  <c r="V157" i="3"/>
  <c r="K157" i="3"/>
  <c r="X157" i="3"/>
  <c r="Y157" i="3"/>
  <c r="T157" i="3"/>
  <c r="Z157" i="3"/>
  <c r="S157" i="3"/>
  <c r="P157" i="3"/>
  <c r="U157" i="3"/>
  <c r="R157" i="3"/>
  <c r="AA157" i="3"/>
  <c r="AC157" i="3"/>
  <c r="J157" i="3"/>
  <c r="W49" i="3"/>
  <c r="P49" i="3"/>
  <c r="J49" i="3"/>
  <c r="I49" i="3"/>
  <c r="Q49" i="3"/>
  <c r="S49" i="3"/>
  <c r="AB49" i="3"/>
  <c r="O49" i="3"/>
  <c r="AC49" i="3"/>
  <c r="R49" i="3"/>
  <c r="Y49" i="3"/>
  <c r="T49" i="3"/>
  <c r="Z49" i="3"/>
  <c r="N49" i="3"/>
  <c r="V49" i="3"/>
  <c r="U49" i="3"/>
  <c r="AA49" i="3"/>
  <c r="K49" i="3"/>
  <c r="X49" i="3"/>
  <c r="M49" i="3"/>
  <c r="L49" i="3"/>
  <c r="W144" i="3"/>
  <c r="L144" i="3"/>
  <c r="K144" i="3"/>
  <c r="J144" i="3"/>
  <c r="I144" i="3"/>
  <c r="S144" i="3"/>
  <c r="O144" i="3"/>
  <c r="AC144" i="3"/>
  <c r="Q144" i="3"/>
  <c r="P144" i="3"/>
  <c r="Y144" i="3"/>
  <c r="X144" i="3"/>
  <c r="N144" i="3"/>
  <c r="AB144" i="3"/>
  <c r="R144" i="3"/>
  <c r="U144" i="3"/>
  <c r="AA144" i="3"/>
  <c r="V144" i="3"/>
  <c r="T144" i="3"/>
  <c r="Z144" i="3"/>
  <c r="M144" i="3"/>
  <c r="Y77" i="3"/>
  <c r="X77" i="3"/>
  <c r="L77" i="3"/>
  <c r="P77" i="3"/>
  <c r="V77" i="3"/>
  <c r="U77" i="3"/>
  <c r="AA77" i="3"/>
  <c r="K77" i="3"/>
  <c r="O77" i="3"/>
  <c r="AC77" i="3"/>
  <c r="Z77" i="3"/>
  <c r="W77" i="3"/>
  <c r="J77" i="3"/>
  <c r="N77" i="3"/>
  <c r="R77" i="3"/>
  <c r="AB77" i="3"/>
  <c r="S77" i="3"/>
  <c r="I77" i="3"/>
  <c r="M77" i="3"/>
  <c r="Q77" i="3"/>
  <c r="T77" i="3"/>
  <c r="Z178" i="3"/>
  <c r="U178" i="3"/>
  <c r="T178" i="3"/>
  <c r="J178" i="3"/>
  <c r="R178" i="3"/>
  <c r="V178" i="3"/>
  <c r="L178" i="3"/>
  <c r="K178" i="3"/>
  <c r="P178" i="3"/>
  <c r="AA178" i="3"/>
  <c r="M178" i="3"/>
  <c r="AC178" i="3"/>
  <c r="Q178" i="3"/>
  <c r="AB178" i="3"/>
  <c r="W178" i="3"/>
  <c r="I178" i="3"/>
  <c r="N178" i="3"/>
  <c r="Y178" i="3"/>
  <c r="X178" i="3"/>
  <c r="S178" i="3"/>
  <c r="O178" i="3"/>
  <c r="S42" i="3"/>
  <c r="W42" i="3"/>
  <c r="AA42" i="3"/>
  <c r="X42" i="3"/>
  <c r="V42" i="3"/>
  <c r="T42" i="3"/>
  <c r="Z42" i="3"/>
  <c r="Y42" i="3"/>
  <c r="J42" i="3"/>
  <c r="M42" i="3"/>
  <c r="L42" i="3"/>
  <c r="K42" i="3"/>
  <c r="AC42" i="3"/>
  <c r="I42" i="3"/>
  <c r="P42" i="3"/>
  <c r="O42" i="3"/>
  <c r="U42" i="3"/>
  <c r="N42" i="3"/>
  <c r="Q42" i="3"/>
  <c r="AB42" i="3"/>
  <c r="R42" i="3"/>
  <c r="Z79" i="3"/>
  <c r="V79" i="3"/>
  <c r="R79" i="3"/>
  <c r="N79" i="3"/>
  <c r="J79" i="3"/>
  <c r="AA79" i="3"/>
  <c r="W79" i="3"/>
  <c r="S79" i="3"/>
  <c r="O79" i="3"/>
  <c r="K79" i="3"/>
  <c r="AB79" i="3"/>
  <c r="X79" i="3"/>
  <c r="T79" i="3"/>
  <c r="P79" i="3"/>
  <c r="L79" i="3"/>
  <c r="AC79" i="3"/>
  <c r="Y79" i="3"/>
  <c r="U79" i="3"/>
  <c r="Q79" i="3"/>
  <c r="M79" i="3"/>
  <c r="I79" i="3"/>
  <c r="S62" i="3"/>
  <c r="Y62" i="3"/>
  <c r="Z62" i="3"/>
  <c r="N62" i="3"/>
  <c r="Q62" i="3"/>
  <c r="AB62" i="3"/>
  <c r="U62" i="3"/>
  <c r="M62" i="3"/>
  <c r="V62" i="3"/>
  <c r="R62" i="3"/>
  <c r="X62" i="3"/>
  <c r="AA62" i="3"/>
  <c r="I62" i="3"/>
  <c r="L62" i="3"/>
  <c r="K62" i="3"/>
  <c r="T62" i="3"/>
  <c r="W62" i="3"/>
  <c r="P62" i="3"/>
  <c r="O62" i="3"/>
  <c r="AC62" i="3"/>
  <c r="J62" i="3"/>
  <c r="Z150" i="3"/>
  <c r="Y150" i="3"/>
  <c r="M150" i="3"/>
  <c r="Q150" i="3"/>
  <c r="R150" i="3"/>
  <c r="V150" i="3"/>
  <c r="U150" i="3"/>
  <c r="I150" i="3"/>
  <c r="AB150" i="3"/>
  <c r="AA150" i="3"/>
  <c r="S150" i="3"/>
  <c r="J150" i="3"/>
  <c r="AC150" i="3"/>
  <c r="X150" i="3"/>
  <c r="W150" i="3"/>
  <c r="K150" i="3"/>
  <c r="O150" i="3"/>
  <c r="N150" i="3"/>
  <c r="T150" i="3"/>
  <c r="L150" i="3"/>
  <c r="P150" i="3"/>
  <c r="V158" i="3"/>
  <c r="L158" i="3"/>
  <c r="K158" i="3"/>
  <c r="R158" i="3"/>
  <c r="W158" i="3"/>
  <c r="M158" i="3"/>
  <c r="AC158" i="3"/>
  <c r="Q158" i="3"/>
  <c r="AB158" i="3"/>
  <c r="S158" i="3"/>
  <c r="I158" i="3"/>
  <c r="N158" i="3"/>
  <c r="Y158" i="3"/>
  <c r="X158" i="3"/>
  <c r="J158" i="3"/>
  <c r="O158" i="3"/>
  <c r="Z158" i="3"/>
  <c r="U158" i="3"/>
  <c r="T158" i="3"/>
  <c r="P158" i="3"/>
  <c r="AA158" i="3"/>
  <c r="AA52" i="3"/>
  <c r="U52" i="3"/>
  <c r="S52" i="3"/>
  <c r="W52" i="3"/>
  <c r="X52" i="3"/>
  <c r="Q52" i="3"/>
  <c r="AB52" i="3"/>
  <c r="R52" i="3"/>
  <c r="Y52" i="3"/>
  <c r="V52" i="3"/>
  <c r="T52" i="3"/>
  <c r="Z52" i="3"/>
  <c r="K52" i="3"/>
  <c r="AC52" i="3"/>
  <c r="I52" i="3"/>
  <c r="M52" i="3"/>
  <c r="L52" i="3"/>
  <c r="N52" i="3"/>
  <c r="J52" i="3"/>
  <c r="P52" i="3"/>
  <c r="O52" i="3"/>
  <c r="X177" i="3"/>
  <c r="K177" i="3"/>
  <c r="W177" i="3"/>
  <c r="V177" i="3"/>
  <c r="U177" i="3"/>
  <c r="R177" i="3"/>
  <c r="T177" i="3"/>
  <c r="O177" i="3"/>
  <c r="S177" i="3"/>
  <c r="AC177" i="3"/>
  <c r="I177" i="3"/>
  <c r="L177" i="3"/>
  <c r="N177" i="3"/>
  <c r="Q177" i="3"/>
  <c r="AB177" i="3"/>
  <c r="J177" i="3"/>
  <c r="AA177" i="3"/>
  <c r="Z177" i="3"/>
  <c r="Y177" i="3"/>
  <c r="M177" i="3"/>
  <c r="P177" i="3"/>
  <c r="AB47" i="3"/>
  <c r="V47" i="3"/>
  <c r="P47" i="3"/>
  <c r="M47" i="3"/>
  <c r="R47" i="3"/>
  <c r="X47" i="3"/>
  <c r="AA47" i="3"/>
  <c r="Y47" i="3"/>
  <c r="I47" i="3"/>
  <c r="L47" i="3"/>
  <c r="T47" i="3"/>
  <c r="W47" i="3"/>
  <c r="U47" i="3"/>
  <c r="O47" i="3"/>
  <c r="AC47" i="3"/>
  <c r="K47" i="3"/>
  <c r="S47" i="3"/>
  <c r="Z47" i="3"/>
  <c r="J47" i="3"/>
  <c r="N47" i="3"/>
  <c r="Q47" i="3"/>
  <c r="AA145" i="3"/>
  <c r="I145" i="3"/>
  <c r="M145" i="3"/>
  <c r="L145" i="3"/>
  <c r="AC145" i="3"/>
  <c r="U145" i="3"/>
  <c r="J145" i="3"/>
  <c r="P145" i="3"/>
  <c r="O145" i="3"/>
  <c r="N145" i="3"/>
  <c r="Z145" i="3"/>
  <c r="Q145" i="3"/>
  <c r="Y145" i="3"/>
  <c r="X145" i="3"/>
  <c r="AB145" i="3"/>
  <c r="V145" i="3"/>
  <c r="R145" i="3"/>
  <c r="T145" i="3"/>
  <c r="S145" i="3"/>
  <c r="W145" i="3"/>
  <c r="K145" i="3"/>
  <c r="S70" i="3"/>
  <c r="Y70" i="3"/>
  <c r="Z70" i="3"/>
  <c r="N70" i="3"/>
  <c r="K70" i="3"/>
  <c r="AB70" i="3"/>
  <c r="U70" i="3"/>
  <c r="L70" i="3"/>
  <c r="V70" i="3"/>
  <c r="Q70" i="3"/>
  <c r="X70" i="3"/>
  <c r="AA70" i="3"/>
  <c r="J70" i="3"/>
  <c r="I70" i="3"/>
  <c r="R70" i="3"/>
  <c r="T70" i="3"/>
  <c r="W70" i="3"/>
  <c r="P70" i="3"/>
  <c r="O70" i="3"/>
  <c r="AC70" i="3"/>
  <c r="M70" i="3"/>
  <c r="U111" i="3"/>
  <c r="AA111" i="3"/>
  <c r="V111" i="3"/>
  <c r="T111" i="3"/>
  <c r="M111" i="3"/>
  <c r="L111" i="3"/>
  <c r="W111" i="3"/>
  <c r="K111" i="3"/>
  <c r="J111" i="3"/>
  <c r="I111" i="3"/>
  <c r="P111" i="3"/>
  <c r="S111" i="3"/>
  <c r="O111" i="3"/>
  <c r="AC111" i="3"/>
  <c r="Q111" i="3"/>
  <c r="R111" i="3"/>
  <c r="Y111" i="3"/>
  <c r="X111" i="3"/>
  <c r="N111" i="3"/>
  <c r="AB111" i="3"/>
  <c r="Z111" i="3"/>
  <c r="S51" i="3"/>
  <c r="N51" i="3"/>
  <c r="R51" i="3"/>
  <c r="AB51" i="3"/>
  <c r="Z51" i="3"/>
  <c r="Y51" i="3"/>
  <c r="X51" i="3"/>
  <c r="V51" i="3"/>
  <c r="T51" i="3"/>
  <c r="M51" i="3"/>
  <c r="U51" i="3"/>
  <c r="AA51" i="3"/>
  <c r="K51" i="3"/>
  <c r="J51" i="3"/>
  <c r="I51" i="3"/>
  <c r="L51" i="3"/>
  <c r="W51" i="3"/>
  <c r="AC51" i="3"/>
  <c r="Q51" i="3"/>
  <c r="P51" i="3"/>
  <c r="O51" i="3"/>
  <c r="S147" i="3"/>
  <c r="AB147" i="3"/>
  <c r="R147" i="3"/>
  <c r="O147" i="3"/>
  <c r="AC147" i="3"/>
  <c r="Y147" i="3"/>
  <c r="T147" i="3"/>
  <c r="Z147" i="3"/>
  <c r="X147" i="3"/>
  <c r="N147" i="3"/>
  <c r="U147" i="3"/>
  <c r="AA147" i="3"/>
  <c r="L147" i="3"/>
  <c r="K147" i="3"/>
  <c r="V147" i="3"/>
  <c r="M147" i="3"/>
  <c r="W147" i="3"/>
  <c r="Q147" i="3"/>
  <c r="P147" i="3"/>
  <c r="J147" i="3"/>
  <c r="I147" i="3"/>
  <c r="U143" i="3"/>
  <c r="T143" i="3"/>
  <c r="Z143" i="3"/>
  <c r="L143" i="3"/>
  <c r="V143" i="3"/>
  <c r="Y143" i="3"/>
  <c r="J143" i="3"/>
  <c r="M143" i="3"/>
  <c r="O143" i="3"/>
  <c r="K143" i="3"/>
  <c r="W143" i="3"/>
  <c r="AA143" i="3"/>
  <c r="Q143" i="3"/>
  <c r="I143" i="3"/>
  <c r="R143" i="3"/>
  <c r="AC143" i="3"/>
  <c r="S143" i="3"/>
  <c r="AB143" i="3"/>
  <c r="P143" i="3"/>
  <c r="X143" i="3"/>
  <c r="N143" i="3"/>
  <c r="V174" i="3"/>
  <c r="Y174" i="3"/>
  <c r="I174" i="3"/>
  <c r="X174" i="3"/>
  <c r="W174" i="3"/>
  <c r="J174" i="3"/>
  <c r="U174" i="3"/>
  <c r="AC174" i="3"/>
  <c r="T174" i="3"/>
  <c r="S174" i="3"/>
  <c r="K174" i="3"/>
  <c r="O174" i="3"/>
  <c r="N174" i="3"/>
  <c r="L174" i="3"/>
  <c r="Q174" i="3"/>
  <c r="P174" i="3"/>
  <c r="Z174" i="3"/>
  <c r="R174" i="3"/>
  <c r="M174" i="3"/>
  <c r="AB174" i="3"/>
  <c r="AA174" i="3"/>
  <c r="S149" i="3"/>
  <c r="Q149" i="3"/>
  <c r="Z149" i="3"/>
  <c r="R149" i="3"/>
  <c r="V149" i="3"/>
  <c r="L149" i="3"/>
  <c r="T149" i="3"/>
  <c r="AC149" i="3"/>
  <c r="W149" i="3"/>
  <c r="J149" i="3"/>
  <c r="AA149" i="3"/>
  <c r="U149" i="3"/>
  <c r="AB149" i="3"/>
  <c r="I149" i="3"/>
  <c r="X149" i="3"/>
  <c r="P149" i="3"/>
  <c r="O149" i="3"/>
  <c r="K149" i="3"/>
  <c r="M149" i="3"/>
  <c r="Y149" i="3"/>
  <c r="N149" i="3"/>
  <c r="AB74" i="3"/>
  <c r="U74" i="3"/>
  <c r="L74" i="3"/>
  <c r="P74" i="3"/>
  <c r="AC74" i="3"/>
  <c r="X74" i="3"/>
  <c r="AA74" i="3"/>
  <c r="Q74" i="3"/>
  <c r="Z74" i="3"/>
  <c r="N74" i="3"/>
  <c r="T74" i="3"/>
  <c r="W74" i="3"/>
  <c r="R74" i="3"/>
  <c r="J74" i="3"/>
  <c r="O74" i="3"/>
  <c r="M74" i="3"/>
  <c r="S74" i="3"/>
  <c r="Y74" i="3"/>
  <c r="K74" i="3"/>
  <c r="V74" i="3"/>
  <c r="I74" i="3"/>
  <c r="Y59" i="3"/>
  <c r="T59" i="3"/>
  <c r="Z59" i="3"/>
  <c r="N59" i="3"/>
  <c r="V59" i="3"/>
  <c r="U59" i="3"/>
  <c r="AA59" i="3"/>
  <c r="K59" i="3"/>
  <c r="X59" i="3"/>
  <c r="M59" i="3"/>
  <c r="L59" i="3"/>
  <c r="W59" i="3"/>
  <c r="P59" i="3"/>
  <c r="J59" i="3"/>
  <c r="I59" i="3"/>
  <c r="Q59" i="3"/>
  <c r="S59" i="3"/>
  <c r="AB59" i="3"/>
  <c r="O59" i="3"/>
  <c r="AC59" i="3"/>
  <c r="R59" i="3"/>
  <c r="Z155" i="3"/>
  <c r="X155" i="3"/>
  <c r="AA155" i="3"/>
  <c r="L155" i="3"/>
  <c r="P155" i="3"/>
  <c r="V155" i="3"/>
  <c r="T155" i="3"/>
  <c r="W155" i="3"/>
  <c r="K155" i="3"/>
  <c r="O155" i="3"/>
  <c r="AC155" i="3"/>
  <c r="Y155" i="3"/>
  <c r="S155" i="3"/>
  <c r="J155" i="3"/>
  <c r="N155" i="3"/>
  <c r="R155" i="3"/>
  <c r="U155" i="3"/>
  <c r="AB155" i="3"/>
  <c r="I155" i="3"/>
  <c r="M155" i="3"/>
  <c r="Q155" i="3"/>
  <c r="W89" i="3"/>
  <c r="Q89" i="3"/>
  <c r="K89" i="3"/>
  <c r="J89" i="3"/>
  <c r="I89" i="3"/>
  <c r="S89" i="3"/>
  <c r="R89" i="3"/>
  <c r="P89" i="3"/>
  <c r="O89" i="3"/>
  <c r="AC89" i="3"/>
  <c r="Y89" i="3"/>
  <c r="X89" i="3"/>
  <c r="V89" i="3"/>
  <c r="AB89" i="3"/>
  <c r="N89" i="3"/>
  <c r="U89" i="3"/>
  <c r="AA89" i="3"/>
  <c r="L89" i="3"/>
  <c r="T89" i="3"/>
  <c r="Z89" i="3"/>
  <c r="M89" i="3"/>
  <c r="P36" i="3"/>
  <c r="N36" i="3"/>
  <c r="V36" i="3"/>
  <c r="O36" i="3"/>
  <c r="AA36" i="3"/>
  <c r="T36" i="3"/>
  <c r="Z36" i="3"/>
  <c r="Q36" i="3"/>
  <c r="W36" i="3"/>
  <c r="Y36" i="3"/>
  <c r="AC36" i="3"/>
  <c r="L36" i="3"/>
  <c r="AB36" i="3"/>
  <c r="X36" i="3"/>
  <c r="I36" i="3"/>
  <c r="J36" i="3"/>
  <c r="U36" i="3"/>
  <c r="M36" i="3"/>
  <c r="S36" i="3"/>
  <c r="K36" i="3"/>
  <c r="R36" i="3"/>
  <c r="AA63" i="3"/>
  <c r="U63" i="3"/>
  <c r="AC63" i="3"/>
  <c r="I63" i="3"/>
  <c r="AB63" i="3"/>
  <c r="O63" i="3"/>
  <c r="S63" i="3"/>
  <c r="Y63" i="3"/>
  <c r="N63" i="3"/>
  <c r="Q63" i="3"/>
  <c r="T63" i="3"/>
  <c r="R63" i="3"/>
  <c r="X63" i="3"/>
  <c r="V63" i="3"/>
  <c r="L63" i="3"/>
  <c r="Z63" i="3"/>
  <c r="W63" i="3"/>
  <c r="J63" i="3"/>
  <c r="M63" i="3"/>
  <c r="P63" i="3"/>
  <c r="K63" i="3"/>
  <c r="N51" i="2"/>
  <c r="B19" i="2"/>
  <c r="B17" i="2"/>
  <c r="V54" i="2"/>
  <c r="J13" i="3"/>
  <c r="M13" i="3"/>
  <c r="Q13" i="3"/>
  <c r="U13" i="3"/>
  <c r="L13" i="3"/>
  <c r="P13" i="3"/>
  <c r="T13" i="3"/>
  <c r="X13" i="3"/>
  <c r="Y13" i="3"/>
  <c r="Z13" i="3"/>
  <c r="AA13" i="3"/>
  <c r="AB13" i="3"/>
  <c r="AC13" i="3"/>
  <c r="K13" i="3"/>
  <c r="O13" i="3"/>
  <c r="S13" i="3"/>
  <c r="W13" i="3"/>
  <c r="N13" i="3"/>
  <c r="R13" i="3"/>
  <c r="V13" i="3"/>
  <c r="C34" i="2"/>
  <c r="R29" i="4"/>
  <c r="AC29" i="4"/>
  <c r="J193" i="3" l="1"/>
  <c r="N193" i="3"/>
  <c r="R193" i="3"/>
  <c r="V193" i="3"/>
  <c r="Z193" i="3"/>
  <c r="O193" i="3"/>
  <c r="W193" i="3"/>
  <c r="I193" i="3"/>
  <c r="M193" i="3"/>
  <c r="Q193" i="3"/>
  <c r="U193" i="3"/>
  <c r="Y193" i="3"/>
  <c r="AC193" i="3"/>
  <c r="L193" i="3"/>
  <c r="P193" i="3"/>
  <c r="T193" i="3"/>
  <c r="X193" i="3"/>
  <c r="AB193" i="3"/>
  <c r="K193" i="3"/>
  <c r="S193" i="3"/>
  <c r="AA193" i="3"/>
  <c r="N20" i="4"/>
  <c r="AD20" i="4" s="1"/>
  <c r="L187" i="3"/>
  <c r="J55" i="2"/>
  <c r="S187" i="3"/>
  <c r="U187" i="3"/>
  <c r="AB187" i="3"/>
  <c r="N187" i="3"/>
  <c r="O20" i="4"/>
  <c r="AE20" i="4" s="1"/>
  <c r="O187" i="3"/>
  <c r="J187" i="3"/>
  <c r="Z187" i="3"/>
  <c r="X187" i="3"/>
  <c r="Q187" i="3"/>
  <c r="K187" i="3"/>
  <c r="AA187" i="3"/>
  <c r="V187" i="3"/>
  <c r="T187" i="3"/>
  <c r="M187" i="3"/>
  <c r="AC187" i="3"/>
  <c r="W187" i="3"/>
  <c r="R187" i="3"/>
  <c r="P187" i="3"/>
  <c r="I187" i="3"/>
  <c r="AB188" i="3"/>
  <c r="X188" i="3"/>
  <c r="T188" i="3"/>
  <c r="P188" i="3"/>
  <c r="L188" i="3"/>
  <c r="AA188" i="3"/>
  <c r="W188" i="3"/>
  <c r="S188" i="3"/>
  <c r="O188" i="3"/>
  <c r="K188" i="3"/>
  <c r="AC188" i="3"/>
  <c r="Y188" i="3"/>
  <c r="U188" i="3"/>
  <c r="Q188" i="3"/>
  <c r="M188" i="3"/>
  <c r="I188" i="3"/>
  <c r="Z188" i="3"/>
  <c r="V188" i="3"/>
  <c r="R188" i="3"/>
  <c r="N188" i="3"/>
  <c r="J188" i="3"/>
  <c r="Z190" i="3"/>
  <c r="V190" i="3"/>
  <c r="W2" i="3" s="1"/>
  <c r="O8" i="2" s="1"/>
  <c r="O14" i="4" s="1"/>
  <c r="AE14" i="4" s="1"/>
  <c r="R190" i="3"/>
  <c r="N190" i="3"/>
  <c r="O2" i="3" s="1"/>
  <c r="G8" i="2" s="1"/>
  <c r="J190" i="3"/>
  <c r="K2" i="3" s="1"/>
  <c r="C8" i="2" s="1"/>
  <c r="AC190" i="3"/>
  <c r="AD2" i="3" s="1"/>
  <c r="Y190" i="3"/>
  <c r="U190" i="3"/>
  <c r="V2" i="3" s="1"/>
  <c r="N8" i="2" s="1"/>
  <c r="Q190" i="3"/>
  <c r="M190" i="3"/>
  <c r="I190" i="3"/>
  <c r="AA190" i="3"/>
  <c r="AB2" i="3" s="1"/>
  <c r="T8" i="2" s="1"/>
  <c r="T12" i="2" s="1"/>
  <c r="W190" i="3"/>
  <c r="X2" i="3" s="1"/>
  <c r="P8" i="2" s="1"/>
  <c r="P12" i="2" s="1"/>
  <c r="S190" i="3"/>
  <c r="O190" i="3"/>
  <c r="P2" i="3" s="1"/>
  <c r="H8" i="2" s="1"/>
  <c r="K190" i="3"/>
  <c r="L2" i="3" s="1"/>
  <c r="D8" i="2" s="1"/>
  <c r="D14" i="4" s="1"/>
  <c r="T14" i="4" s="1"/>
  <c r="AB190" i="3"/>
  <c r="X190" i="3"/>
  <c r="Y2" i="3" s="1"/>
  <c r="Q8" i="2" s="1"/>
  <c r="Q12" i="2" s="1"/>
  <c r="T190" i="3"/>
  <c r="U2" i="3" s="1"/>
  <c r="M8" i="2" s="1"/>
  <c r="P190" i="3"/>
  <c r="Q2" i="3" s="1"/>
  <c r="I8" i="2" s="1"/>
  <c r="I12" i="2" s="1"/>
  <c r="L190" i="3"/>
  <c r="M2" i="3" s="1"/>
  <c r="E8" i="2" s="1"/>
  <c r="E14" i="4" s="1"/>
  <c r="AA189" i="3"/>
  <c r="W189" i="3"/>
  <c r="S189" i="3"/>
  <c r="O189" i="3"/>
  <c r="K189" i="3"/>
  <c r="Z189" i="3"/>
  <c r="V189" i="3"/>
  <c r="R189" i="3"/>
  <c r="N189" i="3"/>
  <c r="J189" i="3"/>
  <c r="AB189" i="3"/>
  <c r="X189" i="3"/>
  <c r="T189" i="3"/>
  <c r="P189" i="3"/>
  <c r="L189" i="3"/>
  <c r="AC189" i="3"/>
  <c r="Y189" i="3"/>
  <c r="U189" i="3"/>
  <c r="Q189" i="3"/>
  <c r="M189" i="3"/>
  <c r="I189" i="3"/>
  <c r="F27" i="2"/>
  <c r="G20" i="4"/>
  <c r="W20" i="4" s="1"/>
  <c r="G28" i="2"/>
  <c r="D27" i="2"/>
  <c r="J27" i="2"/>
  <c r="E20" i="4"/>
  <c r="U20" i="4" s="1"/>
  <c r="L27" i="2"/>
  <c r="O12" i="2"/>
  <c r="M20" i="4"/>
  <c r="AC20" i="4" s="1"/>
  <c r="W19" i="2"/>
  <c r="C28" i="2"/>
  <c r="M30" i="4"/>
  <c r="AC30" i="4" s="1"/>
  <c r="W46" i="2"/>
  <c r="L21" i="4"/>
  <c r="AB21" i="4" s="1"/>
  <c r="B28" i="2"/>
  <c r="W20" i="2"/>
  <c r="W42" i="2"/>
  <c r="J2" i="3"/>
  <c r="B8" i="2" s="1"/>
  <c r="B12" i="2" s="1"/>
  <c r="Y14" i="3"/>
  <c r="Q44" i="2" s="1"/>
  <c r="Q53" i="2" s="1"/>
  <c r="H27" i="2"/>
  <c r="I20" i="4"/>
  <c r="Y20" i="4" s="1"/>
  <c r="O21" i="4"/>
  <c r="AE21" i="4" s="1"/>
  <c r="Q14" i="3"/>
  <c r="I44" i="2" s="1"/>
  <c r="I28" i="4" s="1"/>
  <c r="Y28" i="4" s="1"/>
  <c r="J21" i="4"/>
  <c r="Z21" i="4" s="1"/>
  <c r="L9" i="3"/>
  <c r="D21" i="2" s="1"/>
  <c r="D22" i="4" s="1"/>
  <c r="W9" i="3"/>
  <c r="O21" i="2" s="1"/>
  <c r="O29" i="2" s="1"/>
  <c r="V14" i="3"/>
  <c r="N44" i="2" s="1"/>
  <c r="N53" i="2" s="1"/>
  <c r="AA2" i="3"/>
  <c r="S8" i="2" s="1"/>
  <c r="S12" i="2" s="1"/>
  <c r="R2" i="3"/>
  <c r="J8" i="2" s="1"/>
  <c r="J14" i="4" s="1"/>
  <c r="Z14" i="4" s="1"/>
  <c r="K27" i="2"/>
  <c r="AD7" i="3"/>
  <c r="C27" i="2"/>
  <c r="C26" i="4"/>
  <c r="S26" i="4" s="1"/>
  <c r="K26" i="4"/>
  <c r="AA26" i="4" s="1"/>
  <c r="H30" i="4"/>
  <c r="X30" i="4" s="1"/>
  <c r="D53" i="2"/>
  <c r="D28" i="4"/>
  <c r="T28" i="4" s="1"/>
  <c r="N55" i="2"/>
  <c r="N30" i="4"/>
  <c r="AD30" i="4" s="1"/>
  <c r="G51" i="2"/>
  <c r="G26" i="4"/>
  <c r="W26" i="4" s="1"/>
  <c r="I51" i="2"/>
  <c r="I26" i="4"/>
  <c r="Y26" i="4" s="1"/>
  <c r="F51" i="2"/>
  <c r="F26" i="4"/>
  <c r="V26" i="4" s="1"/>
  <c r="D17" i="2"/>
  <c r="L55" i="2"/>
  <c r="L30" i="4"/>
  <c r="AB30" i="4" s="1"/>
  <c r="F55" i="2"/>
  <c r="F30" i="4"/>
  <c r="V30" i="4" s="1"/>
  <c r="H26" i="4"/>
  <c r="X26" i="4" s="1"/>
  <c r="O51" i="2"/>
  <c r="O26" i="4"/>
  <c r="AE26" i="4" s="1"/>
  <c r="E30" i="4"/>
  <c r="U30" i="4" s="1"/>
  <c r="E51" i="2"/>
  <c r="E26" i="4"/>
  <c r="U26" i="4" s="1"/>
  <c r="L51" i="2"/>
  <c r="L26" i="4"/>
  <c r="D30" i="4"/>
  <c r="T30" i="4" s="1"/>
  <c r="K30" i="4"/>
  <c r="AA30" i="4" s="1"/>
  <c r="G30" i="4"/>
  <c r="W30" i="4" s="1"/>
  <c r="I30" i="4"/>
  <c r="Y30" i="4" s="1"/>
  <c r="M51" i="2"/>
  <c r="M26" i="4"/>
  <c r="D26" i="4"/>
  <c r="T26" i="4" s="1"/>
  <c r="AA9" i="3"/>
  <c r="S21" i="2" s="1"/>
  <c r="S29" i="2" s="1"/>
  <c r="H21" i="4"/>
  <c r="X21" i="4" s="1"/>
  <c r="I21" i="4"/>
  <c r="Y21" i="4" s="1"/>
  <c r="E55" i="2"/>
  <c r="T2" i="3"/>
  <c r="L8" i="2" s="1"/>
  <c r="L12" i="2" s="1"/>
  <c r="S2" i="3"/>
  <c r="K8" i="2" s="1"/>
  <c r="K14" i="4" s="1"/>
  <c r="AA14" i="4" s="1"/>
  <c r="B30" i="4"/>
  <c r="R30" i="4" s="1"/>
  <c r="B55" i="2"/>
  <c r="N9" i="3"/>
  <c r="F21" i="2" s="1"/>
  <c r="F29" i="2" s="1"/>
  <c r="K9" i="3"/>
  <c r="C21" i="2" s="1"/>
  <c r="C22" i="4" s="1"/>
  <c r="Z9" i="3"/>
  <c r="R21" i="2" s="1"/>
  <c r="R29" i="2" s="1"/>
  <c r="Z2" i="3"/>
  <c r="R8" i="2" s="1"/>
  <c r="R12" i="2" s="1"/>
  <c r="AD12" i="3"/>
  <c r="O9" i="3"/>
  <c r="G21" i="2" s="1"/>
  <c r="G29" i="2" s="1"/>
  <c r="S17" i="2"/>
  <c r="S25" i="2" s="1"/>
  <c r="N2" i="3"/>
  <c r="F8" i="2" s="1"/>
  <c r="F14" i="4" s="1"/>
  <c r="V14" i="4" s="1"/>
  <c r="K28" i="2"/>
  <c r="F21" i="4"/>
  <c r="V21" i="4" s="1"/>
  <c r="H55" i="2"/>
  <c r="G55" i="2"/>
  <c r="AC2" i="3"/>
  <c r="U8" i="2" s="1"/>
  <c r="U12" i="2" s="1"/>
  <c r="J9" i="3"/>
  <c r="B21" i="2" s="1"/>
  <c r="K14" i="3"/>
  <c r="C44" i="2" s="1"/>
  <c r="P14" i="3"/>
  <c r="H44" i="2" s="1"/>
  <c r="Q9" i="3"/>
  <c r="I21" i="2" s="1"/>
  <c r="I22" i="4" s="1"/>
  <c r="AB9" i="3"/>
  <c r="T21" i="2" s="1"/>
  <c r="T29" i="2" s="1"/>
  <c r="AD5" i="3"/>
  <c r="W14" i="3"/>
  <c r="O44" i="2" s="1"/>
  <c r="O53" i="2" s="1"/>
  <c r="N14" i="3"/>
  <c r="F44" i="2" s="1"/>
  <c r="M14" i="3"/>
  <c r="E44" i="2" s="1"/>
  <c r="P9" i="3"/>
  <c r="H21" i="2" s="1"/>
  <c r="H22" i="4" s="1"/>
  <c r="T9" i="3"/>
  <c r="L21" i="2" s="1"/>
  <c r="L22" i="4" s="1"/>
  <c r="AC14" i="3"/>
  <c r="U44" i="2" s="1"/>
  <c r="U53" i="2" s="1"/>
  <c r="S14" i="3"/>
  <c r="K44" i="2" s="1"/>
  <c r="U14" i="3"/>
  <c r="M44" i="2" s="1"/>
  <c r="M21" i="4"/>
  <c r="AC21" i="4" s="1"/>
  <c r="AE30" i="4"/>
  <c r="O55" i="2"/>
  <c r="B21" i="4"/>
  <c r="Y9" i="3"/>
  <c r="Q21" i="2" s="1"/>
  <c r="Q29" i="2" s="1"/>
  <c r="AD16" i="3"/>
  <c r="V20" i="2"/>
  <c r="R9" i="3"/>
  <c r="J21" i="2" s="1"/>
  <c r="J22" i="4" s="1"/>
  <c r="C35" i="2"/>
  <c r="Z14" i="3"/>
  <c r="R44" i="2" s="1"/>
  <c r="R53" i="2" s="1"/>
  <c r="O14" i="3"/>
  <c r="G44" i="2" s="1"/>
  <c r="G28" i="4" s="1"/>
  <c r="T14" i="3"/>
  <c r="L44" i="2" s="1"/>
  <c r="R14" i="3"/>
  <c r="J44" i="2" s="1"/>
  <c r="E21" i="4"/>
  <c r="U21" i="4" s="1"/>
  <c r="D21" i="4"/>
  <c r="T21" i="4" s="1"/>
  <c r="N28" i="2"/>
  <c r="AC9" i="3"/>
  <c r="U21" i="2" s="1"/>
  <c r="U29" i="2" s="1"/>
  <c r="V9" i="3"/>
  <c r="N21" i="2" s="1"/>
  <c r="N29" i="2" s="1"/>
  <c r="X14" i="3"/>
  <c r="P44" i="2" s="1"/>
  <c r="P53" i="2" s="1"/>
  <c r="AB14" i="3"/>
  <c r="T44" i="2" s="1"/>
  <c r="T53" i="2" s="1"/>
  <c r="J14" i="3"/>
  <c r="B44" i="2" s="1"/>
  <c r="AA14" i="3"/>
  <c r="S44" i="2" s="1"/>
  <c r="S53" i="2" s="1"/>
  <c r="AD8" i="3"/>
  <c r="D55" i="2"/>
  <c r="I26" i="2"/>
  <c r="I19" i="4"/>
  <c r="Y19" i="4" s="1"/>
  <c r="C19" i="4"/>
  <c r="S19" i="4" s="1"/>
  <c r="C26" i="2"/>
  <c r="K26" i="2"/>
  <c r="K19" i="4"/>
  <c r="AA19" i="4" s="1"/>
  <c r="J19" i="4"/>
  <c r="Z19" i="4" s="1"/>
  <c r="J26" i="2"/>
  <c r="M26" i="2"/>
  <c r="M19" i="4"/>
  <c r="AC19" i="4" s="1"/>
  <c r="N19" i="4"/>
  <c r="AD19" i="4" s="1"/>
  <c r="N26" i="2"/>
  <c r="D19" i="4"/>
  <c r="T19" i="4" s="1"/>
  <c r="D26" i="2"/>
  <c r="O26" i="2"/>
  <c r="O19" i="4"/>
  <c r="AE19" i="4" s="1"/>
  <c r="S9" i="3"/>
  <c r="K21" i="2" s="1"/>
  <c r="K29" i="2" s="1"/>
  <c r="E19" i="4"/>
  <c r="U19" i="4" s="1"/>
  <c r="E26" i="2"/>
  <c r="H26" i="2"/>
  <c r="H19" i="4"/>
  <c r="X19" i="4" s="1"/>
  <c r="L26" i="2"/>
  <c r="L19" i="4"/>
  <c r="AB19" i="4" s="1"/>
  <c r="F26" i="2"/>
  <c r="F19" i="4"/>
  <c r="V19" i="4" s="1"/>
  <c r="G26" i="2"/>
  <c r="G19" i="4"/>
  <c r="W19" i="4" s="1"/>
  <c r="B18" i="2"/>
  <c r="W18" i="2" s="1"/>
  <c r="AD6" i="3"/>
  <c r="X9" i="3"/>
  <c r="P21" i="2" s="1"/>
  <c r="P29" i="2" s="1"/>
  <c r="M9" i="3"/>
  <c r="E21" i="2" s="1"/>
  <c r="U9" i="3"/>
  <c r="M21" i="2" s="1"/>
  <c r="M29" i="2" s="1"/>
  <c r="V46" i="2"/>
  <c r="AB195" i="3"/>
  <c r="Y195" i="3"/>
  <c r="L195" i="3"/>
  <c r="O195" i="3"/>
  <c r="Z195" i="3"/>
  <c r="W195" i="3"/>
  <c r="Q195" i="3"/>
  <c r="X195" i="3"/>
  <c r="S195" i="3"/>
  <c r="P195" i="3"/>
  <c r="R195" i="3"/>
  <c r="T195" i="3"/>
  <c r="V195" i="3"/>
  <c r="U195" i="3"/>
  <c r="AA195" i="3"/>
  <c r="M195" i="3"/>
  <c r="AC195" i="3"/>
  <c r="J195" i="3"/>
  <c r="I195" i="3"/>
  <c r="N195" i="3"/>
  <c r="K195" i="3"/>
  <c r="I4" i="3"/>
  <c r="I18" i="4"/>
  <c r="Y18" i="4" s="1"/>
  <c r="I25" i="2"/>
  <c r="M18" i="4"/>
  <c r="AC18" i="4" s="1"/>
  <c r="M25" i="2"/>
  <c r="B18" i="4"/>
  <c r="B25" i="2"/>
  <c r="G25" i="2"/>
  <c r="G18" i="4"/>
  <c r="W18" i="4" s="1"/>
  <c r="K25" i="2"/>
  <c r="K18" i="4"/>
  <c r="AA18" i="4" s="1"/>
  <c r="AA22" i="4" s="1"/>
  <c r="F25" i="2"/>
  <c r="F18" i="4"/>
  <c r="V18" i="4" s="1"/>
  <c r="E18" i="4"/>
  <c r="U18" i="4" s="1"/>
  <c r="E25" i="2"/>
  <c r="B51" i="2"/>
  <c r="V42" i="2"/>
  <c r="B26" i="4"/>
  <c r="H18" i="4"/>
  <c r="X18" i="4" s="1"/>
  <c r="H25" i="2"/>
  <c r="O25" i="2"/>
  <c r="O18" i="4"/>
  <c r="AE18" i="4" s="1"/>
  <c r="B20" i="4"/>
  <c r="B27" i="2"/>
  <c r="V19" i="2"/>
  <c r="C25" i="2"/>
  <c r="C18" i="4"/>
  <c r="S18" i="4" s="1"/>
  <c r="J25" i="2"/>
  <c r="J18" i="4"/>
  <c r="Z18" i="4" s="1"/>
  <c r="L18" i="4"/>
  <c r="AB18" i="4" s="1"/>
  <c r="L25" i="2"/>
  <c r="N18" i="4"/>
  <c r="AD18" i="4" s="1"/>
  <c r="N25" i="2"/>
  <c r="M43" i="2"/>
  <c r="O43" i="2"/>
  <c r="O27" i="4" s="1"/>
  <c r="D43" i="2"/>
  <c r="D27" i="4" s="1"/>
  <c r="L17" i="3"/>
  <c r="D47" i="2" s="1"/>
  <c r="D31" i="4" s="1"/>
  <c r="B43" i="2"/>
  <c r="AD13" i="3"/>
  <c r="J43" i="2"/>
  <c r="J27" i="4" s="1"/>
  <c r="G43" i="2"/>
  <c r="G27" i="4" s="1"/>
  <c r="S43" i="2"/>
  <c r="S52" i="2" s="1"/>
  <c r="L43" i="2"/>
  <c r="I43" i="2"/>
  <c r="I27" i="4" s="1"/>
  <c r="P29" i="4"/>
  <c r="N43" i="2"/>
  <c r="N27" i="4" s="1"/>
  <c r="K43" i="2"/>
  <c r="K27" i="4" s="1"/>
  <c r="P43" i="2"/>
  <c r="P52" i="2" s="1"/>
  <c r="U43" i="2"/>
  <c r="U52" i="2" s="1"/>
  <c r="T43" i="2"/>
  <c r="T52" i="2" s="1"/>
  <c r="Q43" i="2"/>
  <c r="Q52" i="2" s="1"/>
  <c r="AG29" i="4"/>
  <c r="AF29" i="4"/>
  <c r="F43" i="2"/>
  <c r="F27" i="4" s="1"/>
  <c r="C43" i="2"/>
  <c r="C27" i="4" s="1"/>
  <c r="R43" i="2"/>
  <c r="R52" i="2" s="1"/>
  <c r="H43" i="2"/>
  <c r="H27" i="4" s="1"/>
  <c r="E43" i="2"/>
  <c r="E27" i="4" s="1"/>
  <c r="N14" i="4" l="1"/>
  <c r="AD14" i="4" s="1"/>
  <c r="N12" i="2"/>
  <c r="G12" i="2"/>
  <c r="G14" i="4"/>
  <c r="W14" i="4" s="1"/>
  <c r="C14" i="4"/>
  <c r="S14" i="4" s="1"/>
  <c r="C12" i="2"/>
  <c r="M14" i="4"/>
  <c r="AC14" i="4" s="1"/>
  <c r="M12" i="2"/>
  <c r="H12" i="2"/>
  <c r="H14" i="4"/>
  <c r="X14" i="4" s="1"/>
  <c r="O22" i="4"/>
  <c r="P17" i="3"/>
  <c r="H47" i="2" s="1"/>
  <c r="H31" i="4" s="1"/>
  <c r="W51" i="2"/>
  <c r="G22" i="4"/>
  <c r="W27" i="2"/>
  <c r="W17" i="2"/>
  <c r="W28" i="2"/>
  <c r="B53" i="2"/>
  <c r="W44" i="2"/>
  <c r="W43" i="2"/>
  <c r="B22" i="4"/>
  <c r="W21" i="2"/>
  <c r="B14" i="4"/>
  <c r="R14" i="4" s="1"/>
  <c r="W8" i="2"/>
  <c r="W55" i="2"/>
  <c r="N22" i="4"/>
  <c r="Y17" i="3"/>
  <c r="Q47" i="2" s="1"/>
  <c r="Q56" i="2" s="1"/>
  <c r="X17" i="3"/>
  <c r="P47" i="2" s="1"/>
  <c r="P56" i="2" s="1"/>
  <c r="S22" i="4"/>
  <c r="F12" i="2"/>
  <c r="D29" i="2"/>
  <c r="Q17" i="3"/>
  <c r="I47" i="2" s="1"/>
  <c r="I31" i="4" s="1"/>
  <c r="K12" i="2"/>
  <c r="O17" i="3"/>
  <c r="G47" i="2" s="1"/>
  <c r="G31" i="4" s="1"/>
  <c r="H29" i="2"/>
  <c r="J12" i="2"/>
  <c r="N28" i="4"/>
  <c r="AD28" i="4" s="1"/>
  <c r="V17" i="2"/>
  <c r="E12" i="2"/>
  <c r="L14" i="4"/>
  <c r="AB14" i="4" s="1"/>
  <c r="V17" i="3"/>
  <c r="N47" i="2" s="1"/>
  <c r="N31" i="4" s="1"/>
  <c r="C29" i="2"/>
  <c r="I53" i="2"/>
  <c r="D25" i="2"/>
  <c r="W25" i="2" s="1"/>
  <c r="AB26" i="4"/>
  <c r="D12" i="2"/>
  <c r="I29" i="2"/>
  <c r="D18" i="4"/>
  <c r="T18" i="4" s="1"/>
  <c r="T22" i="4" s="1"/>
  <c r="L53" i="2"/>
  <c r="L28" i="4"/>
  <c r="M52" i="2"/>
  <c r="M27" i="4"/>
  <c r="J53" i="2"/>
  <c r="J28" i="4"/>
  <c r="Z28" i="4" s="1"/>
  <c r="K28" i="4"/>
  <c r="AA28" i="4" s="1"/>
  <c r="L52" i="2"/>
  <c r="L27" i="4"/>
  <c r="O28" i="4"/>
  <c r="AE28" i="4" s="1"/>
  <c r="B29" i="2"/>
  <c r="M22" i="4"/>
  <c r="K22" i="4"/>
  <c r="Y22" i="4"/>
  <c r="F28" i="4"/>
  <c r="V28" i="4" s="1"/>
  <c r="E53" i="2"/>
  <c r="E28" i="4"/>
  <c r="U28" i="4" s="1"/>
  <c r="C28" i="4"/>
  <c r="S28" i="4" s="1"/>
  <c r="M53" i="2"/>
  <c r="M28" i="4"/>
  <c r="H28" i="4"/>
  <c r="X28" i="4" s="1"/>
  <c r="N17" i="3"/>
  <c r="F47" i="2" s="1"/>
  <c r="F31" i="4" s="1"/>
  <c r="AC17" i="3"/>
  <c r="U47" i="2" s="1"/>
  <c r="U56" i="2" s="1"/>
  <c r="AG30" i="4"/>
  <c r="F22" i="4"/>
  <c r="F53" i="2"/>
  <c r="I14" i="4"/>
  <c r="Y14" i="4" s="1"/>
  <c r="AD22" i="4"/>
  <c r="V8" i="2"/>
  <c r="V55" i="2"/>
  <c r="P30" i="4"/>
  <c r="AF30" i="4" s="1"/>
  <c r="V28" i="2"/>
  <c r="K17" i="3"/>
  <c r="C47" i="2" s="1"/>
  <c r="C31" i="4" s="1"/>
  <c r="C53" i="2"/>
  <c r="M17" i="3"/>
  <c r="E47" i="2" s="1"/>
  <c r="E31" i="4" s="1"/>
  <c r="T17" i="3"/>
  <c r="L47" i="2" s="1"/>
  <c r="U17" i="3"/>
  <c r="M47" i="2" s="1"/>
  <c r="K53" i="2"/>
  <c r="S17" i="3"/>
  <c r="K47" i="2" s="1"/>
  <c r="B28" i="4"/>
  <c r="R28" i="4" s="1"/>
  <c r="U22" i="4"/>
  <c r="Z17" i="3"/>
  <c r="R47" i="2" s="1"/>
  <c r="R56" i="2" s="1"/>
  <c r="J17" i="3"/>
  <c r="B47" i="2" s="1"/>
  <c r="L29" i="2"/>
  <c r="H53" i="2"/>
  <c r="P21" i="4"/>
  <c r="AE22" i="4"/>
  <c r="AA17" i="3"/>
  <c r="S47" i="2" s="1"/>
  <c r="S56" i="2" s="1"/>
  <c r="R17" i="3"/>
  <c r="J47" i="2" s="1"/>
  <c r="J31" i="4" s="1"/>
  <c r="W17" i="3"/>
  <c r="O47" i="2" s="1"/>
  <c r="O31" i="4" s="1"/>
  <c r="AC22" i="4"/>
  <c r="V22" i="4"/>
  <c r="J29" i="2"/>
  <c r="R21" i="4"/>
  <c r="AG21" i="4" s="1"/>
  <c r="V44" i="2"/>
  <c r="G53" i="2"/>
  <c r="W28" i="4"/>
  <c r="AB17" i="3"/>
  <c r="T47" i="2" s="1"/>
  <c r="T56" i="2" s="1"/>
  <c r="Z22" i="4"/>
  <c r="X22" i="4"/>
  <c r="AD14" i="3"/>
  <c r="V18" i="2"/>
  <c r="B26" i="2"/>
  <c r="W26" i="2" s="1"/>
  <c r="B19" i="4"/>
  <c r="E29" i="2"/>
  <c r="AD9" i="3"/>
  <c r="W22" i="4"/>
  <c r="E22" i="4"/>
  <c r="V21" i="2"/>
  <c r="AB22" i="4"/>
  <c r="U14" i="4"/>
  <c r="AC26" i="4"/>
  <c r="R26" i="4"/>
  <c r="R20" i="4"/>
  <c r="P20" i="4"/>
  <c r="R18" i="4"/>
  <c r="V27" i="2"/>
  <c r="V51" i="2"/>
  <c r="J52" i="2"/>
  <c r="Z27" i="4"/>
  <c r="F52" i="2"/>
  <c r="V27" i="4"/>
  <c r="G52" i="2"/>
  <c r="W27" i="4"/>
  <c r="D56" i="2"/>
  <c r="D58" i="2" s="1"/>
  <c r="D59" i="2" s="1"/>
  <c r="H52" i="2"/>
  <c r="X27" i="4"/>
  <c r="N52" i="2"/>
  <c r="AD27" i="4"/>
  <c r="AD31" i="4" s="1"/>
  <c r="G56" i="2"/>
  <c r="G58" i="2" s="1"/>
  <c r="G59" i="2" s="1"/>
  <c r="V43" i="2"/>
  <c r="B52" i="2"/>
  <c r="B27" i="4"/>
  <c r="O52" i="2"/>
  <c r="AE27" i="4"/>
  <c r="I52" i="2"/>
  <c r="Y27" i="4"/>
  <c r="Y31" i="4" s="1"/>
  <c r="C52" i="2"/>
  <c r="S27" i="4"/>
  <c r="H56" i="2"/>
  <c r="H58" i="2" s="1"/>
  <c r="H59" i="2" s="1"/>
  <c r="E52" i="2"/>
  <c r="U27" i="4"/>
  <c r="K52" i="2"/>
  <c r="AA27" i="4"/>
  <c r="D52" i="2"/>
  <c r="T27" i="4"/>
  <c r="T31" i="4" s="1"/>
  <c r="I56" i="2" l="1"/>
  <c r="I58" i="2" s="1"/>
  <c r="I59" i="2" s="1"/>
  <c r="V25" i="2"/>
  <c r="W12" i="2"/>
  <c r="W47" i="2"/>
  <c r="W29" i="2"/>
  <c r="W52" i="2"/>
  <c r="W53" i="2"/>
  <c r="AF21" i="4"/>
  <c r="V12" i="2"/>
  <c r="U31" i="4"/>
  <c r="E56" i="2"/>
  <c r="E58" i="2" s="1"/>
  <c r="E59" i="2" s="1"/>
  <c r="P18" i="4"/>
  <c r="N56" i="2"/>
  <c r="AA31" i="4"/>
  <c r="AC28" i="4"/>
  <c r="P14" i="4"/>
  <c r="P22" i="4"/>
  <c r="K56" i="2"/>
  <c r="K58" i="2" s="1"/>
  <c r="K59" i="2" s="1"/>
  <c r="K31" i="4"/>
  <c r="V31" i="4"/>
  <c r="F56" i="2"/>
  <c r="F58" i="2" s="1"/>
  <c r="F59" i="2" s="1"/>
  <c r="S31" i="4"/>
  <c r="AE31" i="4"/>
  <c r="AB27" i="4"/>
  <c r="X31" i="4"/>
  <c r="C56" i="2"/>
  <c r="C58" i="2" s="1"/>
  <c r="C59" i="2" s="1"/>
  <c r="L56" i="2"/>
  <c r="L58" i="2" s="1"/>
  <c r="L59" i="2" s="1"/>
  <c r="L31" i="4"/>
  <c r="M56" i="2"/>
  <c r="M58" i="2" s="1"/>
  <c r="M59" i="2" s="1"/>
  <c r="M31" i="4"/>
  <c r="Z31" i="4"/>
  <c r="AB28" i="4"/>
  <c r="O56" i="2"/>
  <c r="W31" i="4"/>
  <c r="AD17" i="3"/>
  <c r="V53" i="2"/>
  <c r="J56" i="2"/>
  <c r="J58" i="2" s="1"/>
  <c r="J59" i="2" s="1"/>
  <c r="V29" i="2"/>
  <c r="V26" i="2"/>
  <c r="R19" i="4"/>
  <c r="R22" i="4" s="1"/>
  <c r="AG22" i="4" s="1"/>
  <c r="P19" i="4"/>
  <c r="AF14" i="4"/>
  <c r="AG14" i="4"/>
  <c r="P26" i="4"/>
  <c r="P28" i="4"/>
  <c r="AC27" i="4"/>
  <c r="AF20" i="4"/>
  <c r="AG20" i="4"/>
  <c r="AG26" i="4"/>
  <c r="AF26" i="4"/>
  <c r="AG18" i="4"/>
  <c r="AF18" i="4"/>
  <c r="AG28" i="4"/>
  <c r="V52" i="2"/>
  <c r="R27" i="4"/>
  <c r="V47" i="2"/>
  <c r="B56" i="2"/>
  <c r="B31" i="4"/>
  <c r="B58" i="2" l="1"/>
  <c r="B59" i="2" s="1"/>
  <c r="W56" i="2"/>
  <c r="AF28" i="4"/>
  <c r="AC31" i="4"/>
  <c r="AB31" i="4"/>
  <c r="AF19" i="4"/>
  <c r="AG19" i="4"/>
  <c r="AF22" i="4"/>
  <c r="P27" i="4"/>
  <c r="AG27" i="4"/>
  <c r="AF27" i="4"/>
  <c r="R31" i="4"/>
  <c r="V56" i="2"/>
  <c r="P31" i="4"/>
  <c r="AF31" i="4" l="1"/>
  <c r="AG31" i="4"/>
</calcChain>
</file>

<file path=xl/comments1.xml><?xml version="1.0" encoding="utf-8"?>
<comments xmlns="http://schemas.openxmlformats.org/spreadsheetml/2006/main">
  <authors>
    <author>Tom Eckman</author>
  </authors>
  <commentList>
    <comment ref="B4" authorId="0" shapeId="0">
      <text>
        <r>
          <rPr>
            <b/>
            <sz val="8"/>
            <color indexed="81"/>
            <rFont val="Tahoma"/>
            <family val="2"/>
          </rPr>
          <t>Tom Eckman:</t>
        </r>
        <r>
          <rPr>
            <sz val="8"/>
            <color indexed="81"/>
            <rFont val="Tahoma"/>
            <family val="2"/>
          </rPr>
          <t xml:space="preserve">
Default values based on 2006 program reports to RTF for non-BPA funded savings</t>
        </r>
      </text>
    </comment>
  </commentList>
</comments>
</file>

<file path=xl/comments2.xml><?xml version="1.0" encoding="utf-8"?>
<comments xmlns="http://schemas.openxmlformats.org/spreadsheetml/2006/main">
  <authors>
    <author>Tom Eckman</author>
  </authors>
  <commentList>
    <comment ref="B128" authorId="0" shapeId="0">
      <text>
        <r>
          <rPr>
            <b/>
            <sz val="9"/>
            <color indexed="81"/>
            <rFont val="Tahoma"/>
            <family val="2"/>
          </rPr>
          <t>Tom Eckman:</t>
        </r>
        <r>
          <rPr>
            <sz val="9"/>
            <color indexed="81"/>
            <rFont val="Tahoma"/>
            <family val="2"/>
          </rPr>
          <t xml:space="preserve">
West of Divide (In region) retail sales only.
</t>
        </r>
      </text>
    </comment>
    <comment ref="A135" authorId="0" shapeId="0">
      <text>
        <r>
          <rPr>
            <b/>
            <sz val="8"/>
            <color indexed="81"/>
            <rFont val="Tahoma"/>
            <family val="2"/>
          </rPr>
          <t>Tom Eckman:</t>
        </r>
        <r>
          <rPr>
            <sz val="8"/>
            <color indexed="81"/>
            <rFont val="Tahoma"/>
            <family val="2"/>
          </rPr>
          <t xml:space="preserve">
Excludes Trans Alta Mine in Centralia</t>
        </r>
      </text>
    </comment>
    <comment ref="A152" authorId="0" shapeId="0">
      <text>
        <r>
          <rPr>
            <b/>
            <sz val="8"/>
            <color indexed="81"/>
            <rFont val="Tahoma"/>
            <family val="2"/>
          </rPr>
          <t>Tom Eckman:</t>
        </r>
        <r>
          <rPr>
            <sz val="8"/>
            <color indexed="81"/>
            <rFont val="Tahoma"/>
            <family val="2"/>
          </rPr>
          <t xml:space="preserve">
Includes Trans Alta Mine @ Centralia</t>
        </r>
      </text>
    </comment>
  </commentList>
</comments>
</file>

<file path=xl/comments3.xml><?xml version="1.0" encoding="utf-8"?>
<comments xmlns="http://schemas.openxmlformats.org/spreadsheetml/2006/main">
  <authors>
    <author>Tom Eckman</author>
  </authors>
  <commentList>
    <comment ref="AA107" authorId="0" shapeId="0">
      <text>
        <r>
          <rPr>
            <b/>
            <sz val="8"/>
            <color indexed="81"/>
            <rFont val="Tahoma"/>
            <family val="2"/>
          </rPr>
          <t>Tom Eckman:</t>
        </r>
        <r>
          <rPr>
            <sz val="8"/>
            <color indexed="81"/>
            <rFont val="Tahoma"/>
            <family val="2"/>
          </rPr>
          <t xml:space="preserve">
Excludes Trans Alta Mine in Centralia</t>
        </r>
      </text>
    </comment>
    <comment ref="AA125" authorId="0" shapeId="0">
      <text>
        <r>
          <rPr>
            <b/>
            <sz val="8"/>
            <color indexed="81"/>
            <rFont val="Tahoma"/>
            <family val="2"/>
          </rPr>
          <t>Tom Eckman:</t>
        </r>
        <r>
          <rPr>
            <sz val="8"/>
            <color indexed="81"/>
            <rFont val="Tahoma"/>
            <family val="2"/>
          </rPr>
          <t xml:space="preserve">
Includes Trans Alta Mine @ Centralia</t>
        </r>
      </text>
    </comment>
  </commentList>
</comments>
</file>

<file path=xl/sharedStrings.xml><?xml version="1.0" encoding="utf-8"?>
<sst xmlns="http://schemas.openxmlformats.org/spreadsheetml/2006/main" count="1444" uniqueCount="476">
  <si>
    <t>Year</t>
  </si>
  <si>
    <t>Residential</t>
  </si>
  <si>
    <t>Commercial</t>
  </si>
  <si>
    <t>Industrial</t>
  </si>
  <si>
    <t>Sector/Resource Type</t>
  </si>
  <si>
    <t>Commercial - Non Lost Opportunity</t>
  </si>
  <si>
    <t>Residential - Non Lost Opportunity</t>
  </si>
  <si>
    <t>Industrial - Non Lost Opportunity</t>
  </si>
  <si>
    <t>Irrigated Agriculture - Non Lost Opportunity</t>
  </si>
  <si>
    <t>Commercial - Lost Opportunity</t>
  </si>
  <si>
    <t>Residential - Lost Opportunity</t>
  </si>
  <si>
    <t>Total</t>
  </si>
  <si>
    <t>Commerical</t>
  </si>
  <si>
    <t>Puget Sound Energy Inc</t>
  </si>
  <si>
    <t>WA</t>
  </si>
  <si>
    <t>Irrigated Agriculture</t>
  </si>
  <si>
    <t>Total Target All Sectors</t>
  </si>
  <si>
    <t>State</t>
  </si>
  <si>
    <t>City of Albion</t>
  </si>
  <si>
    <t>ID</t>
  </si>
  <si>
    <t>Alder Mutual Light Co, Inc</t>
  </si>
  <si>
    <t>City of Ashland</t>
  </si>
  <si>
    <t>OR</t>
  </si>
  <si>
    <t>City of Bandon</t>
  </si>
  <si>
    <t>PUD No 1 of Benton County</t>
  </si>
  <si>
    <t>Benton Rural Electric Assn</t>
  </si>
  <si>
    <t>Big Bend Electric Coop, Inc</t>
  </si>
  <si>
    <t>City of Blaine</t>
  </si>
  <si>
    <t>City of Bonners Ferry</t>
  </si>
  <si>
    <t>City of Burley</t>
  </si>
  <si>
    <t>City of Cascade Locks</t>
  </si>
  <si>
    <t>Central Lincoln People's Ut Dt</t>
  </si>
  <si>
    <t>City of Centralia</t>
  </si>
  <si>
    <t>PUD No 1 of Chelan County</t>
  </si>
  <si>
    <t>City of Cheney</t>
  </si>
  <si>
    <t>City of Chewelah</t>
  </si>
  <si>
    <t>PUD No 1 of Clallam County</t>
  </si>
  <si>
    <t>PUD No 1 of Clark County</t>
  </si>
  <si>
    <t>Clearwater Power Company</t>
  </si>
  <si>
    <t>Columbia Basin Elec Cooperative, Inc</t>
  </si>
  <si>
    <t>Columbia Power Coop Assn Inc</t>
  </si>
  <si>
    <t>Columbia Rural Elec Assn, Inc</t>
  </si>
  <si>
    <t>Coos-Curry Electric Coop, Inc</t>
  </si>
  <si>
    <t>City of Coulee Dam</t>
  </si>
  <si>
    <t>PUD No 1 of Cowlitz County</t>
  </si>
  <si>
    <t>Consumers Power, Inc</t>
  </si>
  <si>
    <t>PUD No 1 of Douglas County</t>
  </si>
  <si>
    <t>Douglas Electric Coop, Inc</t>
  </si>
  <si>
    <t>City of Drain</t>
  </si>
  <si>
    <t>East End Mutual Elec Co Ltd</t>
  </si>
  <si>
    <t>Town of Eatonville</t>
  </si>
  <si>
    <t>Elmhurst Mutual Power &amp; Light Co</t>
  </si>
  <si>
    <t>City of Eugene</t>
  </si>
  <si>
    <t>City of Ellensburg</t>
  </si>
  <si>
    <t>Farmers Electric Company, Ltd</t>
  </si>
  <si>
    <t>Fall River Rural Elec Coop Inc</t>
  </si>
  <si>
    <t>MT</t>
  </si>
  <si>
    <t>WY</t>
  </si>
  <si>
    <t>PUD No 1 of Ferry County</t>
  </si>
  <si>
    <t>Flathead Electric Coop Inc</t>
  </si>
  <si>
    <t>City of Forest Grove</t>
  </si>
  <si>
    <t>PUD No 1 of Franklin County</t>
  </si>
  <si>
    <t>City of Declo</t>
  </si>
  <si>
    <t>Glacier Electric Coop, Inc</t>
  </si>
  <si>
    <t>PUD No 1 of Grays Harbor Cnty</t>
  </si>
  <si>
    <t>City of Hermiston</t>
  </si>
  <si>
    <t>City of Heyburn</t>
  </si>
  <si>
    <t>Inland Power &amp; Light Company</t>
  </si>
  <si>
    <t>Hood River Electric Coop</t>
  </si>
  <si>
    <t>Idaho Cnty L&amp;P Coop Assn, Inc</t>
  </si>
  <si>
    <t>City of Idaho Falls</t>
  </si>
  <si>
    <t>Idaho Power Co</t>
  </si>
  <si>
    <t>PUD No 1 of Kittitas County</t>
  </si>
  <si>
    <t>PUD No 1 of Klickitat County</t>
  </si>
  <si>
    <t>Kootenai Electric Coop Inc</t>
  </si>
  <si>
    <t>Lakeview Light &amp; Power</t>
  </si>
  <si>
    <t>Lane Electric Coop Inc</t>
  </si>
  <si>
    <t>PUD No 1 of Lewis County</t>
  </si>
  <si>
    <t>Lincoln Electric Coop, Inc</t>
  </si>
  <si>
    <t>Lost River Electric Coop Inc</t>
  </si>
  <si>
    <t>Lower Valley Energy Inc</t>
  </si>
  <si>
    <t>Harney Electric Coop, Inc</t>
  </si>
  <si>
    <t>NV</t>
  </si>
  <si>
    <t>City of McCleary</t>
  </si>
  <si>
    <t>City of McMinnville</t>
  </si>
  <si>
    <t>Midstate Electric Coop, Inc</t>
  </si>
  <si>
    <t>City of Minidoka</t>
  </si>
  <si>
    <t>City of Milton-Freewater</t>
  </si>
  <si>
    <t>City of Milton</t>
  </si>
  <si>
    <t>Missoula Electric Coop, Inc</t>
  </si>
  <si>
    <t>Modern Electric Water Company</t>
  </si>
  <si>
    <t>City of Monmouth</t>
  </si>
  <si>
    <t>NorthWestern Energy LLC</t>
  </si>
  <si>
    <t>Nespelem Valley Elec Coop, Inc</t>
  </si>
  <si>
    <t>Northern Lights, Inc</t>
  </si>
  <si>
    <t>Northern Wasco County PUD</t>
  </si>
  <si>
    <t>Ohop Mutual Light Company, Inc</t>
  </si>
  <si>
    <t>PUD No 1 of Okanogan County</t>
  </si>
  <si>
    <t>Okanogan County Elec Coop, Inc</t>
  </si>
  <si>
    <t>Oregon Trail El Cons Coop, Inc</t>
  </si>
  <si>
    <t>Orcas Power &amp; Light Coop</t>
  </si>
  <si>
    <t>PUD No 2 of Pacific County</t>
  </si>
  <si>
    <t>PacifiCorp</t>
  </si>
  <si>
    <t>CA</t>
  </si>
  <si>
    <t>Parkland Light &amp; Water Company</t>
  </si>
  <si>
    <t>PUD No 2 of Grant County</t>
  </si>
  <si>
    <t>PUD No 1 of Pend Oreille Cnty</t>
  </si>
  <si>
    <t>Peninsula Light Company</t>
  </si>
  <si>
    <t>City of Port Angeles</t>
  </si>
  <si>
    <t>Portland General Electric Company</t>
  </si>
  <si>
    <t>City of Plummer</t>
  </si>
  <si>
    <t>PUD No 1 Wahkiakum County</t>
  </si>
  <si>
    <t>PUD No 3 of Mason County</t>
  </si>
  <si>
    <t>City of Richland</t>
  </si>
  <si>
    <t>City of Rupert</t>
  </si>
  <si>
    <t>Town of Ruston</t>
  </si>
  <si>
    <t>City of Salem</t>
  </si>
  <si>
    <t>Salmon River Electric Coop Inc</t>
  </si>
  <si>
    <t>City of Seattle</t>
  </si>
  <si>
    <t>PUD No 1 of Skamania County</t>
  </si>
  <si>
    <t>PUD No 1 of Snohomish County</t>
  </si>
  <si>
    <t>City of Soda Springs</t>
  </si>
  <si>
    <t>South Side Electric, Inc</t>
  </si>
  <si>
    <t>City of Springfield</t>
  </si>
  <si>
    <t>Town of Steilacoom</t>
  </si>
  <si>
    <t>Surprise Valley Electrification Corp.</t>
  </si>
  <si>
    <t>City of Sumas</t>
  </si>
  <si>
    <t>City of Tacoma</t>
  </si>
  <si>
    <t>Tanner Electric Coop</t>
  </si>
  <si>
    <t>Tillamook Peoples Utility Dist</t>
  </si>
  <si>
    <t>City of Troy</t>
  </si>
  <si>
    <t>Umatilla Electric Coop Assn</t>
  </si>
  <si>
    <t>United Electric Co-op, Inc</t>
  </si>
  <si>
    <t>Mission Valley Power</t>
  </si>
  <si>
    <t>Vera Irrigation District #15</t>
  </si>
  <si>
    <t>Wasco Electric Coop, Inc</t>
  </si>
  <si>
    <t>Avista Corp</t>
  </si>
  <si>
    <t>City of Weiser</t>
  </si>
  <si>
    <t>Wells Rural Electric Co</t>
  </si>
  <si>
    <t>West Oregon Electric Coop Inc</t>
  </si>
  <si>
    <t>PUD No 1 of Mason County</t>
  </si>
  <si>
    <t>Raft River Rural Elec Coop Inc</t>
  </si>
  <si>
    <t>Vigilante Electric Coop, Inc</t>
  </si>
  <si>
    <t>Ravalli County Elec Coop, Inc</t>
  </si>
  <si>
    <t>Clatskanie Peoples Util Dist</t>
  </si>
  <si>
    <t>Emerald People's Utility Dist</t>
  </si>
  <si>
    <t>Columbia River Peoples Ut Dist</t>
  </si>
  <si>
    <t>PUD No 1 of Whatcom County</t>
  </si>
  <si>
    <t>aMW</t>
  </si>
  <si>
    <t>EIA UTILITY_ID</t>
  </si>
  <si>
    <t>UTILITY NAME</t>
  </si>
  <si>
    <t>Residential Retail Sales (MWh)</t>
  </si>
  <si>
    <t>Commercial Retail Sales (MWh)</t>
  </si>
  <si>
    <t>Industrial Retail Sales (MWh)</t>
  </si>
  <si>
    <t>Total Retail Sales (MWh)</t>
  </si>
  <si>
    <t>Share of PNW Retail Sales</t>
  </si>
  <si>
    <t>MWH</t>
  </si>
  <si>
    <t>PNW - Total</t>
  </si>
  <si>
    <t>States</t>
  </si>
  <si>
    <t>UtitlityState Code</t>
  </si>
  <si>
    <t>Annual Conservation Target (aMW)</t>
  </si>
  <si>
    <t>Annual Conservation Target (MWH)</t>
  </si>
  <si>
    <t>Select Utility Service Area</t>
  </si>
  <si>
    <t xml:space="preserve">Residential </t>
  </si>
  <si>
    <t>Res</t>
  </si>
  <si>
    <t>Com</t>
  </si>
  <si>
    <t>Ind/Irrg Ag</t>
  </si>
  <si>
    <t>Total - All Sectors</t>
  </si>
  <si>
    <t>Option 1 - Target Based on Utility Share of Total Regional Retail Sales</t>
  </si>
  <si>
    <t>Option 2 - Target Based on Utility Share of Total Regional Retail Sales by Sector</t>
  </si>
  <si>
    <t>Sector</t>
  </si>
  <si>
    <t>Ind</t>
  </si>
  <si>
    <t>Irrg Agr</t>
  </si>
  <si>
    <t>Irrg Ag</t>
  </si>
  <si>
    <t>Assumed Regional Irrg Ag Sales (aMW)</t>
  </si>
  <si>
    <t>Ind Sales, Net of Irrg Agr</t>
  </si>
  <si>
    <t xml:space="preserve">Irrg Ag Sales </t>
  </si>
  <si>
    <t>Option 3 - Target Based on Utility Reported Share of Total Regional Retail Sales by Sector - Adjusted for Irrigation Sales</t>
  </si>
  <si>
    <t>Share of Regional Sales</t>
  </si>
  <si>
    <t>Net Industrial Sales (MWh) =&gt;</t>
  </si>
  <si>
    <t>EIA 2005 Reported Industrial and Irrigated Agriculture Sales (MWH)</t>
  </si>
  <si>
    <t>Combined Ind &amp; Irrig Sales (MWh)=&gt;</t>
  </si>
  <si>
    <t>Agriculture/Irrigation</t>
  </si>
  <si>
    <t>All Sectors</t>
  </si>
  <si>
    <t xml:space="preserve">Default </t>
  </si>
  <si>
    <t>Planned</t>
  </si>
  <si>
    <t>Option 1 - Annual Conservation Target (aMW)</t>
  </si>
  <si>
    <t>Option 2 - Annual Conservation Target (aMW)</t>
  </si>
  <si>
    <t>Option 3 - Annual Conservation Target (aMW)</t>
  </si>
  <si>
    <t>Select First Year Acquisition Cost/aMW Assumption</t>
  </si>
  <si>
    <r>
      <t>Intructions:</t>
    </r>
    <r>
      <rPr>
        <sz val="10"/>
        <rFont val="Arial"/>
        <family val="2"/>
      </rPr>
      <t xml:space="preserve"> The purpose of this worksheet is to provide utilities with an </t>
    </r>
    <r>
      <rPr>
        <i/>
        <u/>
        <sz val="10"/>
        <rFont val="Arial"/>
        <family val="2"/>
      </rPr>
      <t>estimate</t>
    </r>
    <r>
      <rPr>
        <sz val="10"/>
        <rFont val="Arial"/>
        <family val="2"/>
      </rPr>
      <t xml:space="preserve"> of the annual budget that </t>
    </r>
    <r>
      <rPr>
        <i/>
        <sz val="10"/>
        <rFont val="Arial"/>
        <family val="2"/>
      </rPr>
      <t>may be</t>
    </r>
    <r>
      <rPr>
        <sz val="10"/>
        <rFont val="Arial"/>
        <family val="2"/>
      </rPr>
      <t xml:space="preserve"> required to acquire "their share" of the Northwest Power and Conservation Council 5th Plan's regional conservation target. It is not intended to set minumum expenditure levels.  The Council does not formally assign individual utility targets or minimum expenditures in its planning process. Individual utility conservation goals are best established through utility integrated resource planning processes which can better account for local conditions and legal requirements. Nevertheless, the results of this calculator can be used as rough guidance for utility conservation program planning until such time as a utility completes its own integrated resource plan or other similar process. The "Utility First Year Acquistion Cost/aMW" shown under the "Default" heading are based in 2006 savings and expenditures reported to the RTF for savings acquired with local utility (i.e., non-Bonneville) funds. Users who enter "Planned" First Year Acquisition Cost based on their own prior program experience should then select "Planned" acquistion cost.</t>
    </r>
  </si>
  <si>
    <t>Non Lost Opportunity Resources</t>
  </si>
  <si>
    <t>Lost Opportubnity</t>
  </si>
  <si>
    <t>Version Number =&gt;</t>
  </si>
  <si>
    <t>Last Revised =&gt;</t>
  </si>
  <si>
    <t>Utility Shares Based on EIA Data for =&gt;</t>
  </si>
  <si>
    <t xml:space="preserve">Data Source Location: </t>
  </si>
  <si>
    <t>http://www.eia.doe.gov/cneaf/electricity/esr/esr_sum.html</t>
  </si>
  <si>
    <t>Data are from Tables 6 through 9</t>
  </si>
  <si>
    <t>Idaho</t>
  </si>
  <si>
    <t>Montana</t>
  </si>
  <si>
    <t>Oregon</t>
  </si>
  <si>
    <t>Washingon</t>
  </si>
  <si>
    <t>Utitlity State Code</t>
  </si>
  <si>
    <t>Blachly-Lane Cnty Coop El Assn</t>
  </si>
  <si>
    <t>Canby Utility Board</t>
  </si>
  <si>
    <t>Central Electric Coop Inc</t>
  </si>
  <si>
    <t>6th Plan Conservation Annual Targets (aMW)</t>
  </si>
  <si>
    <t>2010 - 2029 Cumulative Total</t>
  </si>
  <si>
    <t>2007 Retail Sales (MWH)</t>
  </si>
  <si>
    <t>6th Plan Conservation Target Calculator</t>
  </si>
  <si>
    <r>
      <t>Introduction:</t>
    </r>
    <r>
      <rPr>
        <sz val="10"/>
        <rFont val="Arial"/>
        <family val="2"/>
      </rPr>
      <t xml:space="preserve"> The purpose of this calculator is to provide utilities with a simple means to compute "their share" of the Northwest Power and Conservation Council 6th Plan's regional conservation target. This calculator is intended to provide utilities with an "approximation" of the level of conservation they should target in order to be consistent with the Council's regional goals. The Council </t>
    </r>
    <r>
      <rPr>
        <b/>
        <i/>
        <u/>
        <sz val="10"/>
        <rFont val="Arial"/>
        <family val="2"/>
      </rPr>
      <t>does not</t>
    </r>
    <r>
      <rPr>
        <sz val="10"/>
        <rFont val="Arial"/>
        <family val="2"/>
      </rPr>
      <t xml:space="preserve"> formally assign individual utility targets in its planning process. Individual utility conservation goals are best established through utility integrated resource planning processes which can better account for local conditions and legal requirements. Nevertheless, the results of this calculator can be used as rough guidance for utility conservation program planning until such time as a utility completes its own integrated resource plan or other similar process.</t>
    </r>
  </si>
  <si>
    <t xml:space="preserve">6th Plan Annual Conservation Targets - Mean Build Out </t>
  </si>
  <si>
    <t>6th Plan Annual Conservation Targets - Mean Build Out  (Rounded)</t>
  </si>
  <si>
    <t>6th Plan Annual MW Targets by Sector &amp; Resource Type</t>
  </si>
  <si>
    <t>Distribution System Efficiency</t>
  </si>
  <si>
    <t>Distribution System Efficiency - Non Lost Opportunity</t>
  </si>
  <si>
    <t>2010-29</t>
  </si>
  <si>
    <t>DEI</t>
  </si>
  <si>
    <t>Total 2010 - 2023</t>
  </si>
  <si>
    <t>Average Annual Target 2010 - 2023</t>
  </si>
  <si>
    <t>Total 2010 - 2024</t>
  </si>
  <si>
    <t>Share Non_Ind</t>
  </si>
  <si>
    <t>Dis Eff</t>
  </si>
  <si>
    <t>Enter 2007 Irrigation Sales (MWh) =&gt;</t>
  </si>
  <si>
    <t>Item</t>
  </si>
  <si>
    <t>Description</t>
  </si>
  <si>
    <t>Who</t>
  </si>
  <si>
    <t>When</t>
  </si>
  <si>
    <t>Grist</t>
  </si>
  <si>
    <t>Reviewed logic on sheet 'Target Calculator'</t>
  </si>
  <si>
    <r>
      <t xml:space="preserve">Instructions: Select utility from the pull-down menu in row 7.  Three options are provided to calculate individual utility shares of the 6th Plan's conservation target. Option 1 is best suited for larger utilities whose retail sales across residential, commercial and industrial sectors reasonably match those of the entire region. Option 2 is best suited for any utility regardless of size that does not have significant retail sales to irrigated agriculture.  Options 1 and 2 do not require any input data. Users only need to select the utility service territory of interest. Option 3 requires that the user enter the utility's 2007 retail sales to the irrigated agriculture sector (cell i35). Option 3 is the is preferred approach since it best accounts for differences in both the resource potential and the 6th Plan's targets across sectors. The results for Option 3 are not valid unless a utility's irrigation sector retail sales have been entered by the user.  </t>
    </r>
    <r>
      <rPr>
        <i/>
        <sz val="10"/>
        <rFont val="Arial"/>
        <family val="2"/>
      </rPr>
      <t xml:space="preserve">Note: Utilities that serve multiple states must add each states results together to determine their totals. </t>
    </r>
  </si>
  <si>
    <t>Revised instructions on sheet 'Target Calculator' in ROW 3 for cell references and dates</t>
  </si>
  <si>
    <t>Revised column Q on sheet 'Target Calculator' to reference 2010-2023</t>
  </si>
  <si>
    <t>Revised instructions on sheet 'Target Calculator' in ROW 32 for cell references and dates</t>
  </si>
  <si>
    <t>Added data validation for user input Ag sales (cell i37) to protect against estimate higher than EIA Industrial and resultant negative industrial sales.</t>
  </si>
  <si>
    <t xml:space="preserve">Added macro "clearagsales" to the drop-down utility picker to clear residual user input "Agriculture Sales" data in cell i37 when user changes utility.  </t>
  </si>
  <si>
    <t>Industrial and Agriculture</t>
  </si>
  <si>
    <t>Agriculture</t>
  </si>
  <si>
    <t xml:space="preserve"> Agriculture</t>
  </si>
  <si>
    <t>EIA includes irrigation and on farm agricultural sales in its industrial sector total. In order to adjust for this, please enter your utility's 2007 retail sales in MWH for irrigation below in cell i35. The industrial sector sales will update automatically so that the total still agrees with EIA data.</t>
  </si>
  <si>
    <t>Donations</t>
  </si>
  <si>
    <t>Low-Income Weatherization</t>
  </si>
  <si>
    <t>Other</t>
  </si>
  <si>
    <t>Utility System</t>
  </si>
  <si>
    <t xml:space="preserve">2006 RCP Data </t>
  </si>
  <si>
    <t>2006$/MWH</t>
  </si>
  <si>
    <t>Utility First Year Cost of Savings (million 2009$/aMW)</t>
  </si>
  <si>
    <t>2006$ to 2010$</t>
  </si>
  <si>
    <t>Industrial/Agriculture</t>
  </si>
  <si>
    <t>Estimated Annual Acquisition Budget Requirements (millions year 2010$)</t>
  </si>
  <si>
    <t>Revised 'Budget Estimator'</t>
  </si>
  <si>
    <t>Eckman</t>
  </si>
  <si>
    <t>Revised "Irrigated Agriculture" to "Agriculture" on sheet 'Target Calculator'.  Calc now includes Dairy savings.</t>
  </si>
  <si>
    <t>Change Log</t>
  </si>
  <si>
    <t>Riverside Electric Co</t>
  </si>
  <si>
    <t>Added Riverside Electric Retail sales data (2007) from BPA. Updated state allocations values (Note:These are values, changes in table will not be reflected in state totals unless these values are updated).</t>
  </si>
  <si>
    <t>Total 2010 - 2029</t>
  </si>
  <si>
    <t>Average Annual Target 2010 - 2029</t>
  </si>
  <si>
    <t>Portl of Seattle</t>
  </si>
  <si>
    <t>Added Port of Seattle sales data from BPA, updated Washington State Totals</t>
  </si>
  <si>
    <t>LO</t>
  </si>
  <si>
    <t>NLO</t>
  </si>
  <si>
    <t>6th Plan RPM Mean Converation Build Out by Year</t>
  </si>
  <si>
    <t>Incremental Achievable Potential (aMW/yr)</t>
  </si>
  <si>
    <t>Type</t>
  </si>
  <si>
    <t>Resource</t>
  </si>
  <si>
    <t>DHW_Light_Appliances</t>
  </si>
  <si>
    <t>ICE</t>
  </si>
  <si>
    <t>Space Conditioning</t>
  </si>
  <si>
    <t>All</t>
  </si>
  <si>
    <t>Cumulative Total</t>
  </si>
  <si>
    <t>Irrigated Ag</t>
  </si>
  <si>
    <t>SIS</t>
  </si>
  <si>
    <t>Hardware</t>
  </si>
  <si>
    <t>Dairy</t>
  </si>
  <si>
    <t>Milk Processing</t>
  </si>
  <si>
    <t>Annual</t>
  </si>
  <si>
    <t>Cumulative</t>
  </si>
  <si>
    <t>LO PRM Build Out</t>
  </si>
  <si>
    <t>NLO RPM Build Out</t>
  </si>
  <si>
    <t>Total RPM Build Out</t>
  </si>
  <si>
    <t>EE</t>
  </si>
  <si>
    <t>Target, less distribution efficiency</t>
  </si>
  <si>
    <t>Corrected equation that calculates average savings/year from 2010-2029.</t>
  </si>
  <si>
    <t>Corrected last revised date in sheet "Target Calculator" at cell O4 and version number at cell B4.  No substantive change so keep version name v2.03.</t>
  </si>
  <si>
    <t>California</t>
  </si>
  <si>
    <t>Wyoming</t>
  </si>
  <si>
    <t>Neveda</t>
  </si>
  <si>
    <t>Lookup Table Column No.&gt;</t>
  </si>
  <si>
    <t>Transportation</t>
  </si>
  <si>
    <t xml:space="preserve"> Entity &amp; State</t>
  </si>
  <si>
    <t xml:space="preserve"> Entity </t>
  </si>
  <si>
    <t xml:space="preserve"> State</t>
  </si>
  <si>
    <t xml:space="preserve"> Class of Ownership</t>
  </si>
  <si>
    <t>Number of Consumers</t>
  </si>
  <si>
    <t xml:space="preserve"> Retail Sales (MWH)</t>
  </si>
  <si>
    <t>Revenue (1000$)</t>
  </si>
  <si>
    <t>Average Retail Price (cents/ kWh)</t>
  </si>
  <si>
    <t>Alder Mutual Light Co, Inc - WA</t>
  </si>
  <si>
    <t>Cooperative</t>
  </si>
  <si>
    <t>Avista Corp - ID</t>
  </si>
  <si>
    <t>Investor Owned</t>
  </si>
  <si>
    <t>Avista Corp - MT</t>
  </si>
  <si>
    <t>Avista Corp - WA</t>
  </si>
  <si>
    <t>Benton Rural Electric Assn - WA</t>
  </si>
  <si>
    <t>Big Bend Electric Coop, Inc - WA</t>
  </si>
  <si>
    <t>Blachly-Lane Cnty Coop El Assn - OR</t>
  </si>
  <si>
    <t>Federal</t>
  </si>
  <si>
    <t>Canby Utility Board - OR</t>
  </si>
  <si>
    <t>Public</t>
  </si>
  <si>
    <t>Central Electric Coop Inc - OR</t>
  </si>
  <si>
    <t>Central Lincoln People's Ut Dt - OR</t>
  </si>
  <si>
    <t>City of Albion - ID</t>
  </si>
  <si>
    <t>City of Ashland - OR</t>
  </si>
  <si>
    <t>City of Bandon - OR</t>
  </si>
  <si>
    <t>City of Blaine - WA</t>
  </si>
  <si>
    <t>City of Bonners Ferry - ID</t>
  </si>
  <si>
    <t>City of Burley - ID</t>
  </si>
  <si>
    <t>City of Cascade Locks - OR</t>
  </si>
  <si>
    <t>City of Centralia - WA</t>
  </si>
  <si>
    <t>City of Cheney - WA</t>
  </si>
  <si>
    <t>City of Chewelah - WA</t>
  </si>
  <si>
    <t>City of Coulee Dam - WA</t>
  </si>
  <si>
    <t>City of Declo - ID</t>
  </si>
  <si>
    <t>City of Drain - OR</t>
  </si>
  <si>
    <t>City of Ellensburg - WA</t>
  </si>
  <si>
    <t>City of Forest Grove - OR</t>
  </si>
  <si>
    <t>City of Hermiston - OR</t>
  </si>
  <si>
    <t>City of McCleary - WA</t>
  </si>
  <si>
    <t>City of Milton - WA</t>
  </si>
  <si>
    <t>City of Milton-Freewater - OR</t>
  </si>
  <si>
    <t>City of Minidoka - ID</t>
  </si>
  <si>
    <t>City of Monmouth - OR</t>
  </si>
  <si>
    <t>City of Plummer - ID</t>
  </si>
  <si>
    <t>City of Richland - WA</t>
  </si>
  <si>
    <t>City of Soda Springs - ID</t>
  </si>
  <si>
    <t>City of Springfield - OR</t>
  </si>
  <si>
    <t>City of Sumas - WA</t>
  </si>
  <si>
    <t>City of Troy - MT</t>
  </si>
  <si>
    <t>City of Weiser - ID</t>
  </si>
  <si>
    <t>Clatskanie Peoples Util Dist - OR</t>
  </si>
  <si>
    <t>Clearwater Power Company - ID</t>
  </si>
  <si>
    <t>Clearwater Power Company - OR</t>
  </si>
  <si>
    <t>Clearwater Power Company - WA</t>
  </si>
  <si>
    <t>Columbia Basin Elec Cooperative, Inc - OR</t>
  </si>
  <si>
    <t>Columbia Power Coop Assn Inc - OR</t>
  </si>
  <si>
    <t>Columbia River Peoples Ut Dist - OR</t>
  </si>
  <si>
    <t>Columbia Rural Elec Assn, Inc - OR</t>
  </si>
  <si>
    <t>Columbia Rural Elec Assn, Inc - WA</t>
  </si>
  <si>
    <t>Consumers Power, Inc - OR</t>
  </si>
  <si>
    <t>Coos-Curry Electric Coop, Inc - OR</t>
  </si>
  <si>
    <t>Douglas Electric Coop, Inc - OR</t>
  </si>
  <si>
    <t>East End Mutual Elec Co Ltd - ID</t>
  </si>
  <si>
    <t>Elmhurst Mutual Power &amp; Light Co - WA</t>
  </si>
  <si>
    <t>Emerald People's Utility Dist - OR</t>
  </si>
  <si>
    <t>Fall River Rural Elec Coop Inc - ID</t>
  </si>
  <si>
    <t>Fall River Rural Elec Coop Inc - MT</t>
  </si>
  <si>
    <t>Fall River Rural Elec Coop Inc - WY</t>
  </si>
  <si>
    <t>Farmers Electric Company, Ltd - ID</t>
  </si>
  <si>
    <t>Flathead Electric Coop Inc - MT</t>
  </si>
  <si>
    <t>Glacier Electric Coop, Inc - MT</t>
  </si>
  <si>
    <t>Harney Electric Coop, Inc - NV</t>
  </si>
  <si>
    <t>Harney Electric Coop, Inc - OR</t>
  </si>
  <si>
    <t>Hood River Electric Coop - OR</t>
  </si>
  <si>
    <t>Idaho Cnty L&amp;P Coop Assn, Inc - ID</t>
  </si>
  <si>
    <t>Idaho Power Co - ID</t>
  </si>
  <si>
    <t>Idaho Power Co - OR</t>
  </si>
  <si>
    <t>Inland Power &amp; Light Company - ID</t>
  </si>
  <si>
    <t>Inland Power &amp; Light Company - WA</t>
  </si>
  <si>
    <t>Kootenai Electric Coop Inc - ID</t>
  </si>
  <si>
    <t>Kootenai Electric Coop Inc - WA</t>
  </si>
  <si>
    <t>Lakeview Light &amp; Power - WA</t>
  </si>
  <si>
    <t>Lane Electric Coop Inc - OR</t>
  </si>
  <si>
    <t>Lincoln Electric Coop, Inc - MT</t>
  </si>
  <si>
    <t>Lost River Electric Coop Inc - ID</t>
  </si>
  <si>
    <t>Lower Valley Energy Inc - ID</t>
  </si>
  <si>
    <t>Lower Valley Energy Inc - WY</t>
  </si>
  <si>
    <t>Midstate Electric Coop, Inc - OR</t>
  </si>
  <si>
    <t>Missoula Electric Coop, Inc - ID</t>
  </si>
  <si>
    <t>Missoula Electric Coop, Inc - MT</t>
  </si>
  <si>
    <t>Modern Electric Water Company - WA</t>
  </si>
  <si>
    <t>Nespelem Valley Elec Coop, Inc - WA</t>
  </si>
  <si>
    <t>Northern Lights, Inc - ID</t>
  </si>
  <si>
    <t>Northern Lights, Inc - MT</t>
  </si>
  <si>
    <t>Northern Lights, Inc - WA</t>
  </si>
  <si>
    <t>Northern Wasco County PUD - OR</t>
  </si>
  <si>
    <t>Ohop Mutual Light Company, Inc - WA</t>
  </si>
  <si>
    <t>Okanogan County Elec Coop, Inc - WA</t>
  </si>
  <si>
    <t>Orcas Power &amp; Light Coop - WA</t>
  </si>
  <si>
    <t>Oregon Trail El Cons Coop, Inc - OR</t>
  </si>
  <si>
    <t>PacifiCorp - ID</t>
  </si>
  <si>
    <t>PacifiCorp - OR</t>
  </si>
  <si>
    <t>PacifiCorp - WA</t>
  </si>
  <si>
    <t>Parkland Light &amp; Water Company - WA</t>
  </si>
  <si>
    <t>Peninsula Light Company - WA</t>
  </si>
  <si>
    <t>PUD No 1 of Asotin County - WA</t>
  </si>
  <si>
    <t>PUD No 1 of Asotin County</t>
  </si>
  <si>
    <t>PUD No 1 of Benton County - WA</t>
  </si>
  <si>
    <t>PUD No 1 of Chelan County - WA</t>
  </si>
  <si>
    <t>PUD No 1 of Clallam County - WA</t>
  </si>
  <si>
    <t>PUD No 1 of Clark County - WA</t>
  </si>
  <si>
    <t>PUD No 1 of Cowlitz County - WA</t>
  </si>
  <si>
    <t>PUD No 1 of Douglas County - WA</t>
  </si>
  <si>
    <t>PUD No 1 of Ferry County - WA</t>
  </si>
  <si>
    <t>PUD No 1 of Franklin County - WA</t>
  </si>
  <si>
    <t>PUD No 1 of Grays Harbor Cnty - WA</t>
  </si>
  <si>
    <t>PUD No 1 of Kittitas County - WA</t>
  </si>
  <si>
    <t>PUD No 1 of Klickitat County - WA</t>
  </si>
  <si>
    <t>PUD No 1 of Lewis County - WA</t>
  </si>
  <si>
    <t>PUD No 1 of Mason County - WA</t>
  </si>
  <si>
    <t>PUD No 1 of Okanogan County - WA</t>
  </si>
  <si>
    <t>PUD No 1 of Pend Oreille Cnty - WA</t>
  </si>
  <si>
    <t>PUD No 1 of Whatcom County - WA</t>
  </si>
  <si>
    <t>PUD No 1 Wahkiakum County - WA</t>
  </si>
  <si>
    <t>PUD No 2 of Grant County - WA</t>
  </si>
  <si>
    <t>PUD No 2 of Pacific County - WA</t>
  </si>
  <si>
    <t>PUD No 3 of Mason County - WA</t>
  </si>
  <si>
    <t>Puget Sound Energy Inc - WA</t>
  </si>
  <si>
    <t>Raft River Rural Elec Coop Inc - ID</t>
  </si>
  <si>
    <t>Raft River Rural Elec Coop Inc - NV</t>
  </si>
  <si>
    <t>Ravalli County Elec Coop, Inc - MT</t>
  </si>
  <si>
    <t>Salmon River Electric Coop Inc - ID</t>
  </si>
  <si>
    <t>South Side Electric, Inc - ID</t>
  </si>
  <si>
    <t>Surprise Valley Electrification Corp. - CA</t>
  </si>
  <si>
    <t>Surprise Valley Electrification Corp. - NV</t>
  </si>
  <si>
    <t>Surprise Valley Electrification Corp. - OR</t>
  </si>
  <si>
    <t>Tanner Electric Coop - WA</t>
  </si>
  <si>
    <t>Tillamook Peoples Utility Dist - OR</t>
  </si>
  <si>
    <t>Town of Eatonville - WA</t>
  </si>
  <si>
    <t>Town of Ruston - WA</t>
  </si>
  <si>
    <t>Town of Steilacoom - WA</t>
  </si>
  <si>
    <t>Umatilla Electric Coop Assn - OR</t>
  </si>
  <si>
    <t>United Electric Co-op, Inc - ID</t>
  </si>
  <si>
    <t>Vera Irrigation District #15 - WA</t>
  </si>
  <si>
    <t>Vigilante Electric Coop, Inc - ID</t>
  </si>
  <si>
    <t>Vigilante Electric Coop, Inc - MT</t>
  </si>
  <si>
    <t>Wasco Electric Coop, Inc - OR</t>
  </si>
  <si>
    <t>Wells Rural Electric Co - NV</t>
  </si>
  <si>
    <t>West Oregon Electric Coop Inc - OR</t>
  </si>
  <si>
    <t>PNW Total</t>
  </si>
  <si>
    <t>Average Use/Customer</t>
  </si>
  <si>
    <t>Average Bill/Customer</t>
  </si>
  <si>
    <t>2010 Customer Counts, Sales &amp; Revenues</t>
  </si>
  <si>
    <t>City of Eugene - OR</t>
  </si>
  <si>
    <t>City of Heyburn - ID</t>
  </si>
  <si>
    <t>City of Idaho Falls - ID</t>
  </si>
  <si>
    <t>City of McMinnville - OR</t>
  </si>
  <si>
    <t>City of Port Angeles - WA</t>
  </si>
  <si>
    <t>City of Rupert - ID</t>
  </si>
  <si>
    <t>City of Salem - OR</t>
  </si>
  <si>
    <t>City of Seattle - WA</t>
  </si>
  <si>
    <t>City of Tacoma - WA</t>
  </si>
  <si>
    <t>Mission Valley Power - MT</t>
  </si>
  <si>
    <t>NorthWestern Energy LLC - MT</t>
  </si>
  <si>
    <t>Portl of Seattle - WA</t>
  </si>
  <si>
    <t>Portland General Electric Company - OR</t>
  </si>
  <si>
    <t>PUD No 1 of Skamania County - WA</t>
  </si>
  <si>
    <t>PUD No 1 of Snohomish County - WA</t>
  </si>
  <si>
    <t>Riverside Electric Co - ID</t>
  </si>
  <si>
    <t>W. MT</t>
  </si>
  <si>
    <t>Overall Result</t>
  </si>
  <si>
    <t>G/L Account</t>
  </si>
  <si>
    <t>Lighting</t>
  </si>
  <si>
    <t>Irrigation</t>
  </si>
  <si>
    <t>% West of Divide</t>
  </si>
  <si>
    <t>Total Sales</t>
  </si>
  <si>
    <t>General Service -1</t>
  </si>
  <si>
    <t>General Service -2</t>
  </si>
  <si>
    <t>All of Montana Sales - Total in Table Include W. MT Service Area Only, Assumed to be 31.5% of total sales</t>
  </si>
  <si>
    <t>Resiential</t>
  </si>
  <si>
    <t>% In region</t>
  </si>
  <si>
    <t xml:space="preserve">Note: The savings from public utilities in CA, WY and </t>
  </si>
  <si>
    <t>NV should be included in BPA "share of the region"</t>
  </si>
  <si>
    <t>and as such are part of the "regional target"</t>
  </si>
  <si>
    <t>Updated EIA Retail Sales data base to reflect 2010 sales and estimates of Northwestern's "in region" share of sales. Corrected error in "State Total" calcuation.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</si>
</sst>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 #,##0.0_);_(* \(#,##0.0\);_(* &quot;-&quot;??_);_(@_)"/>
    <numFmt numFmtId="166" formatCode="_(* #,##0.000_);_(* \(#,##0.000\);_(* &quot;-&quot;??_);_(@_)"/>
    <numFmt numFmtId="167" formatCode="_(&quot;$&quot;* #,##0_);_(&quot;$&quot;* \(#,##0\);_(&quot;$&quot;* &quot;-&quot;??_);_(@_)"/>
    <numFmt numFmtId="168" formatCode="0.0%"/>
  </numFmts>
  <fonts count="24" x14ac:knownFonts="1">
    <font>
      <sz val="10"/>
      <name val="Arial"/>
    </font>
    <font>
      <sz val="10"/>
      <color theme="1"/>
      <name val="Arial"/>
      <family val="2"/>
    </font>
    <font>
      <sz val="10"/>
      <name val="Arial"/>
      <family val="2"/>
    </font>
    <font>
      <b/>
      <sz val="10"/>
      <name val="Arial"/>
      <family val="2"/>
    </font>
    <font>
      <sz val="10"/>
      <color indexed="8"/>
      <name val="Arial"/>
      <family val="2"/>
    </font>
    <font>
      <b/>
      <sz val="14"/>
      <name val="Arial"/>
      <family val="2"/>
    </font>
    <font>
      <b/>
      <sz val="9"/>
      <name val="Arial"/>
      <family val="2"/>
    </font>
    <font>
      <sz val="9"/>
      <name val="Arial"/>
      <family val="2"/>
    </font>
    <font>
      <b/>
      <i/>
      <u/>
      <sz val="10"/>
      <name val="Arial"/>
      <family val="2"/>
    </font>
    <font>
      <i/>
      <sz val="10"/>
      <name val="Arial"/>
      <family val="2"/>
    </font>
    <font>
      <b/>
      <sz val="12"/>
      <name val="Arial"/>
      <family val="2"/>
    </font>
    <font>
      <sz val="8"/>
      <color indexed="81"/>
      <name val="Tahoma"/>
      <family val="2"/>
    </font>
    <font>
      <b/>
      <sz val="8"/>
      <color indexed="81"/>
      <name val="Tahoma"/>
      <family val="2"/>
    </font>
    <font>
      <sz val="8"/>
      <name val="Arial"/>
      <family val="2"/>
    </font>
    <font>
      <sz val="10"/>
      <name val="Arial"/>
      <family val="2"/>
    </font>
    <font>
      <i/>
      <u/>
      <sz val="10"/>
      <name val="Arial"/>
      <family val="2"/>
    </font>
    <font>
      <b/>
      <sz val="11"/>
      <color theme="4"/>
      <name val="Calibri"/>
      <family val="2"/>
      <scheme val="minor"/>
    </font>
    <font>
      <b/>
      <sz val="12"/>
      <color theme="4"/>
      <name val="Arial"/>
      <family val="2"/>
    </font>
    <font>
      <b/>
      <sz val="11"/>
      <color theme="1"/>
      <name val="Arial"/>
      <family val="2"/>
    </font>
    <font>
      <sz val="12"/>
      <name val="Arial"/>
      <family val="2"/>
    </font>
    <font>
      <b/>
      <sz val="10"/>
      <color indexed="8"/>
      <name val="Arial"/>
      <family val="2"/>
    </font>
    <font>
      <b/>
      <i/>
      <u/>
      <sz val="12"/>
      <name val="Arial"/>
      <family val="2"/>
    </font>
    <font>
      <sz val="9"/>
      <color indexed="81"/>
      <name val="Tahoma"/>
      <family val="2"/>
    </font>
    <font>
      <b/>
      <sz val="9"/>
      <color indexed="81"/>
      <name val="Tahoma"/>
      <family val="2"/>
    </font>
  </fonts>
  <fills count="21">
    <fill>
      <patternFill patternType="none"/>
    </fill>
    <fill>
      <patternFill patternType="gray125"/>
    </fill>
    <fill>
      <patternFill patternType="solid">
        <fgColor indexed="43"/>
        <bgColor indexed="0"/>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2"/>
        <bgColor indexed="8"/>
      </patternFill>
    </fill>
    <fill>
      <patternFill patternType="solid">
        <fgColor indexed="47"/>
        <bgColor indexed="64"/>
      </patternFill>
    </fill>
    <fill>
      <patternFill patternType="solid">
        <fgColor indexed="22"/>
        <bgColor indexed="64"/>
      </patternFill>
    </fill>
    <fill>
      <patternFill patternType="solid">
        <fgColor indexed="13"/>
        <bgColor indexed="64"/>
      </patternFill>
    </fill>
    <fill>
      <patternFill patternType="solid">
        <fgColor indexed="14"/>
        <bgColor indexed="64"/>
      </patternFill>
    </fill>
    <fill>
      <patternFill patternType="solid">
        <fgColor indexed="11"/>
        <bgColor indexed="64"/>
      </patternFill>
    </fill>
    <fill>
      <patternFill patternType="solid">
        <fgColor indexed="41"/>
        <bgColor indexed="8"/>
      </patternFill>
    </fill>
    <fill>
      <patternFill patternType="solid">
        <fgColor indexed="44"/>
        <bgColor indexed="64"/>
      </patternFill>
    </fill>
    <fill>
      <patternFill patternType="solid">
        <fgColor indexed="52"/>
        <bgColor indexed="64"/>
      </patternFill>
    </fill>
    <fill>
      <patternFill patternType="solid">
        <fgColor theme="2" tint="-9.9978637043366805E-2"/>
        <bgColor indexed="64"/>
      </patternFill>
    </fill>
    <fill>
      <patternFill patternType="solid">
        <fgColor indexed="22"/>
      </patternFill>
    </fill>
    <fill>
      <patternFill patternType="solid">
        <fgColor indexed="43"/>
      </patternFill>
    </fill>
    <fill>
      <patternFill patternType="solid">
        <fgColor indexed="55"/>
      </patternFill>
    </fill>
    <fill>
      <patternFill patternType="solid">
        <fgColor indexed="50"/>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22"/>
      </left>
      <right style="thin">
        <color indexed="22"/>
      </right>
      <top/>
      <bottom style="thin">
        <color indexed="22"/>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48"/>
      </left>
      <right style="thin">
        <color indexed="48"/>
      </right>
      <top style="thin">
        <color indexed="48"/>
      </top>
      <bottom style="thin">
        <color indexed="48"/>
      </bottom>
      <diagonal/>
    </border>
    <border>
      <left style="thin">
        <color indexed="22"/>
      </left>
      <right/>
      <top style="thin">
        <color indexed="22"/>
      </top>
      <bottom style="thin">
        <color indexed="22"/>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4" fillId="0" borderId="0"/>
    <xf numFmtId="9" fontId="2" fillId="0" borderId="0" applyFont="0" applyFill="0" applyBorder="0" applyAlignment="0" applyProtection="0"/>
    <xf numFmtId="0" fontId="19" fillId="0" borderId="0" applyNumberFormat="0" applyProtection="0">
      <alignment horizontal="left" vertical="center" indent="1"/>
    </xf>
    <xf numFmtId="0" fontId="20" fillId="16" borderId="68" applyNumberFormat="0" applyProtection="0">
      <alignment horizontal="center" vertical="center"/>
    </xf>
    <xf numFmtId="0" fontId="20" fillId="3" borderId="68" applyNumberFormat="0" applyProtection="0">
      <alignment horizontal="left" vertical="top" indent="1"/>
    </xf>
    <xf numFmtId="4" fontId="20" fillId="17" borderId="68" applyNumberFormat="0" applyProtection="0">
      <alignment vertical="center"/>
    </xf>
    <xf numFmtId="4" fontId="20" fillId="18" borderId="0" applyNumberFormat="0" applyProtection="0">
      <alignment horizontal="left" vertical="center"/>
    </xf>
    <xf numFmtId="0" fontId="21" fillId="19" borderId="68" applyNumberFormat="0" applyProtection="0">
      <alignment horizontal="left" vertical="center" indent="1"/>
    </xf>
    <xf numFmtId="4" fontId="20" fillId="3" borderId="68" applyNumberFormat="0" applyProtection="0">
      <alignment horizontal="left" vertical="center" indent="1"/>
    </xf>
  </cellStyleXfs>
  <cellXfs count="398">
    <xf numFmtId="0" fontId="0" fillId="0" borderId="0" xfId="0"/>
    <xf numFmtId="0" fontId="0" fillId="0" borderId="1" xfId="0" applyBorder="1"/>
    <xf numFmtId="164" fontId="0" fillId="0" borderId="1" xfId="1" applyNumberFormat="1" applyFont="1" applyBorder="1"/>
    <xf numFmtId="164" fontId="0" fillId="0" borderId="0" xfId="1" applyNumberFormat="1" applyFont="1"/>
    <xf numFmtId="0" fontId="3" fillId="0" borderId="0" xfId="0" applyFont="1"/>
    <xf numFmtId="0" fontId="0" fillId="0" borderId="2" xfId="0" applyBorder="1"/>
    <xf numFmtId="0" fontId="0" fillId="0" borderId="3" xfId="0" applyBorder="1"/>
    <xf numFmtId="0" fontId="0" fillId="0" borderId="4" xfId="0" applyFill="1" applyBorder="1"/>
    <xf numFmtId="0" fontId="0" fillId="0" borderId="5" xfId="0" applyFill="1" applyBorder="1"/>
    <xf numFmtId="0" fontId="0" fillId="0" borderId="6" xfId="0" applyFill="1" applyBorder="1"/>
    <xf numFmtId="0" fontId="4" fillId="0" borderId="1" xfId="4" applyFont="1" applyFill="1" applyBorder="1" applyAlignment="1">
      <alignment horizontal="right"/>
    </xf>
    <xf numFmtId="0" fontId="4" fillId="0" borderId="1" xfId="4" applyFont="1" applyFill="1" applyBorder="1" applyAlignment="1"/>
    <xf numFmtId="164" fontId="4" fillId="0" borderId="1" xfId="1" applyNumberFormat="1" applyFont="1" applyFill="1" applyBorder="1" applyAlignment="1">
      <alignment horizontal="right"/>
    </xf>
    <xf numFmtId="10" fontId="2" fillId="0" borderId="1" xfId="5" applyNumberFormat="1" applyBorder="1"/>
    <xf numFmtId="165" fontId="2" fillId="0" borderId="1" xfId="1" applyNumberFormat="1" applyBorder="1"/>
    <xf numFmtId="164" fontId="2" fillId="0" borderId="1" xfId="1" applyNumberFormat="1" applyBorder="1"/>
    <xf numFmtId="164" fontId="2" fillId="0" borderId="0" xfId="1" applyNumberFormat="1"/>
    <xf numFmtId="0" fontId="4" fillId="0" borderId="7" xfId="4" applyFont="1" applyFill="1" applyBorder="1" applyAlignment="1">
      <alignment horizontal="left"/>
    </xf>
    <xf numFmtId="0" fontId="4" fillId="2" borderId="1" xfId="4" applyFont="1" applyFill="1" applyBorder="1" applyAlignment="1">
      <alignment horizontal="center" wrapText="1"/>
    </xf>
    <xf numFmtId="164" fontId="4" fillId="2" borderId="1" xfId="1" applyNumberFormat="1" applyFont="1" applyFill="1" applyBorder="1" applyAlignment="1">
      <alignment horizontal="center" wrapText="1"/>
    </xf>
    <xf numFmtId="0" fontId="0" fillId="3" borderId="1" xfId="0" applyFill="1" applyBorder="1" applyAlignment="1">
      <alignment wrapText="1"/>
    </xf>
    <xf numFmtId="0" fontId="0" fillId="4" borderId="1" xfId="0" applyFill="1" applyBorder="1" applyAlignment="1">
      <alignment wrapText="1"/>
    </xf>
    <xf numFmtId="164" fontId="2" fillId="5" borderId="1" xfId="1" applyNumberFormat="1" applyFill="1" applyBorder="1"/>
    <xf numFmtId="164" fontId="2" fillId="5" borderId="8" xfId="1" applyNumberFormat="1" applyFill="1" applyBorder="1"/>
    <xf numFmtId="10" fontId="0" fillId="5" borderId="1" xfId="0" applyNumberFormat="1" applyFill="1" applyBorder="1"/>
    <xf numFmtId="0" fontId="4" fillId="0" borderId="9" xfId="4" applyFont="1" applyFill="1" applyBorder="1" applyAlignment="1">
      <alignment horizontal="left"/>
    </xf>
    <xf numFmtId="0" fontId="4" fillId="6" borderId="1" xfId="4" applyFont="1" applyFill="1" applyBorder="1" applyAlignment="1"/>
    <xf numFmtId="0" fontId="4" fillId="0" borderId="1" xfId="4" applyFont="1" applyFill="1" applyBorder="1" applyAlignment="1">
      <alignment horizontal="left"/>
    </xf>
    <xf numFmtId="10" fontId="0" fillId="0" borderId="0" xfId="5" applyNumberFormat="1" applyFont="1"/>
    <xf numFmtId="166" fontId="0" fillId="0" borderId="1" xfId="1" applyNumberFormat="1" applyFont="1" applyBorder="1"/>
    <xf numFmtId="0" fontId="3" fillId="4" borderId="10" xfId="0" applyFont="1" applyFill="1" applyBorder="1"/>
    <xf numFmtId="10" fontId="0" fillId="0" borderId="11" xfId="5" applyNumberFormat="1" applyFont="1" applyBorder="1"/>
    <xf numFmtId="166" fontId="0" fillId="0" borderId="12" xfId="1" applyNumberFormat="1" applyFont="1" applyBorder="1"/>
    <xf numFmtId="10" fontId="0" fillId="0" borderId="2" xfId="5" applyNumberFormat="1" applyFont="1" applyBorder="1"/>
    <xf numFmtId="10" fontId="0" fillId="0" borderId="10" xfId="5" applyNumberFormat="1" applyFont="1" applyBorder="1"/>
    <xf numFmtId="166" fontId="0" fillId="0" borderId="13" xfId="1" applyNumberFormat="1" applyFont="1" applyBorder="1"/>
    <xf numFmtId="164" fontId="2" fillId="0" borderId="0" xfId="1" applyNumberFormat="1" applyFont="1"/>
    <xf numFmtId="164" fontId="2" fillId="0" borderId="14" xfId="1" applyNumberFormat="1" applyFont="1" applyBorder="1"/>
    <xf numFmtId="164" fontId="2" fillId="0" borderId="1" xfId="1" applyNumberFormat="1" applyFont="1" applyBorder="1"/>
    <xf numFmtId="43" fontId="0" fillId="0" borderId="1" xfId="1" applyFont="1" applyBorder="1"/>
    <xf numFmtId="43" fontId="0" fillId="0" borderId="12" xfId="1" applyFont="1" applyBorder="1"/>
    <xf numFmtId="43" fontId="0" fillId="0" borderId="13" xfId="1" applyFont="1" applyBorder="1"/>
    <xf numFmtId="10" fontId="0" fillId="0" borderId="1" xfId="5" applyNumberFormat="1" applyFont="1" applyBorder="1"/>
    <xf numFmtId="0" fontId="0" fillId="0" borderId="0" xfId="0" applyProtection="1"/>
    <xf numFmtId="0" fontId="3" fillId="0" borderId="15" xfId="0" applyFont="1" applyBorder="1" applyProtection="1"/>
    <xf numFmtId="166" fontId="0" fillId="5" borderId="10" xfId="1" applyNumberFormat="1" applyFont="1" applyFill="1" applyBorder="1" applyProtection="1"/>
    <xf numFmtId="166" fontId="0" fillId="5" borderId="13" xfId="1" applyNumberFormat="1" applyFont="1" applyFill="1" applyBorder="1" applyProtection="1"/>
    <xf numFmtId="0" fontId="3" fillId="0" borderId="14" xfId="0" applyFont="1" applyBorder="1" applyProtection="1"/>
    <xf numFmtId="0" fontId="3" fillId="0" borderId="16" xfId="0" applyFont="1" applyBorder="1" applyProtection="1"/>
    <xf numFmtId="166" fontId="0" fillId="5" borderId="8" xfId="1" applyNumberFormat="1" applyFont="1" applyFill="1" applyBorder="1" applyProtection="1"/>
    <xf numFmtId="166" fontId="0" fillId="5" borderId="1" xfId="1" applyNumberFormat="1" applyFont="1" applyFill="1" applyBorder="1" applyProtection="1"/>
    <xf numFmtId="165" fontId="0" fillId="4" borderId="1" xfId="0" applyNumberFormat="1" applyFill="1" applyBorder="1" applyProtection="1"/>
    <xf numFmtId="0" fontId="3" fillId="4" borderId="17" xfId="0" applyFont="1" applyFill="1" applyBorder="1" applyProtection="1"/>
    <xf numFmtId="10" fontId="0" fillId="4" borderId="18" xfId="0" applyNumberFormat="1" applyFill="1" applyBorder="1" applyProtection="1"/>
    <xf numFmtId="0" fontId="3" fillId="4" borderId="19" xfId="0" applyFont="1" applyFill="1" applyBorder="1" applyProtection="1"/>
    <xf numFmtId="10" fontId="0" fillId="4" borderId="20" xfId="0" applyNumberFormat="1" applyFill="1" applyBorder="1" applyProtection="1"/>
    <xf numFmtId="0" fontId="3" fillId="4" borderId="21" xfId="0" applyFont="1" applyFill="1" applyBorder="1" applyProtection="1"/>
    <xf numFmtId="0" fontId="3" fillId="4" borderId="22" xfId="0" applyFont="1" applyFill="1" applyBorder="1" applyProtection="1"/>
    <xf numFmtId="10" fontId="0" fillId="4" borderId="23" xfId="0" applyNumberFormat="1" applyFill="1" applyBorder="1" applyProtection="1"/>
    <xf numFmtId="166" fontId="0" fillId="5" borderId="11" xfId="1" applyNumberFormat="1" applyFont="1" applyFill="1" applyBorder="1" applyProtection="1"/>
    <xf numFmtId="166" fontId="0" fillId="5" borderId="12" xfId="1" applyNumberFormat="1" applyFont="1" applyFill="1" applyBorder="1" applyProtection="1"/>
    <xf numFmtId="166" fontId="0" fillId="5" borderId="24" xfId="1" applyNumberFormat="1" applyFont="1" applyFill="1" applyBorder="1" applyProtection="1"/>
    <xf numFmtId="0" fontId="3" fillId="0" borderId="25" xfId="0" applyFont="1" applyBorder="1" applyProtection="1"/>
    <xf numFmtId="165" fontId="0" fillId="4" borderId="11" xfId="0" applyNumberFormat="1" applyFill="1" applyBorder="1" applyProtection="1"/>
    <xf numFmtId="165" fontId="0" fillId="4" borderId="2" xfId="0" applyNumberFormat="1" applyFill="1" applyBorder="1" applyProtection="1"/>
    <xf numFmtId="164" fontId="0" fillId="7" borderId="26" xfId="1" applyNumberFormat="1" applyFont="1" applyFill="1" applyBorder="1" applyProtection="1"/>
    <xf numFmtId="0" fontId="0" fillId="0" borderId="27" xfId="0" applyBorder="1" applyProtection="1"/>
    <xf numFmtId="0" fontId="3" fillId="0" borderId="28" xfId="0" applyFont="1" applyBorder="1" applyProtection="1"/>
    <xf numFmtId="165" fontId="0" fillId="4" borderId="29" xfId="0" applyNumberFormat="1" applyFill="1" applyBorder="1" applyProtection="1"/>
    <xf numFmtId="164" fontId="0" fillId="4" borderId="1" xfId="1" applyNumberFormat="1" applyFont="1" applyFill="1" applyBorder="1" applyProtection="1"/>
    <xf numFmtId="164" fontId="0" fillId="4" borderId="12" xfId="1" applyNumberFormat="1" applyFont="1" applyFill="1" applyBorder="1" applyProtection="1"/>
    <xf numFmtId="164" fontId="0" fillId="4" borderId="13" xfId="1" applyNumberFormat="1" applyFont="1" applyFill="1" applyBorder="1" applyProtection="1"/>
    <xf numFmtId="0" fontId="0" fillId="8" borderId="27" xfId="0" applyFill="1" applyBorder="1" applyProtection="1"/>
    <xf numFmtId="0" fontId="0" fillId="8" borderId="0" xfId="0" applyFill="1" applyBorder="1" applyProtection="1"/>
    <xf numFmtId="0" fontId="0" fillId="0" borderId="0" xfId="0" applyAlignment="1">
      <alignment horizontal="right"/>
    </xf>
    <xf numFmtId="44" fontId="0" fillId="0" borderId="1" xfId="0" applyNumberFormat="1" applyBorder="1"/>
    <xf numFmtId="0" fontId="3" fillId="3" borderId="30" xfId="0" applyFont="1" applyFill="1" applyBorder="1" applyProtection="1"/>
    <xf numFmtId="0" fontId="3" fillId="3" borderId="31" xfId="0" applyFont="1" applyFill="1" applyBorder="1" applyProtection="1"/>
    <xf numFmtId="0" fontId="3" fillId="3" borderId="32" xfId="0" applyFont="1" applyFill="1" applyBorder="1" applyProtection="1"/>
    <xf numFmtId="166" fontId="0" fillId="5" borderId="2" xfId="1" applyNumberFormat="1" applyFont="1" applyFill="1" applyBorder="1" applyProtection="1"/>
    <xf numFmtId="166" fontId="0" fillId="5" borderId="33" xfId="1" applyNumberFormat="1" applyFont="1" applyFill="1" applyBorder="1" applyProtection="1"/>
    <xf numFmtId="166" fontId="0" fillId="5" borderId="34" xfId="1" applyNumberFormat="1" applyFont="1" applyFill="1" applyBorder="1" applyProtection="1"/>
    <xf numFmtId="44" fontId="0" fillId="5" borderId="10" xfId="2" applyFont="1" applyFill="1" applyBorder="1" applyProtection="1"/>
    <xf numFmtId="44" fontId="0" fillId="5" borderId="13" xfId="2" applyFont="1" applyFill="1" applyBorder="1" applyProtection="1"/>
    <xf numFmtId="44" fontId="0" fillId="5" borderId="34" xfId="2" applyFont="1" applyFill="1" applyBorder="1" applyProtection="1"/>
    <xf numFmtId="44" fontId="0" fillId="5" borderId="12" xfId="2" applyFont="1" applyFill="1" applyBorder="1" applyProtection="1"/>
    <xf numFmtId="44" fontId="0" fillId="5" borderId="1" xfId="2" applyFont="1" applyFill="1" applyBorder="1" applyProtection="1"/>
    <xf numFmtId="44" fontId="0" fillId="5" borderId="11" xfId="2" applyFont="1" applyFill="1" applyBorder="1" applyProtection="1"/>
    <xf numFmtId="44" fontId="0" fillId="5" borderId="2" xfId="2" applyFont="1" applyFill="1" applyBorder="1" applyProtection="1"/>
    <xf numFmtId="0" fontId="0" fillId="0" borderId="0" xfId="0" applyAlignment="1">
      <alignment vertical="center"/>
    </xf>
    <xf numFmtId="44" fontId="0" fillId="0" borderId="8" xfId="0" applyNumberFormat="1" applyBorder="1"/>
    <xf numFmtId="44" fontId="3" fillId="3" borderId="35" xfId="2" applyFont="1" applyFill="1" applyBorder="1" applyAlignment="1">
      <alignment horizontal="left" wrapText="1"/>
    </xf>
    <xf numFmtId="0" fontId="3" fillId="3" borderId="26" xfId="0" applyFont="1" applyFill="1" applyBorder="1" applyAlignment="1">
      <alignment wrapText="1"/>
    </xf>
    <xf numFmtId="44" fontId="0" fillId="7" borderId="8" xfId="2" applyFont="1" applyFill="1" applyBorder="1" applyProtection="1">
      <protection locked="0"/>
    </xf>
    <xf numFmtId="44" fontId="0" fillId="7" borderId="1" xfId="2" applyFont="1" applyFill="1" applyBorder="1" applyProtection="1">
      <protection locked="0"/>
    </xf>
    <xf numFmtId="0" fontId="0" fillId="0" borderId="0" xfId="0" applyProtection="1">
      <protection locked="0"/>
    </xf>
    <xf numFmtId="0" fontId="3" fillId="5" borderId="26" xfId="0" applyFont="1" applyFill="1" applyBorder="1"/>
    <xf numFmtId="1" fontId="0" fillId="0" borderId="1" xfId="0" applyNumberFormat="1" applyBorder="1"/>
    <xf numFmtId="164" fontId="0" fillId="0" borderId="1" xfId="0" applyNumberFormat="1" applyBorder="1"/>
    <xf numFmtId="0" fontId="0" fillId="3" borderId="1" xfId="0" applyFill="1" applyBorder="1"/>
    <xf numFmtId="0" fontId="3" fillId="0" borderId="35" xfId="0" applyFont="1" applyBorder="1" applyProtection="1"/>
    <xf numFmtId="0" fontId="3" fillId="0" borderId="4" xfId="0" applyFont="1" applyBorder="1" applyProtection="1"/>
    <xf numFmtId="0" fontId="3" fillId="0" borderId="5" xfId="0" applyFont="1" applyBorder="1" applyProtection="1"/>
    <xf numFmtId="0" fontId="3" fillId="0" borderId="36" xfId="0" applyFont="1" applyBorder="1" applyProtection="1"/>
    <xf numFmtId="165" fontId="0" fillId="5" borderId="37" xfId="0" applyNumberFormat="1" applyFill="1" applyBorder="1" applyProtection="1"/>
    <xf numFmtId="165" fontId="0" fillId="5" borderId="38" xfId="0" applyNumberFormat="1" applyFill="1" applyBorder="1" applyProtection="1"/>
    <xf numFmtId="0" fontId="3" fillId="0" borderId="6" xfId="0" applyFont="1" applyBorder="1" applyProtection="1"/>
    <xf numFmtId="0" fontId="3" fillId="4" borderId="39" xfId="0" applyFont="1" applyFill="1" applyBorder="1"/>
    <xf numFmtId="0" fontId="3" fillId="0" borderId="19" xfId="0" applyFont="1" applyBorder="1" applyProtection="1"/>
    <xf numFmtId="165" fontId="0" fillId="4" borderId="12" xfId="0" applyNumberFormat="1" applyFill="1" applyBorder="1" applyProtection="1"/>
    <xf numFmtId="0" fontId="3" fillId="0" borderId="21" xfId="0" applyFont="1" applyBorder="1" applyProtection="1"/>
    <xf numFmtId="0" fontId="3" fillId="0" borderId="40" xfId="0" applyFont="1" applyBorder="1" applyProtection="1"/>
    <xf numFmtId="0" fontId="3" fillId="0" borderId="26" xfId="0" applyFont="1" applyBorder="1" applyProtection="1"/>
    <xf numFmtId="0" fontId="0" fillId="8" borderId="41" xfId="0" applyFill="1" applyBorder="1" applyAlignment="1" applyProtection="1"/>
    <xf numFmtId="0" fontId="0" fillId="8" borderId="42" xfId="0" applyFill="1" applyBorder="1" applyAlignment="1" applyProtection="1"/>
    <xf numFmtId="0" fontId="3" fillId="3" borderId="43" xfId="0" applyFont="1" applyFill="1" applyBorder="1" applyProtection="1"/>
    <xf numFmtId="0" fontId="3" fillId="3" borderId="43" xfId="0" applyFont="1" applyFill="1" applyBorder="1" applyAlignment="1" applyProtection="1">
      <alignment wrapText="1"/>
    </xf>
    <xf numFmtId="0" fontId="6" fillId="9" borderId="39" xfId="0" applyFont="1" applyFill="1" applyBorder="1" applyAlignment="1" applyProtection="1">
      <alignment wrapText="1"/>
    </xf>
    <xf numFmtId="164" fontId="0" fillId="4" borderId="11" xfId="1" applyNumberFormat="1" applyFont="1" applyFill="1" applyBorder="1" applyProtection="1"/>
    <xf numFmtId="164" fontId="0" fillId="4" borderId="2" xfId="1" applyNumberFormat="1" applyFont="1" applyFill="1" applyBorder="1" applyProtection="1"/>
    <xf numFmtId="164" fontId="0" fillId="4" borderId="10" xfId="1" applyNumberFormat="1" applyFont="1" applyFill="1" applyBorder="1" applyProtection="1"/>
    <xf numFmtId="43" fontId="0" fillId="10" borderId="26" xfId="0" applyNumberFormat="1" applyFill="1" applyBorder="1" applyProtection="1"/>
    <xf numFmtId="166" fontId="0" fillId="5" borderId="44" xfId="1" applyNumberFormat="1" applyFont="1" applyFill="1" applyBorder="1" applyProtection="1"/>
    <xf numFmtId="166" fontId="0" fillId="5" borderId="45" xfId="1" applyNumberFormat="1" applyFont="1" applyFill="1" applyBorder="1" applyProtection="1"/>
    <xf numFmtId="165" fontId="0" fillId="4" borderId="44" xfId="0" applyNumberFormat="1" applyFill="1" applyBorder="1" applyProtection="1"/>
    <xf numFmtId="165" fontId="0" fillId="4" borderId="45" xfId="0" applyNumberFormat="1" applyFill="1" applyBorder="1" applyProtection="1"/>
    <xf numFmtId="165" fontId="0" fillId="4" borderId="3" xfId="0" applyNumberFormat="1" applyFill="1" applyBorder="1" applyProtection="1"/>
    <xf numFmtId="165" fontId="0" fillId="4" borderId="46" xfId="0" applyNumberFormat="1" applyFill="1" applyBorder="1" applyProtection="1"/>
    <xf numFmtId="0" fontId="3" fillId="3" borderId="47" xfId="0" applyFont="1" applyFill="1" applyBorder="1" applyProtection="1"/>
    <xf numFmtId="165" fontId="0" fillId="5" borderId="48" xfId="1" applyNumberFormat="1" applyFont="1" applyFill="1" applyBorder="1" applyProtection="1"/>
    <xf numFmtId="166" fontId="0" fillId="5" borderId="49" xfId="1" applyNumberFormat="1" applyFont="1" applyFill="1" applyBorder="1" applyProtection="1"/>
    <xf numFmtId="165" fontId="0" fillId="5" borderId="50" xfId="0" applyNumberFormat="1" applyFill="1" applyBorder="1" applyProtection="1"/>
    <xf numFmtId="0" fontId="0" fillId="8" borderId="35" xfId="0" applyFill="1" applyBorder="1"/>
    <xf numFmtId="0" fontId="0" fillId="8" borderId="41" xfId="0" applyFill="1" applyBorder="1"/>
    <xf numFmtId="0" fontId="0" fillId="8" borderId="42" xfId="0" applyFill="1" applyBorder="1"/>
    <xf numFmtId="0" fontId="0" fillId="8" borderId="41" xfId="0" applyFill="1" applyBorder="1" applyAlignment="1"/>
    <xf numFmtId="0" fontId="0" fillId="8" borderId="42" xfId="0" applyFill="1" applyBorder="1" applyAlignment="1"/>
    <xf numFmtId="44" fontId="0" fillId="5" borderId="44" xfId="2" applyFont="1" applyFill="1" applyBorder="1" applyProtection="1"/>
    <xf numFmtId="44" fontId="0" fillId="5" borderId="45" xfId="2" applyFont="1" applyFill="1" applyBorder="1" applyProtection="1"/>
    <xf numFmtId="44" fontId="0" fillId="10" borderId="39" xfId="2" applyFont="1" applyFill="1" applyBorder="1" applyProtection="1"/>
    <xf numFmtId="164" fontId="0" fillId="0" borderId="26" xfId="1" applyNumberFormat="1" applyFont="1" applyBorder="1" applyProtection="1">
      <protection locked="0"/>
    </xf>
    <xf numFmtId="0" fontId="0" fillId="0" borderId="27" xfId="0" applyBorder="1" applyAlignment="1" applyProtection="1">
      <alignment horizontal="center" vertical="center"/>
      <protection locked="0"/>
    </xf>
    <xf numFmtId="0" fontId="0" fillId="4" borderId="29" xfId="0" applyFill="1" applyBorder="1" applyAlignment="1">
      <alignment horizontal="left" wrapText="1"/>
    </xf>
    <xf numFmtId="0" fontId="0" fillId="4" borderId="1" xfId="0" applyFill="1" applyBorder="1" applyAlignment="1">
      <alignment horizontal="left" wrapText="1"/>
    </xf>
    <xf numFmtId="164" fontId="0" fillId="0" borderId="0" xfId="0" applyNumberFormat="1"/>
    <xf numFmtId="1" fontId="0" fillId="3" borderId="16" xfId="0" applyNumberFormat="1" applyFill="1" applyBorder="1"/>
    <xf numFmtId="0" fontId="0" fillId="0" borderId="24" xfId="0" applyBorder="1"/>
    <xf numFmtId="1" fontId="0" fillId="3" borderId="48" xfId="0" applyNumberFormat="1" applyFill="1" applyBorder="1"/>
    <xf numFmtId="0" fontId="0" fillId="3" borderId="37" xfId="0" applyFill="1" applyBorder="1" applyAlignment="1">
      <alignment wrapText="1"/>
    </xf>
    <xf numFmtId="0" fontId="3" fillId="3" borderId="26" xfId="0" applyFont="1" applyFill="1" applyBorder="1"/>
    <xf numFmtId="43" fontId="0" fillId="5" borderId="10" xfId="1" applyFont="1" applyFill="1" applyBorder="1" applyProtection="1"/>
    <xf numFmtId="43" fontId="0" fillId="5" borderId="13" xfId="1" applyFont="1" applyFill="1" applyBorder="1" applyProtection="1"/>
    <xf numFmtId="43" fontId="0" fillId="5" borderId="34" xfId="1" applyFont="1" applyFill="1" applyBorder="1" applyProtection="1"/>
    <xf numFmtId="0" fontId="3" fillId="3" borderId="11" xfId="0" applyFont="1" applyFill="1" applyBorder="1" applyProtection="1"/>
    <xf numFmtId="0" fontId="3" fillId="3" borderId="12" xfId="0" applyFont="1" applyFill="1" applyBorder="1" applyProtection="1"/>
    <xf numFmtId="43" fontId="0" fillId="5" borderId="11" xfId="1" applyFont="1" applyFill="1" applyBorder="1" applyProtection="1"/>
    <xf numFmtId="43" fontId="0" fillId="5" borderId="12" xfId="1" applyFont="1" applyFill="1" applyBorder="1" applyProtection="1"/>
    <xf numFmtId="43" fontId="0" fillId="5" borderId="2" xfId="1" applyFont="1" applyFill="1" applyBorder="1" applyProtection="1"/>
    <xf numFmtId="43" fontId="0" fillId="5" borderId="1" xfId="1" applyFont="1" applyFill="1" applyBorder="1" applyProtection="1"/>
    <xf numFmtId="0" fontId="0" fillId="8" borderId="35" xfId="0" applyFill="1" applyBorder="1" applyAlignment="1" applyProtection="1"/>
    <xf numFmtId="0" fontId="3" fillId="0" borderId="30" xfId="0" applyFont="1" applyFill="1" applyBorder="1" applyAlignment="1" applyProtection="1">
      <alignment horizontal="right"/>
    </xf>
    <xf numFmtId="0" fontId="3" fillId="11" borderId="47" xfId="0" applyFont="1" applyFill="1" applyBorder="1" applyAlignment="1" applyProtection="1">
      <alignment horizontal="center"/>
    </xf>
    <xf numFmtId="0" fontId="3" fillId="0" borderId="28" xfId="0" applyFont="1" applyFill="1" applyBorder="1" applyAlignment="1" applyProtection="1">
      <alignment horizontal="center"/>
    </xf>
    <xf numFmtId="0" fontId="3" fillId="0" borderId="51" xfId="0" applyFont="1" applyFill="1" applyBorder="1" applyAlignment="1" applyProtection="1"/>
    <xf numFmtId="43" fontId="0" fillId="5" borderId="3" xfId="1" applyFont="1" applyFill="1" applyBorder="1" applyProtection="1"/>
    <xf numFmtId="43" fontId="0" fillId="5" borderId="29" xfId="1" applyFont="1" applyFill="1" applyBorder="1" applyProtection="1"/>
    <xf numFmtId="0" fontId="3" fillId="0" borderId="48" xfId="0" applyFont="1" applyBorder="1" applyProtection="1"/>
    <xf numFmtId="165" fontId="0" fillId="5" borderId="42" xfId="1" applyNumberFormat="1" applyFont="1" applyFill="1" applyBorder="1" applyProtection="1"/>
    <xf numFmtId="44" fontId="0" fillId="0" borderId="0" xfId="0" applyNumberFormat="1"/>
    <xf numFmtId="0" fontId="4" fillId="0" borderId="0" xfId="4" applyFont="1" applyFill="1" applyBorder="1" applyAlignment="1">
      <alignment horizontal="left"/>
    </xf>
    <xf numFmtId="0" fontId="4" fillId="0" borderId="29" xfId="4" applyFont="1" applyFill="1" applyBorder="1" applyAlignment="1">
      <alignment horizontal="left"/>
    </xf>
    <xf numFmtId="165" fontId="2" fillId="0" borderId="29" xfId="1" applyNumberFormat="1" applyBorder="1"/>
    <xf numFmtId="0" fontId="4" fillId="0" borderId="8" xfId="4" applyFont="1" applyFill="1" applyBorder="1" applyAlignment="1"/>
    <xf numFmtId="164" fontId="4" fillId="0" borderId="8" xfId="1" applyNumberFormat="1" applyFont="1" applyFill="1" applyBorder="1" applyAlignment="1">
      <alignment horizontal="right"/>
    </xf>
    <xf numFmtId="0" fontId="4" fillId="12" borderId="35" xfId="4" applyFont="1" applyFill="1" applyBorder="1" applyAlignment="1">
      <alignment horizontal="left"/>
    </xf>
    <xf numFmtId="0" fontId="4" fillId="12" borderId="41" xfId="4" applyFont="1" applyFill="1" applyBorder="1" applyAlignment="1"/>
    <xf numFmtId="164" fontId="4" fillId="12" borderId="41" xfId="1" applyNumberFormat="1" applyFont="1" applyFill="1" applyBorder="1" applyAlignment="1">
      <alignment horizontal="right"/>
    </xf>
    <xf numFmtId="10" fontId="2" fillId="4" borderId="41" xfId="5" applyNumberFormat="1" applyFill="1" applyBorder="1"/>
    <xf numFmtId="165" fontId="2" fillId="4" borderId="41" xfId="1" applyNumberFormat="1" applyFill="1" applyBorder="1"/>
    <xf numFmtId="165" fontId="2" fillId="4" borderId="42" xfId="1" applyNumberFormat="1" applyFill="1" applyBorder="1"/>
    <xf numFmtId="0" fontId="4" fillId="0" borderId="29" xfId="4" applyFont="1" applyFill="1" applyBorder="1" applyAlignment="1"/>
    <xf numFmtId="0" fontId="4" fillId="0" borderId="7" xfId="4" applyFont="1" applyFill="1" applyBorder="1" applyAlignment="1"/>
    <xf numFmtId="0" fontId="4" fillId="0" borderId="1" xfId="3" applyFont="1" applyFill="1" applyBorder="1" applyAlignment="1">
      <alignment wrapText="1"/>
    </xf>
    <xf numFmtId="0" fontId="4" fillId="2" borderId="1" xfId="4" applyFont="1" applyFill="1" applyBorder="1" applyAlignment="1">
      <alignment horizontal="left" wrapText="1"/>
    </xf>
    <xf numFmtId="164" fontId="4" fillId="2" borderId="1" xfId="1" applyNumberFormat="1" applyFont="1" applyFill="1" applyBorder="1" applyAlignment="1">
      <alignment horizontal="left" wrapText="1"/>
    </xf>
    <xf numFmtId="0" fontId="0" fillId="3" borderId="1" xfId="0" applyFill="1" applyBorder="1" applyAlignment="1">
      <alignment horizontal="left" wrapText="1"/>
    </xf>
    <xf numFmtId="164" fontId="0" fillId="0" borderId="8" xfId="1" applyNumberFormat="1" applyFont="1" applyBorder="1"/>
    <xf numFmtId="164" fontId="0" fillId="0" borderId="49" xfId="1" applyNumberFormat="1" applyFont="1" applyBorder="1"/>
    <xf numFmtId="164" fontId="0" fillId="0" borderId="8" xfId="1" applyNumberFormat="1" applyFont="1" applyFill="1" applyBorder="1"/>
    <xf numFmtId="164" fontId="0" fillId="0" borderId="49" xfId="1" applyNumberFormat="1" applyFont="1" applyFill="1" applyBorder="1"/>
    <xf numFmtId="164" fontId="0" fillId="0" borderId="45" xfId="1" applyNumberFormat="1" applyFont="1" applyBorder="1"/>
    <xf numFmtId="164" fontId="0" fillId="0" borderId="1" xfId="1" applyNumberFormat="1" applyFont="1" applyFill="1" applyBorder="1"/>
    <xf numFmtId="164" fontId="0" fillId="0" borderId="45" xfId="1" applyNumberFormat="1" applyFont="1" applyFill="1" applyBorder="1"/>
    <xf numFmtId="164" fontId="0" fillId="0" borderId="6" xfId="1" applyNumberFormat="1" applyFont="1" applyFill="1" applyBorder="1"/>
    <xf numFmtId="164" fontId="0" fillId="0" borderId="29" xfId="1" applyNumberFormat="1" applyFont="1" applyBorder="1"/>
    <xf numFmtId="164" fontId="0" fillId="0" borderId="46" xfId="1" applyNumberFormat="1" applyFont="1" applyBorder="1"/>
    <xf numFmtId="164" fontId="3" fillId="4" borderId="13" xfId="1" applyNumberFormat="1" applyFont="1" applyFill="1" applyBorder="1"/>
    <xf numFmtId="164" fontId="3" fillId="4" borderId="52" xfId="1" applyNumberFormat="1" applyFont="1" applyFill="1" applyBorder="1"/>
    <xf numFmtId="0" fontId="0" fillId="3" borderId="30" xfId="0" applyFill="1" applyBorder="1" applyAlignment="1">
      <alignment wrapText="1"/>
    </xf>
    <xf numFmtId="0" fontId="0" fillId="3" borderId="29" xfId="0" applyFill="1" applyBorder="1"/>
    <xf numFmtId="0" fontId="3" fillId="3" borderId="14" xfId="0" applyFont="1" applyFill="1" applyBorder="1"/>
    <xf numFmtId="0" fontId="3" fillId="4" borderId="1" xfId="0" applyFont="1" applyFill="1" applyBorder="1"/>
    <xf numFmtId="164" fontId="3" fillId="4" borderId="1" xfId="1" applyNumberFormat="1" applyFont="1" applyFill="1" applyBorder="1"/>
    <xf numFmtId="10" fontId="0" fillId="0" borderId="3" xfId="5" applyNumberFormat="1" applyFont="1" applyBorder="1"/>
    <xf numFmtId="164" fontId="0" fillId="4" borderId="29" xfId="1" applyNumberFormat="1" applyFont="1" applyFill="1" applyBorder="1" applyProtection="1"/>
    <xf numFmtId="43" fontId="0" fillId="0" borderId="53" xfId="1" applyFont="1" applyBorder="1"/>
    <xf numFmtId="43" fontId="0" fillId="0" borderId="33" xfId="1" applyFont="1" applyBorder="1"/>
    <xf numFmtId="166" fontId="0" fillId="0" borderId="33" xfId="1" applyNumberFormat="1" applyFont="1" applyBorder="1"/>
    <xf numFmtId="43" fontId="0" fillId="0" borderId="34" xfId="1" applyFont="1" applyBorder="1"/>
    <xf numFmtId="0" fontId="3" fillId="0" borderId="22" xfId="0" applyFont="1" applyBorder="1" applyProtection="1"/>
    <xf numFmtId="164" fontId="0" fillId="4" borderId="53" xfId="1" applyNumberFormat="1" applyFont="1" applyFill="1" applyBorder="1" applyProtection="1"/>
    <xf numFmtId="164" fontId="0" fillId="4" borderId="33" xfId="1" applyNumberFormat="1" applyFont="1" applyFill="1" applyBorder="1" applyProtection="1"/>
    <xf numFmtId="164" fontId="0" fillId="4" borderId="34" xfId="1" applyNumberFormat="1" applyFont="1" applyFill="1" applyBorder="1" applyProtection="1"/>
    <xf numFmtId="43" fontId="0" fillId="4" borderId="55" xfId="1" applyNumberFormat="1" applyFont="1" applyFill="1" applyBorder="1" applyProtection="1"/>
    <xf numFmtId="43" fontId="0" fillId="4" borderId="16" xfId="1" applyNumberFormat="1" applyFont="1" applyFill="1" applyBorder="1" applyProtection="1"/>
    <xf numFmtId="165" fontId="0" fillId="0" borderId="53" xfId="1" applyNumberFormat="1" applyFont="1" applyBorder="1"/>
    <xf numFmtId="165" fontId="0" fillId="0" borderId="33" xfId="1" applyNumberFormat="1" applyFont="1" applyBorder="1"/>
    <xf numFmtId="165" fontId="0" fillId="0" borderId="34" xfId="1" applyNumberFormat="1" applyFont="1" applyBorder="1"/>
    <xf numFmtId="0" fontId="3" fillId="3" borderId="44" xfId="0" applyFont="1" applyFill="1" applyBorder="1" applyProtection="1"/>
    <xf numFmtId="0" fontId="0" fillId="0" borderId="0" xfId="0" applyAlignment="1">
      <alignment horizontal="center" vertical="center"/>
    </xf>
    <xf numFmtId="15" fontId="0" fillId="0" borderId="0" xfId="0" applyNumberFormat="1" applyAlignment="1">
      <alignment horizontal="center" vertical="center"/>
    </xf>
    <xf numFmtId="44" fontId="0" fillId="10" borderId="0" xfId="2" applyFont="1" applyFill="1" applyBorder="1" applyProtection="1"/>
    <xf numFmtId="0" fontId="3" fillId="3" borderId="56" xfId="0" applyFont="1" applyFill="1" applyBorder="1" applyProtection="1"/>
    <xf numFmtId="166" fontId="0" fillId="5" borderId="57" xfId="1" applyNumberFormat="1" applyFont="1" applyFill="1" applyBorder="1" applyProtection="1"/>
    <xf numFmtId="0" fontId="0" fillId="0" borderId="1" xfId="0" applyFill="1" applyBorder="1" applyAlignment="1">
      <alignment horizontal="right"/>
    </xf>
    <xf numFmtId="0" fontId="0" fillId="0" borderId="1" xfId="0" applyBorder="1" applyAlignment="1">
      <alignment horizontal="right"/>
    </xf>
    <xf numFmtId="0" fontId="14" fillId="0" borderId="1" xfId="0" applyFont="1" applyBorder="1" applyAlignment="1" applyProtection="1">
      <alignment horizontal="right"/>
    </xf>
    <xf numFmtId="43" fontId="0" fillId="0" borderId="1" xfId="1" applyFont="1" applyFill="1" applyBorder="1"/>
    <xf numFmtId="44" fontId="0" fillId="0" borderId="1" xfId="2" applyFont="1" applyBorder="1"/>
    <xf numFmtId="2" fontId="0" fillId="0" borderId="0" xfId="0" applyNumberFormat="1"/>
    <xf numFmtId="0" fontId="0" fillId="0" borderId="0" xfId="0" applyBorder="1" applyAlignment="1">
      <alignment horizontal="right"/>
    </xf>
    <xf numFmtId="44" fontId="0" fillId="10" borderId="58" xfId="2" applyFont="1" applyFill="1" applyBorder="1" applyProtection="1"/>
    <xf numFmtId="44" fontId="0" fillId="10" borderId="59" xfId="2" applyFont="1" applyFill="1" applyBorder="1" applyProtection="1"/>
    <xf numFmtId="44" fontId="0" fillId="10" borderId="18" xfId="2" applyFont="1" applyFill="1" applyBorder="1" applyProtection="1"/>
    <xf numFmtId="44" fontId="0" fillId="10" borderId="20" xfId="2" applyFont="1" applyFill="1" applyBorder="1" applyProtection="1"/>
    <xf numFmtId="44" fontId="0" fillId="10" borderId="54" xfId="2" applyFont="1" applyFill="1" applyBorder="1" applyProtection="1"/>
    <xf numFmtId="44" fontId="0" fillId="10" borderId="23" xfId="2" applyFont="1" applyFill="1" applyBorder="1" applyProtection="1"/>
    <xf numFmtId="44" fontId="0" fillId="5" borderId="19" xfId="2" applyFont="1" applyFill="1" applyBorder="1" applyProtection="1"/>
    <xf numFmtId="44" fontId="0" fillId="5" borderId="52" xfId="2" applyFont="1" applyFill="1" applyBorder="1" applyProtection="1"/>
    <xf numFmtId="44" fontId="0" fillId="5" borderId="55" xfId="2" applyFont="1" applyFill="1" applyBorder="1" applyProtection="1"/>
    <xf numFmtId="44" fontId="0" fillId="5" borderId="16" xfId="2" applyFont="1" applyFill="1" applyBorder="1" applyProtection="1"/>
    <xf numFmtId="44" fontId="0" fillId="5" borderId="15" xfId="2" applyFont="1" applyFill="1" applyBorder="1" applyProtection="1"/>
    <xf numFmtId="0" fontId="3" fillId="3" borderId="1" xfId="0" applyFont="1" applyFill="1" applyBorder="1"/>
    <xf numFmtId="0" fontId="0" fillId="0" borderId="0" xfId="0" applyAlignment="1">
      <alignment wrapText="1"/>
    </xf>
    <xf numFmtId="43" fontId="0" fillId="5" borderId="44" xfId="1" applyFont="1" applyFill="1" applyBorder="1" applyProtection="1"/>
    <xf numFmtId="43" fontId="0" fillId="5" borderId="45" xfId="1" applyFont="1" applyFill="1" applyBorder="1" applyProtection="1"/>
    <xf numFmtId="43" fontId="0" fillId="5" borderId="19" xfId="1" applyFont="1" applyFill="1" applyBorder="1" applyProtection="1"/>
    <xf numFmtId="43" fontId="0" fillId="5" borderId="46" xfId="1" applyFont="1" applyFill="1" applyBorder="1" applyProtection="1"/>
    <xf numFmtId="165" fontId="0" fillId="5" borderId="16" xfId="1" applyNumberFormat="1" applyFont="1" applyFill="1" applyBorder="1" applyProtection="1"/>
    <xf numFmtId="165" fontId="0" fillId="5" borderId="15" xfId="1" applyNumberFormat="1" applyFont="1" applyFill="1" applyBorder="1" applyProtection="1"/>
    <xf numFmtId="43" fontId="0" fillId="10" borderId="48" xfId="0" applyNumberFormat="1" applyFill="1" applyBorder="1" applyProtection="1"/>
    <xf numFmtId="165" fontId="0" fillId="4" borderId="19" xfId="0" applyNumberFormat="1" applyFill="1" applyBorder="1" applyProtection="1"/>
    <xf numFmtId="165" fontId="0" fillId="5" borderId="11" xfId="1" applyNumberFormat="1" applyFont="1" applyFill="1" applyBorder="1" applyProtection="1"/>
    <xf numFmtId="165" fontId="0" fillId="5" borderId="2" xfId="1" applyNumberFormat="1" applyFont="1" applyFill="1" applyBorder="1" applyProtection="1"/>
    <xf numFmtId="165" fontId="0" fillId="5" borderId="10" xfId="1" applyNumberFormat="1" applyFont="1" applyFill="1" applyBorder="1" applyProtection="1"/>
    <xf numFmtId="166" fontId="0" fillId="5" borderId="4" xfId="1" applyNumberFormat="1" applyFont="1" applyFill="1" applyBorder="1" applyProtection="1"/>
    <xf numFmtId="166" fontId="0" fillId="5" borderId="5" xfId="1" applyNumberFormat="1" applyFont="1" applyFill="1" applyBorder="1" applyProtection="1"/>
    <xf numFmtId="166" fontId="0" fillId="5" borderId="6" xfId="1" applyNumberFormat="1" applyFont="1" applyFill="1" applyBorder="1" applyProtection="1"/>
    <xf numFmtId="43" fontId="0" fillId="4" borderId="25" xfId="1" applyNumberFormat="1" applyFont="1" applyFill="1" applyBorder="1" applyProtection="1"/>
    <xf numFmtId="0" fontId="3" fillId="11" borderId="14" xfId="0" applyFont="1" applyFill="1" applyBorder="1" applyAlignment="1" applyProtection="1">
      <alignment horizontal="center"/>
    </xf>
    <xf numFmtId="14" fontId="0" fillId="0" borderId="0" xfId="0" applyNumberFormat="1"/>
    <xf numFmtId="0" fontId="2" fillId="0" borderId="1" xfId="1" applyNumberFormat="1" applyBorder="1"/>
    <xf numFmtId="0" fontId="2" fillId="0" borderId="0" xfId="0" applyFont="1"/>
    <xf numFmtId="0" fontId="0" fillId="0" borderId="45" xfId="0" applyBorder="1" applyAlignment="1">
      <alignment horizontal="right"/>
    </xf>
    <xf numFmtId="0" fontId="14" fillId="0" borderId="45" xfId="0" applyFont="1" applyBorder="1" applyAlignment="1" applyProtection="1">
      <alignment horizontal="right"/>
    </xf>
    <xf numFmtId="166" fontId="0" fillId="5" borderId="20" xfId="1" applyNumberFormat="1" applyFont="1" applyFill="1" applyBorder="1" applyProtection="1"/>
    <xf numFmtId="166" fontId="0" fillId="5" borderId="23" xfId="1" applyNumberFormat="1" applyFont="1" applyFill="1" applyBorder="1" applyProtection="1"/>
    <xf numFmtId="166" fontId="0" fillId="5" borderId="53" xfId="1" applyNumberFormat="1" applyFont="1" applyFill="1" applyBorder="1" applyProtection="1"/>
    <xf numFmtId="166" fontId="0" fillId="5" borderId="18" xfId="1" applyNumberFormat="1" applyFont="1" applyFill="1" applyBorder="1" applyProtection="1"/>
    <xf numFmtId="164" fontId="0" fillId="0" borderId="0" xfId="0" applyNumberFormat="1" applyProtection="1"/>
    <xf numFmtId="43" fontId="0" fillId="0" borderId="0" xfId="0" applyNumberFormat="1" applyProtection="1"/>
    <xf numFmtId="0" fontId="3" fillId="0" borderId="0" xfId="0" applyFont="1" applyFill="1" applyBorder="1" applyProtection="1"/>
    <xf numFmtId="164" fontId="0" fillId="10" borderId="48" xfId="0" applyNumberFormat="1" applyFill="1" applyBorder="1" applyProtection="1"/>
    <xf numFmtId="0" fontId="2" fillId="0" borderId="0" xfId="0" applyFont="1" applyAlignment="1">
      <alignment horizontal="center" vertical="center"/>
    </xf>
    <xf numFmtId="9" fontId="4" fillId="0" borderId="8" xfId="5" applyFont="1" applyFill="1" applyBorder="1" applyAlignment="1">
      <alignment horizontal="right"/>
    </xf>
    <xf numFmtId="0" fontId="17" fillId="15" borderId="41" xfId="0" applyFont="1" applyFill="1" applyBorder="1" applyAlignment="1"/>
    <xf numFmtId="0" fontId="18" fillId="0" borderId="0" xfId="0" applyFont="1" applyBorder="1"/>
    <xf numFmtId="0" fontId="18" fillId="0" borderId="1" xfId="0" applyFont="1" applyBorder="1" applyAlignment="1">
      <alignment horizontal="center"/>
    </xf>
    <xf numFmtId="0" fontId="18" fillId="0" borderId="1" xfId="0" applyFont="1" applyBorder="1" applyAlignment="1">
      <alignment horizontal="center" wrapText="1"/>
    </xf>
    <xf numFmtId="0" fontId="18" fillId="0" borderId="8"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8" fillId="0" borderId="36" xfId="0" applyFont="1" applyBorder="1" applyAlignment="1">
      <alignment horizontal="center" wrapText="1"/>
    </xf>
    <xf numFmtId="0" fontId="18" fillId="0" borderId="30" xfId="0" applyFont="1" applyBorder="1" applyAlignment="1">
      <alignment horizontal="center" wrapText="1"/>
    </xf>
    <xf numFmtId="0" fontId="18" fillId="0" borderId="31" xfId="0" applyFont="1" applyBorder="1" applyAlignment="1">
      <alignment horizontal="center" wrapText="1"/>
    </xf>
    <xf numFmtId="0" fontId="18" fillId="0" borderId="32" xfId="0" applyFont="1" applyBorder="1" applyAlignment="1">
      <alignment horizontal="center" wrapText="1"/>
    </xf>
    <xf numFmtId="0" fontId="1" fillId="0" borderId="66" xfId="0" applyFont="1" applyFill="1" applyBorder="1"/>
    <xf numFmtId="0" fontId="1" fillId="0" borderId="67" xfId="0" applyFont="1" applyFill="1" applyBorder="1"/>
    <xf numFmtId="167" fontId="0" fillId="0" borderId="1" xfId="2" applyNumberFormat="1" applyFont="1" applyBorder="1"/>
    <xf numFmtId="2" fontId="0" fillId="0" borderId="1" xfId="0" applyNumberFormat="1" applyBorder="1"/>
    <xf numFmtId="0" fontId="1" fillId="0" borderId="1" xfId="0" applyFont="1" applyFill="1" applyBorder="1"/>
    <xf numFmtId="0" fontId="4" fillId="0" borderId="66" xfId="4" applyFont="1" applyFill="1" applyBorder="1" applyAlignment="1"/>
    <xf numFmtId="0" fontId="4" fillId="0" borderId="67" xfId="4" applyFont="1" applyFill="1" applyBorder="1" applyAlignment="1"/>
    <xf numFmtId="9" fontId="0" fillId="0" borderId="0" xfId="5" applyFont="1"/>
    <xf numFmtId="164" fontId="0" fillId="0" borderId="1" xfId="1" applyNumberFormat="1" applyFont="1" applyBorder="1" applyAlignment="1">
      <alignment wrapText="1"/>
    </xf>
    <xf numFmtId="164" fontId="2" fillId="0" borderId="1" xfId="1" applyNumberFormat="1" applyFont="1" applyBorder="1" applyAlignment="1">
      <alignment wrapText="1"/>
    </xf>
    <xf numFmtId="168" fontId="0" fillId="0" borderId="1" xfId="5" applyNumberFormat="1" applyFont="1" applyBorder="1"/>
    <xf numFmtId="0" fontId="2" fillId="0" borderId="1" xfId="0" applyFont="1" applyBorder="1"/>
    <xf numFmtId="0" fontId="2" fillId="0" borderId="1" xfId="0" applyFont="1" applyFill="1" applyBorder="1"/>
    <xf numFmtId="168" fontId="0" fillId="20" borderId="1" xfId="5" applyNumberFormat="1" applyFont="1" applyFill="1" applyBorder="1"/>
    <xf numFmtId="164" fontId="2" fillId="0" borderId="1" xfId="1" applyNumberFormat="1" applyFont="1" applyFill="1" applyBorder="1" applyAlignment="1">
      <alignment wrapText="1"/>
    </xf>
    <xf numFmtId="9" fontId="0" fillId="0" borderId="1" xfId="5" applyFont="1" applyBorder="1"/>
    <xf numFmtId="0" fontId="4" fillId="0" borderId="69" xfId="4" applyFont="1" applyFill="1" applyBorder="1" applyAlignment="1">
      <alignment horizontal="left"/>
    </xf>
    <xf numFmtId="9" fontId="0" fillId="0" borderId="1" xfId="0" applyNumberFormat="1" applyBorder="1"/>
    <xf numFmtId="168" fontId="4" fillId="0" borderId="8" xfId="5" applyNumberFormat="1" applyFont="1" applyFill="1" applyBorder="1" applyAlignment="1">
      <alignment horizontal="right"/>
    </xf>
    <xf numFmtId="0" fontId="4" fillId="0" borderId="11" xfId="4" applyFont="1" applyFill="1" applyBorder="1" applyAlignment="1"/>
    <xf numFmtId="0" fontId="4" fillId="0" borderId="12" xfId="4" applyFont="1" applyFill="1" applyBorder="1" applyAlignment="1"/>
    <xf numFmtId="164" fontId="4" fillId="0" borderId="12" xfId="1" applyNumberFormat="1" applyFont="1" applyFill="1" applyBorder="1" applyAlignment="1">
      <alignment horizontal="right"/>
    </xf>
    <xf numFmtId="9" fontId="4" fillId="0" borderId="12" xfId="5" applyFont="1" applyFill="1" applyBorder="1" applyAlignment="1">
      <alignment horizontal="right"/>
    </xf>
    <xf numFmtId="165" fontId="2" fillId="0" borderId="31" xfId="1" applyNumberFormat="1" applyBorder="1"/>
    <xf numFmtId="165" fontId="2" fillId="0" borderId="32" xfId="1" applyNumberFormat="1" applyBorder="1"/>
    <xf numFmtId="0" fontId="4" fillId="0" borderId="2" xfId="4" applyFont="1" applyFill="1" applyBorder="1" applyAlignment="1"/>
    <xf numFmtId="165" fontId="2" fillId="0" borderId="70" xfId="1" applyNumberFormat="1" applyBorder="1"/>
    <xf numFmtId="0" fontId="4" fillId="0" borderId="10" xfId="4" applyFont="1" applyFill="1" applyBorder="1" applyAlignment="1"/>
    <xf numFmtId="0" fontId="4" fillId="0" borderId="13" xfId="4" applyFont="1" applyFill="1" applyBorder="1" applyAlignment="1"/>
    <xf numFmtId="164" fontId="4" fillId="0" borderId="71" xfId="1" applyNumberFormat="1" applyFont="1" applyFill="1" applyBorder="1" applyAlignment="1">
      <alignment horizontal="right"/>
    </xf>
    <xf numFmtId="9" fontId="4" fillId="0" borderId="71" xfId="5" applyFont="1" applyFill="1" applyBorder="1" applyAlignment="1">
      <alignment horizontal="right"/>
    </xf>
    <xf numFmtId="165" fontId="2" fillId="0" borderId="13" xfId="1" applyNumberFormat="1" applyBorder="1"/>
    <xf numFmtId="165" fontId="2" fillId="0" borderId="34" xfId="1" applyNumberFormat="1" applyBorder="1"/>
    <xf numFmtId="9" fontId="2" fillId="0" borderId="8" xfId="5" applyBorder="1"/>
    <xf numFmtId="168" fontId="4" fillId="0" borderId="12" xfId="5" applyNumberFormat="1" applyFont="1" applyFill="1" applyBorder="1" applyAlignment="1">
      <alignment horizontal="right"/>
    </xf>
    <xf numFmtId="168" fontId="4" fillId="0" borderId="71" xfId="5" applyNumberFormat="1" applyFont="1" applyFill="1" applyBorder="1" applyAlignment="1">
      <alignment horizontal="right"/>
    </xf>
    <xf numFmtId="0" fontId="4" fillId="0" borderId="55" xfId="4" applyFont="1" applyFill="1" applyBorder="1" applyAlignment="1"/>
    <xf numFmtId="0" fontId="4" fillId="0" borderId="16" xfId="4" applyFont="1" applyFill="1" applyBorder="1" applyAlignment="1"/>
    <xf numFmtId="0" fontId="4" fillId="0" borderId="15" xfId="4" applyFont="1" applyFill="1" applyBorder="1" applyAlignment="1"/>
    <xf numFmtId="0" fontId="3" fillId="3" borderId="35" xfId="0" applyFont="1" applyFill="1" applyBorder="1" applyAlignment="1" applyProtection="1">
      <alignment horizontal="center"/>
    </xf>
    <xf numFmtId="0" fontId="3" fillId="3" borderId="41" xfId="0" applyFont="1" applyFill="1" applyBorder="1" applyAlignment="1" applyProtection="1">
      <alignment horizontal="center"/>
    </xf>
    <xf numFmtId="0" fontId="3" fillId="3" borderId="42" xfId="0" applyFont="1" applyFill="1" applyBorder="1" applyAlignment="1" applyProtection="1">
      <alignment horizontal="center"/>
    </xf>
    <xf numFmtId="0" fontId="6" fillId="0" borderId="35" xfId="0" applyFont="1" applyBorder="1" applyAlignment="1" applyProtection="1">
      <alignment horizontal="center"/>
    </xf>
    <xf numFmtId="0" fontId="6" fillId="0" borderId="41" xfId="0" applyFont="1" applyBorder="1" applyAlignment="1" applyProtection="1">
      <alignment horizontal="center"/>
    </xf>
    <xf numFmtId="0" fontId="6" fillId="0" borderId="42" xfId="0" applyFont="1" applyBorder="1" applyAlignment="1" applyProtection="1">
      <alignment horizontal="center"/>
    </xf>
    <xf numFmtId="0" fontId="3" fillId="0" borderId="14" xfId="0" applyFont="1" applyBorder="1" applyAlignment="1" applyProtection="1">
      <alignment horizontal="center" wrapText="1"/>
    </xf>
    <xf numFmtId="0" fontId="3" fillId="0" borderId="39" xfId="0" applyFont="1" applyBorder="1" applyAlignment="1" applyProtection="1">
      <alignment horizontal="center" wrapText="1"/>
    </xf>
    <xf numFmtId="0" fontId="10" fillId="13" borderId="35" xfId="0" applyFont="1" applyFill="1" applyBorder="1" applyAlignment="1" applyProtection="1">
      <alignment horizontal="center"/>
    </xf>
    <xf numFmtId="0" fontId="10" fillId="13" borderId="51" xfId="0" applyFont="1" applyFill="1" applyBorder="1" applyAlignment="1" applyProtection="1">
      <alignment horizontal="center"/>
    </xf>
    <xf numFmtId="0" fontId="10" fillId="13" borderId="41" xfId="0" applyFont="1" applyFill="1" applyBorder="1" applyAlignment="1" applyProtection="1">
      <alignment horizontal="center"/>
    </xf>
    <xf numFmtId="0" fontId="10" fillId="13" borderId="42" xfId="0" applyFont="1" applyFill="1" applyBorder="1" applyAlignment="1" applyProtection="1">
      <alignment horizontal="center"/>
    </xf>
    <xf numFmtId="0" fontId="3" fillId="0" borderId="35" xfId="0" applyFont="1" applyBorder="1" applyAlignment="1" applyProtection="1">
      <alignment horizontal="center"/>
    </xf>
    <xf numFmtId="0" fontId="3" fillId="0" borderId="41" xfId="0" applyFont="1" applyBorder="1" applyAlignment="1" applyProtection="1">
      <alignment horizontal="center"/>
    </xf>
    <xf numFmtId="0" fontId="5" fillId="0" borderId="35" xfId="0" applyFont="1" applyBorder="1" applyAlignment="1" applyProtection="1">
      <alignment horizontal="center"/>
    </xf>
    <xf numFmtId="0" fontId="5" fillId="0" borderId="41" xfId="0" applyFont="1" applyBorder="1" applyAlignment="1" applyProtection="1">
      <alignment horizontal="center"/>
    </xf>
    <xf numFmtId="0" fontId="5" fillId="0" borderId="42" xfId="0" applyFont="1" applyBorder="1" applyAlignment="1" applyProtection="1">
      <alignment horizontal="center"/>
    </xf>
    <xf numFmtId="0" fontId="3" fillId="0" borderId="28" xfId="0" applyFont="1" applyFill="1" applyBorder="1" applyAlignment="1" applyProtection="1">
      <alignment horizontal="center"/>
    </xf>
    <xf numFmtId="0" fontId="3" fillId="0" borderId="51" xfId="0" applyFont="1" applyFill="1" applyBorder="1" applyAlignment="1" applyProtection="1">
      <alignment horizontal="center"/>
    </xf>
    <xf numFmtId="0" fontId="3" fillId="0" borderId="62" xfId="0" applyFont="1" applyFill="1" applyBorder="1" applyAlignment="1" applyProtection="1">
      <alignment horizontal="center"/>
    </xf>
    <xf numFmtId="14" fontId="3" fillId="11" borderId="28" xfId="0" applyNumberFormat="1" applyFont="1" applyFill="1" applyBorder="1" applyAlignment="1" applyProtection="1">
      <alignment horizontal="center"/>
    </xf>
    <xf numFmtId="14" fontId="3" fillId="11" borderId="51" xfId="0" applyNumberFormat="1" applyFont="1" applyFill="1" applyBorder="1" applyAlignment="1" applyProtection="1">
      <alignment horizontal="center"/>
    </xf>
    <xf numFmtId="14" fontId="3" fillId="11" borderId="62" xfId="0" applyNumberFormat="1" applyFont="1" applyFill="1" applyBorder="1" applyAlignment="1" applyProtection="1">
      <alignment horizontal="center"/>
    </xf>
    <xf numFmtId="0" fontId="3" fillId="0" borderId="35" xfId="0" applyFont="1" applyBorder="1" applyAlignment="1" applyProtection="1">
      <alignment horizontal="left" wrapText="1"/>
    </xf>
    <xf numFmtId="0" fontId="3" fillId="0" borderId="41" xfId="0" applyFont="1" applyBorder="1" applyAlignment="1" applyProtection="1">
      <alignment horizontal="left" wrapText="1"/>
    </xf>
    <xf numFmtId="0" fontId="3" fillId="0" borderId="42" xfId="0" applyFont="1" applyBorder="1" applyAlignment="1" applyProtection="1">
      <alignment horizontal="left" wrapText="1"/>
    </xf>
    <xf numFmtId="0" fontId="14" fillId="0" borderId="28" xfId="0" applyFont="1" applyBorder="1" applyAlignment="1" applyProtection="1">
      <alignment horizontal="left" wrapText="1"/>
    </xf>
    <xf numFmtId="0" fontId="3" fillId="0" borderId="51" xfId="0" applyFont="1" applyBorder="1" applyAlignment="1" applyProtection="1">
      <alignment horizontal="left" wrapText="1"/>
    </xf>
    <xf numFmtId="0" fontId="3" fillId="0" borderId="62" xfId="0" applyFont="1" applyBorder="1" applyAlignment="1" applyProtection="1">
      <alignment horizontal="left" wrapText="1"/>
    </xf>
    <xf numFmtId="0" fontId="3" fillId="0" borderId="42" xfId="0" applyFont="1" applyBorder="1" applyAlignment="1" applyProtection="1">
      <alignment horizontal="center"/>
    </xf>
    <xf numFmtId="0" fontId="0" fillId="8" borderId="35" xfId="0" applyFill="1" applyBorder="1" applyAlignment="1" applyProtection="1">
      <alignment horizontal="center"/>
    </xf>
    <xf numFmtId="0" fontId="0" fillId="8" borderId="41" xfId="0" applyFill="1" applyBorder="1" applyAlignment="1" applyProtection="1">
      <alignment horizontal="center"/>
    </xf>
    <xf numFmtId="0" fontId="0" fillId="8" borderId="42" xfId="0" applyFill="1" applyBorder="1" applyAlignment="1" applyProtection="1">
      <alignment horizontal="center"/>
    </xf>
    <xf numFmtId="0" fontId="0" fillId="8" borderId="28" xfId="0" applyFill="1" applyBorder="1" applyAlignment="1" applyProtection="1">
      <alignment horizontal="center"/>
    </xf>
    <xf numFmtId="0" fontId="0" fillId="8" borderId="27" xfId="0" applyFill="1" applyBorder="1" applyAlignment="1" applyProtection="1">
      <alignment horizontal="center"/>
    </xf>
    <xf numFmtId="0" fontId="0" fillId="8" borderId="63" xfId="0" applyFill="1" applyBorder="1" applyAlignment="1" applyProtection="1">
      <alignment horizontal="center"/>
    </xf>
    <xf numFmtId="0" fontId="3" fillId="0" borderId="43" xfId="0" applyFont="1" applyBorder="1" applyAlignment="1" applyProtection="1">
      <alignment horizontal="center" wrapText="1"/>
    </xf>
    <xf numFmtId="0" fontId="3" fillId="0" borderId="60" xfId="0" applyFont="1" applyBorder="1" applyAlignment="1" applyProtection="1">
      <alignment horizontal="center" wrapText="1"/>
    </xf>
    <xf numFmtId="0" fontId="0" fillId="8" borderId="61" xfId="0" applyFill="1" applyBorder="1" applyAlignment="1" applyProtection="1">
      <alignment horizontal="center"/>
    </xf>
    <xf numFmtId="0" fontId="0" fillId="8" borderId="59" xfId="0" applyFill="1" applyBorder="1" applyAlignment="1" applyProtection="1">
      <alignment horizontal="center"/>
    </xf>
    <xf numFmtId="0" fontId="10" fillId="13" borderId="35" xfId="0" applyFont="1" applyFill="1" applyBorder="1" applyAlignment="1" applyProtection="1">
      <alignment horizontal="center" wrapText="1"/>
    </xf>
    <xf numFmtId="0" fontId="10" fillId="13" borderId="41" xfId="0" applyFont="1" applyFill="1" applyBorder="1" applyAlignment="1" applyProtection="1">
      <alignment horizontal="center" wrapText="1"/>
    </xf>
    <xf numFmtId="0" fontId="10" fillId="13" borderId="42" xfId="0" applyFont="1" applyFill="1" applyBorder="1" applyAlignment="1" applyProtection="1">
      <alignment horizontal="center" wrapText="1"/>
    </xf>
    <xf numFmtId="0" fontId="7" fillId="0" borderId="63" xfId="0" applyFont="1" applyBorder="1" applyAlignment="1" applyProtection="1">
      <alignment horizontal="left" wrapText="1"/>
    </xf>
    <xf numFmtId="0" fontId="7" fillId="0" borderId="61" xfId="0" applyFont="1" applyBorder="1" applyAlignment="1" applyProtection="1">
      <alignment horizontal="left" wrapText="1"/>
    </xf>
    <xf numFmtId="0" fontId="7" fillId="0" borderId="59" xfId="0" applyFont="1" applyBorder="1" applyAlignment="1" applyProtection="1">
      <alignment horizontal="left" wrapText="1"/>
    </xf>
    <xf numFmtId="0" fontId="0" fillId="8" borderId="51" xfId="0" applyFill="1" applyBorder="1" applyAlignment="1" applyProtection="1">
      <alignment horizontal="center"/>
    </xf>
    <xf numFmtId="0" fontId="0" fillId="8" borderId="62" xfId="0" applyFill="1" applyBorder="1" applyAlignment="1" applyProtection="1">
      <alignment horizontal="center"/>
    </xf>
    <xf numFmtId="0" fontId="0" fillId="8" borderId="0" xfId="0" applyFill="1" applyBorder="1" applyAlignment="1" applyProtection="1">
      <alignment horizontal="center"/>
    </xf>
    <xf numFmtId="0" fontId="0" fillId="8" borderId="60" xfId="0" applyFill="1" applyBorder="1" applyAlignment="1" applyProtection="1">
      <alignment horizontal="center"/>
    </xf>
    <xf numFmtId="0" fontId="3" fillId="0" borderId="35" xfId="0" applyFont="1" applyFill="1" applyBorder="1" applyAlignment="1">
      <alignment wrapText="1"/>
    </xf>
    <xf numFmtId="0" fontId="0" fillId="0" borderId="41" xfId="0" applyFill="1" applyBorder="1" applyAlignment="1">
      <alignment wrapText="1"/>
    </xf>
    <xf numFmtId="0" fontId="0" fillId="0" borderId="42" xfId="0" applyFill="1" applyBorder="1" applyAlignment="1">
      <alignment wrapText="1"/>
    </xf>
    <xf numFmtId="0" fontId="3" fillId="3" borderId="28" xfId="0" applyFont="1" applyFill="1" applyBorder="1" applyAlignment="1" applyProtection="1">
      <alignment horizontal="center" wrapText="1"/>
    </xf>
    <xf numFmtId="0" fontId="3" fillId="3" borderId="63" xfId="0" applyFont="1" applyFill="1" applyBorder="1" applyAlignment="1" applyProtection="1">
      <alignment horizontal="center" wrapText="1"/>
    </xf>
    <xf numFmtId="0" fontId="3" fillId="3" borderId="14" xfId="0" applyFont="1" applyFill="1" applyBorder="1" applyAlignment="1" applyProtection="1">
      <alignment horizontal="center" wrapText="1"/>
    </xf>
    <xf numFmtId="0" fontId="3" fillId="3" borderId="39" xfId="0" applyFont="1" applyFill="1" applyBorder="1" applyAlignment="1" applyProtection="1">
      <alignment horizontal="center" wrapText="1"/>
    </xf>
    <xf numFmtId="0" fontId="0" fillId="8" borderId="63" xfId="0" applyFill="1" applyBorder="1" applyAlignment="1">
      <alignment horizontal="center"/>
    </xf>
    <xf numFmtId="0" fontId="0" fillId="8" borderId="61" xfId="0" applyFill="1" applyBorder="1" applyAlignment="1">
      <alignment horizontal="center"/>
    </xf>
    <xf numFmtId="0" fontId="0" fillId="8" borderId="42" xfId="0" applyFill="1" applyBorder="1" applyAlignment="1">
      <alignment horizontal="center"/>
    </xf>
    <xf numFmtId="0" fontId="3" fillId="3" borderId="43" xfId="0" applyFont="1" applyFill="1" applyBorder="1" applyAlignment="1" applyProtection="1">
      <alignment horizontal="center" wrapText="1"/>
    </xf>
    <xf numFmtId="0" fontId="0" fillId="14" borderId="14" xfId="0" applyFill="1" applyBorder="1" applyAlignment="1">
      <alignment horizontal="center"/>
    </xf>
    <xf numFmtId="0" fontId="0" fillId="14" borderId="43" xfId="0" applyFill="1" applyBorder="1" applyAlignment="1">
      <alignment horizontal="center"/>
    </xf>
    <xf numFmtId="0" fontId="0" fillId="14" borderId="39" xfId="0" applyFill="1" applyBorder="1" applyAlignment="1">
      <alignment horizontal="center"/>
    </xf>
    <xf numFmtId="0" fontId="0" fillId="8" borderId="35" xfId="0" applyFill="1" applyBorder="1" applyAlignment="1">
      <alignment horizontal="center"/>
    </xf>
    <xf numFmtId="0" fontId="0" fillId="8" borderId="41" xfId="0" applyFill="1" applyBorder="1" applyAlignment="1">
      <alignment horizontal="center"/>
    </xf>
    <xf numFmtId="0" fontId="0" fillId="4" borderId="1" xfId="0" applyFill="1" applyBorder="1" applyAlignment="1">
      <alignment horizontal="center" wrapText="1"/>
    </xf>
    <xf numFmtId="0" fontId="16" fillId="15" borderId="27" xfId="0" applyFont="1" applyFill="1" applyBorder="1" applyAlignment="1">
      <alignment horizontal="right"/>
    </xf>
    <xf numFmtId="0" fontId="16" fillId="15" borderId="0" xfId="0" applyFont="1" applyFill="1" applyBorder="1" applyAlignment="1">
      <alignment horizontal="right"/>
    </xf>
    <xf numFmtId="0" fontId="18" fillId="0" borderId="37" xfId="0" applyFont="1" applyBorder="1" applyAlignment="1">
      <alignment horizontal="center"/>
    </xf>
    <xf numFmtId="0" fontId="18" fillId="0" borderId="64" xfId="0" applyFont="1" applyBorder="1" applyAlignment="1">
      <alignment horizontal="center"/>
    </xf>
    <xf numFmtId="0" fontId="18" fillId="0" borderId="38" xfId="0" applyFont="1" applyBorder="1" applyAlignment="1">
      <alignment horizontal="center"/>
    </xf>
    <xf numFmtId="0" fontId="18" fillId="0" borderId="65" xfId="0" applyFont="1" applyBorder="1" applyAlignment="1">
      <alignment horizontal="center"/>
    </xf>
  </cellXfs>
  <cellStyles count="13">
    <cellStyle name="Comma" xfId="1" builtinId="3"/>
    <cellStyle name="Currency" xfId="2" builtinId="4"/>
    <cellStyle name="Normal" xfId="0" builtinId="0"/>
    <cellStyle name="Normal 2" xfId="6"/>
    <cellStyle name="Normal_Sheet1" xfId="3"/>
    <cellStyle name="Normal_Sheet1_2005SalesRevbyUtility" xfId="4"/>
    <cellStyle name="Percent" xfId="5" builtinId="5"/>
    <cellStyle name="SAPBEXaggData" xfId="9"/>
    <cellStyle name="SAPBEXaggItem" xfId="12"/>
    <cellStyle name="SAPBEXaggItemX" xfId="8"/>
    <cellStyle name="SAPBEXchaText" xfId="10"/>
    <cellStyle name="SAPBEXHLevel0" xfId="11"/>
    <cellStyle name="SAPBEXstdItemX"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5" dropStyle="combo" dx="16" fmlaLink="'Target Calculator'!$A$7" fmlaRange="'Data Base and Calculations'!$A$34:$A$190" sel="157" val="132"/>
</file>

<file path=xl/ctrlProps/ctrlProp2.xml><?xml version="1.0" encoding="utf-8"?>
<formControlPr xmlns="http://schemas.microsoft.com/office/spreadsheetml/2009/9/main" objectType="Drop" dropLines="2" dropStyle="combo" dx="16" fmlaLink="$AJ$2" fmlaRange="$AJ$4:$AJ$5"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6</xdr:row>
          <xdr:rowOff>19050</xdr:rowOff>
        </xdr:from>
        <xdr:to>
          <xdr:col>1</xdr:col>
          <xdr:colOff>9525</xdr:colOff>
          <xdr:row>6</xdr:row>
          <xdr:rowOff>333375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18AD5D56-EF1E-45D0-B29E-1F0C8D7E20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19050</xdr:rowOff>
        </xdr:from>
        <xdr:to>
          <xdr:col>2</xdr:col>
          <xdr:colOff>0</xdr:colOff>
          <xdr:row>2</xdr:row>
          <xdr:rowOff>9525</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A81462F3-8585-419F-B7E6-43BC330CF9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64"/>
  <sheetViews>
    <sheetView tabSelected="1" zoomScale="75" workbookViewId="0">
      <selection activeCell="A2" sqref="A2:Q2"/>
    </sheetView>
  </sheetViews>
  <sheetFormatPr defaultColWidth="8.85546875" defaultRowHeight="12.75" x14ac:dyDescent="0.2"/>
  <cols>
    <col min="1" max="1" width="36.140625" style="43" customWidth="1"/>
    <col min="2" max="2" width="11.85546875" style="43" customWidth="1"/>
    <col min="3" max="8" width="10.28515625" style="43" customWidth="1"/>
    <col min="9" max="12" width="12.7109375" style="43" customWidth="1"/>
    <col min="13" max="13" width="10.28515625" style="43" customWidth="1"/>
    <col min="14" max="14" width="11.28515625" style="43" customWidth="1"/>
    <col min="15" max="15" width="11.7109375" style="43" customWidth="1"/>
    <col min="16" max="16" width="12" style="43" customWidth="1"/>
    <col min="17" max="17" width="13.85546875" style="43" customWidth="1"/>
    <col min="18" max="21" width="10.42578125" style="43" customWidth="1"/>
    <col min="22" max="22" width="13.85546875" style="43" customWidth="1"/>
    <col min="23" max="23" width="14.28515625" style="43" customWidth="1"/>
    <col min="24" max="16384" width="8.85546875" style="43"/>
  </cols>
  <sheetData>
    <row r="1" spans="1:23" ht="18.75" thickBot="1" x14ac:dyDescent="0.3">
      <c r="A1" s="339" t="s">
        <v>210</v>
      </c>
      <c r="B1" s="340"/>
      <c r="C1" s="340"/>
      <c r="D1" s="340"/>
      <c r="E1" s="340"/>
      <c r="F1" s="340"/>
      <c r="G1" s="340"/>
      <c r="H1" s="340"/>
      <c r="I1" s="340"/>
      <c r="J1" s="340"/>
      <c r="K1" s="340"/>
      <c r="L1" s="340"/>
      <c r="M1" s="340"/>
      <c r="N1" s="340"/>
      <c r="O1" s="340"/>
      <c r="P1" s="340"/>
      <c r="Q1" s="341"/>
    </row>
    <row r="2" spans="1:23" ht="57" customHeight="1" thickBot="1" x14ac:dyDescent="0.25">
      <c r="A2" s="348" t="s">
        <v>211</v>
      </c>
      <c r="B2" s="349"/>
      <c r="C2" s="349"/>
      <c r="D2" s="349"/>
      <c r="E2" s="349"/>
      <c r="F2" s="349"/>
      <c r="G2" s="349"/>
      <c r="H2" s="349"/>
      <c r="I2" s="349"/>
      <c r="J2" s="349"/>
      <c r="K2" s="349"/>
      <c r="L2" s="349"/>
      <c r="M2" s="349"/>
      <c r="N2" s="349"/>
      <c r="O2" s="349"/>
      <c r="P2" s="349"/>
      <c r="Q2" s="350"/>
    </row>
    <row r="3" spans="1:23" ht="58.5" customHeight="1" thickBot="1" x14ac:dyDescent="0.25">
      <c r="A3" s="351" t="s">
        <v>231</v>
      </c>
      <c r="B3" s="352"/>
      <c r="C3" s="352"/>
      <c r="D3" s="352"/>
      <c r="E3" s="352"/>
      <c r="F3" s="352"/>
      <c r="G3" s="352"/>
      <c r="H3" s="352"/>
      <c r="I3" s="352"/>
      <c r="J3" s="352"/>
      <c r="K3" s="352"/>
      <c r="L3" s="352"/>
      <c r="M3" s="352"/>
      <c r="N3" s="352"/>
      <c r="O3" s="352"/>
      <c r="P3" s="352"/>
      <c r="Q3" s="353"/>
    </row>
    <row r="4" spans="1:23" ht="13.5" thickBot="1" x14ac:dyDescent="0.25">
      <c r="A4" s="160" t="s">
        <v>193</v>
      </c>
      <c r="B4" s="161">
        <v>2.04</v>
      </c>
      <c r="C4" s="162"/>
      <c r="D4" s="163" t="s">
        <v>195</v>
      </c>
      <c r="E4" s="163"/>
      <c r="F4" s="163"/>
      <c r="G4" s="163"/>
      <c r="H4" s="259">
        <v>2010</v>
      </c>
      <c r="I4" s="342" t="s">
        <v>194</v>
      </c>
      <c r="J4" s="343"/>
      <c r="K4" s="343"/>
      <c r="L4" s="343"/>
      <c r="M4" s="343"/>
      <c r="N4" s="344"/>
      <c r="O4" s="345">
        <v>41807</v>
      </c>
      <c r="P4" s="346"/>
      <c r="Q4" s="347"/>
    </row>
    <row r="5" spans="1:23" ht="16.5" thickBot="1" x14ac:dyDescent="0.3">
      <c r="A5" s="333" t="s">
        <v>168</v>
      </c>
      <c r="B5" s="335"/>
      <c r="C5" s="335"/>
      <c r="D5" s="335"/>
      <c r="E5" s="335"/>
      <c r="F5" s="335"/>
      <c r="G5" s="335"/>
      <c r="H5" s="335"/>
      <c r="I5" s="335"/>
      <c r="J5" s="335"/>
      <c r="K5" s="335"/>
      <c r="L5" s="335"/>
      <c r="M5" s="335"/>
      <c r="N5" s="335"/>
      <c r="O5" s="335"/>
      <c r="P5" s="335"/>
      <c r="Q5" s="335"/>
      <c r="R5" s="335"/>
      <c r="S5" s="335"/>
      <c r="T5" s="335"/>
      <c r="U5" s="335"/>
      <c r="V5" s="335"/>
      <c r="W5" s="336"/>
    </row>
    <row r="6" spans="1:23" ht="23.25" customHeight="1" thickBot="1" x14ac:dyDescent="0.25">
      <c r="A6" s="67" t="s">
        <v>162</v>
      </c>
      <c r="B6" s="337" t="s">
        <v>160</v>
      </c>
      <c r="C6" s="338"/>
      <c r="D6" s="338"/>
      <c r="E6" s="338"/>
      <c r="F6" s="338"/>
      <c r="G6" s="338"/>
      <c r="H6" s="338"/>
      <c r="I6" s="338"/>
      <c r="J6" s="338"/>
      <c r="K6" s="338"/>
      <c r="L6" s="338"/>
      <c r="M6" s="338"/>
      <c r="N6" s="338"/>
      <c r="O6" s="338"/>
      <c r="P6" s="338"/>
      <c r="Q6" s="338"/>
      <c r="R6" s="338"/>
      <c r="S6" s="338"/>
      <c r="T6" s="338"/>
      <c r="U6" s="354"/>
      <c r="V6" s="331" t="s">
        <v>257</v>
      </c>
      <c r="W6" s="331" t="s">
        <v>258</v>
      </c>
    </row>
    <row r="7" spans="1:23" ht="29.25" customHeight="1" thickBot="1" x14ac:dyDescent="0.25">
      <c r="A7" s="141">
        <v>157</v>
      </c>
      <c r="B7" s="153">
        <v>2010</v>
      </c>
      <c r="C7" s="154">
        <v>2011</v>
      </c>
      <c r="D7" s="154">
        <v>2012</v>
      </c>
      <c r="E7" s="154">
        <v>2013</v>
      </c>
      <c r="F7" s="154">
        <v>2014</v>
      </c>
      <c r="G7" s="154">
        <v>2015</v>
      </c>
      <c r="H7" s="154">
        <v>2016</v>
      </c>
      <c r="I7" s="154">
        <v>2017</v>
      </c>
      <c r="J7" s="154">
        <v>2018</v>
      </c>
      <c r="K7" s="154">
        <v>2019</v>
      </c>
      <c r="L7" s="154">
        <v>2020</v>
      </c>
      <c r="M7" s="154">
        <v>2021</v>
      </c>
      <c r="N7" s="154">
        <v>2022</v>
      </c>
      <c r="O7" s="218">
        <v>2023</v>
      </c>
      <c r="P7" s="154">
        <v>2024</v>
      </c>
      <c r="Q7" s="218">
        <v>2025</v>
      </c>
      <c r="R7" s="154">
        <v>2026</v>
      </c>
      <c r="S7" s="218">
        <v>2027</v>
      </c>
      <c r="T7" s="154">
        <v>2028</v>
      </c>
      <c r="U7" s="218">
        <v>2029</v>
      </c>
      <c r="V7" s="332"/>
      <c r="W7" s="332"/>
    </row>
    <row r="8" spans="1:23" ht="13.5" thickBot="1" x14ac:dyDescent="0.25">
      <c r="A8" s="100" t="s">
        <v>167</v>
      </c>
      <c r="B8" s="150">
        <f>'Data Base and Calculations'!J2</f>
        <v>105.831512351409</v>
      </c>
      <c r="C8" s="151">
        <f>'Data Base and Calculations'!K2</f>
        <v>116.41466358654989</v>
      </c>
      <c r="D8" s="151">
        <f>'Data Base and Calculations'!L2</f>
        <v>126.9978148216908</v>
      </c>
      <c r="E8" s="151">
        <f>'Data Base and Calculations'!M2</f>
        <v>137.5809660568317</v>
      </c>
      <c r="F8" s="151">
        <f>'Data Base and Calculations'!N2</f>
        <v>148.16411729197259</v>
      </c>
      <c r="G8" s="151">
        <f>'Data Base and Calculations'!O2</f>
        <v>153.45569290954305</v>
      </c>
      <c r="H8" s="151">
        <f>'Data Base and Calculations'!P2</f>
        <v>169.33041976225439</v>
      </c>
      <c r="I8" s="151">
        <f>'Data Base and Calculations'!Q2</f>
        <v>179.91357099739528</v>
      </c>
      <c r="J8" s="151">
        <f>'Data Base and Calculations'!R2</f>
        <v>185.20514661496574</v>
      </c>
      <c r="K8" s="151">
        <f>'Data Base and Calculations'!S2</f>
        <v>190.4967222325362</v>
      </c>
      <c r="L8" s="151">
        <f>'Data Base and Calculations'!T2</f>
        <v>193.14251004132143</v>
      </c>
      <c r="M8" s="151">
        <f>'Data Base and Calculations'!U2</f>
        <v>193.14251004132143</v>
      </c>
      <c r="N8" s="151">
        <f>'Data Base and Calculations'!V2</f>
        <v>193.14251004132143</v>
      </c>
      <c r="O8" s="152">
        <f>'Data Base and Calculations'!W2</f>
        <v>190.4967222325362</v>
      </c>
      <c r="P8" s="152">
        <f>'Data Base and Calculations'!X2</f>
        <v>164.03884414468394</v>
      </c>
      <c r="Q8" s="152">
        <f>'Data Base and Calculations'!Y2</f>
        <v>148.16411729197259</v>
      </c>
      <c r="R8" s="152">
        <f>'Data Base and Calculations'!Z2</f>
        <v>132.28939043926124</v>
      </c>
      <c r="S8" s="152">
        <f>'Data Base and Calculations'!AA2</f>
        <v>126.9978148216908</v>
      </c>
      <c r="T8" s="152">
        <f>'Data Base and Calculations'!AB2</f>
        <v>121.70623920412035</v>
      </c>
      <c r="U8" s="152">
        <f>'Data Base and Calculations'!AC2</f>
        <v>116.41466358654989</v>
      </c>
      <c r="V8" s="167">
        <f>SUM(B8:U8)</f>
        <v>3092.9259484699282</v>
      </c>
      <c r="W8" s="121">
        <f>AVERAGE(B8:U8)</f>
        <v>154.64629742349641</v>
      </c>
    </row>
    <row r="9" spans="1:23" ht="13.5" thickBot="1" x14ac:dyDescent="0.25">
      <c r="A9" s="358"/>
      <c r="B9" s="355"/>
      <c r="C9" s="356"/>
      <c r="D9" s="356"/>
      <c r="E9" s="356"/>
      <c r="F9" s="356"/>
      <c r="G9" s="356"/>
      <c r="H9" s="356"/>
      <c r="I9" s="356"/>
      <c r="J9" s="356"/>
      <c r="K9" s="356"/>
      <c r="L9" s="356"/>
      <c r="M9" s="356"/>
      <c r="N9" s="356"/>
      <c r="O9" s="356"/>
      <c r="P9" s="356"/>
      <c r="Q9" s="356"/>
      <c r="R9" s="356"/>
      <c r="S9" s="356"/>
      <c r="T9" s="356"/>
      <c r="U9" s="356"/>
      <c r="V9" s="356"/>
      <c r="W9" s="357"/>
    </row>
    <row r="10" spans="1:23" ht="25.5" customHeight="1" thickBot="1" x14ac:dyDescent="0.25">
      <c r="A10" s="359"/>
      <c r="B10" s="337" t="s">
        <v>161</v>
      </c>
      <c r="C10" s="338"/>
      <c r="D10" s="338"/>
      <c r="E10" s="338"/>
      <c r="F10" s="338"/>
      <c r="G10" s="338"/>
      <c r="H10" s="338"/>
      <c r="I10" s="338"/>
      <c r="J10" s="338"/>
      <c r="K10" s="338"/>
      <c r="L10" s="338"/>
      <c r="M10" s="338"/>
      <c r="N10" s="338"/>
      <c r="O10" s="338"/>
      <c r="P10" s="338"/>
      <c r="Q10" s="338"/>
      <c r="R10" s="338"/>
      <c r="S10" s="338"/>
      <c r="T10" s="338"/>
      <c r="U10" s="354"/>
      <c r="V10" s="361" t="s">
        <v>221</v>
      </c>
      <c r="W10" s="331" t="s">
        <v>258</v>
      </c>
    </row>
    <row r="11" spans="1:23" ht="13.5" thickBot="1" x14ac:dyDescent="0.25">
      <c r="A11" s="360"/>
      <c r="B11" s="101">
        <v>2010</v>
      </c>
      <c r="C11" s="102">
        <v>2011</v>
      </c>
      <c r="D11" s="102">
        <v>2012</v>
      </c>
      <c r="E11" s="102">
        <v>2013</v>
      </c>
      <c r="F11" s="103">
        <v>2014</v>
      </c>
      <c r="G11" s="102">
        <v>2015</v>
      </c>
      <c r="H11" s="103">
        <v>2016</v>
      </c>
      <c r="I11" s="102">
        <v>2017</v>
      </c>
      <c r="J11" s="103">
        <v>2018</v>
      </c>
      <c r="K11" s="106">
        <v>2019</v>
      </c>
      <c r="L11" s="103">
        <v>2020</v>
      </c>
      <c r="M11" s="106">
        <v>2021</v>
      </c>
      <c r="N11" s="103">
        <v>2022</v>
      </c>
      <c r="O11" s="106">
        <v>2023</v>
      </c>
      <c r="P11" s="106">
        <v>2024</v>
      </c>
      <c r="Q11" s="106">
        <v>2025</v>
      </c>
      <c r="R11" s="106">
        <v>2026</v>
      </c>
      <c r="S11" s="106">
        <v>2027</v>
      </c>
      <c r="T11" s="106">
        <v>2028</v>
      </c>
      <c r="U11" s="106">
        <v>2029</v>
      </c>
      <c r="V11" s="362"/>
      <c r="W11" s="332"/>
    </row>
    <row r="12" spans="1:23" ht="13.5" customHeight="1" thickBot="1" x14ac:dyDescent="0.25">
      <c r="A12" s="100" t="s">
        <v>167</v>
      </c>
      <c r="B12" s="104">
        <f t="shared" ref="B12:U12" si="0">B8*8760</f>
        <v>927084.04819834291</v>
      </c>
      <c r="C12" s="105">
        <f t="shared" si="0"/>
        <v>1019792.4530181771</v>
      </c>
      <c r="D12" s="105">
        <f t="shared" si="0"/>
        <v>1112500.8578380113</v>
      </c>
      <c r="E12" s="105">
        <f t="shared" si="0"/>
        <v>1205209.2626578456</v>
      </c>
      <c r="F12" s="105">
        <f t="shared" si="0"/>
        <v>1297917.6674776799</v>
      </c>
      <c r="G12" s="105">
        <f t="shared" si="0"/>
        <v>1344271.8698875972</v>
      </c>
      <c r="H12" s="105">
        <f t="shared" si="0"/>
        <v>1483334.4771173485</v>
      </c>
      <c r="I12" s="105">
        <f t="shared" si="0"/>
        <v>1576042.8819371827</v>
      </c>
      <c r="J12" s="105">
        <f t="shared" si="0"/>
        <v>1622397.0843471</v>
      </c>
      <c r="K12" s="131">
        <f t="shared" si="0"/>
        <v>1668751.286757017</v>
      </c>
      <c r="L12" s="131">
        <f t="shared" si="0"/>
        <v>1691928.3879619758</v>
      </c>
      <c r="M12" s="131">
        <f t="shared" si="0"/>
        <v>1691928.3879619758</v>
      </c>
      <c r="N12" s="131">
        <f t="shared" si="0"/>
        <v>1691928.3879619758</v>
      </c>
      <c r="O12" s="131">
        <f t="shared" si="0"/>
        <v>1668751.286757017</v>
      </c>
      <c r="P12" s="131">
        <f t="shared" si="0"/>
        <v>1436980.2747074312</v>
      </c>
      <c r="Q12" s="131">
        <f t="shared" si="0"/>
        <v>1297917.6674776799</v>
      </c>
      <c r="R12" s="131">
        <f t="shared" si="0"/>
        <v>1158855.0602479284</v>
      </c>
      <c r="S12" s="131">
        <f t="shared" si="0"/>
        <v>1112500.8578380113</v>
      </c>
      <c r="T12" s="131">
        <f t="shared" si="0"/>
        <v>1066146.6554280943</v>
      </c>
      <c r="U12" s="131">
        <f t="shared" si="0"/>
        <v>1019792.4530181771</v>
      </c>
      <c r="V12" s="167">
        <f>SUM(B12:U12)</f>
        <v>27094031.30859657</v>
      </c>
      <c r="W12" s="121">
        <f>AVERAGE(B12:U12)</f>
        <v>1354701.5654298286</v>
      </c>
    </row>
    <row r="13" spans="1:23" ht="13.5" thickBot="1" x14ac:dyDescent="0.25">
      <c r="A13" s="355"/>
      <c r="B13" s="356"/>
      <c r="C13" s="356"/>
      <c r="D13" s="356"/>
      <c r="E13" s="356"/>
      <c r="F13" s="356"/>
      <c r="G13" s="356"/>
      <c r="H13" s="356"/>
      <c r="I13" s="356"/>
      <c r="J13" s="356"/>
      <c r="K13" s="356"/>
      <c r="L13" s="356"/>
      <c r="M13" s="356"/>
      <c r="N13" s="356"/>
      <c r="O13" s="356"/>
      <c r="P13" s="356"/>
      <c r="Q13" s="356"/>
      <c r="R13" s="356"/>
      <c r="S13" s="356"/>
      <c r="T13" s="356"/>
      <c r="U13" s="356"/>
      <c r="V13" s="356"/>
      <c r="W13" s="357"/>
    </row>
    <row r="14" spans="1:23" ht="16.5" thickBot="1" x14ac:dyDescent="0.3">
      <c r="A14" s="333" t="s">
        <v>169</v>
      </c>
      <c r="B14" s="334"/>
      <c r="C14" s="334"/>
      <c r="D14" s="334"/>
      <c r="E14" s="334"/>
      <c r="F14" s="334"/>
      <c r="G14" s="334"/>
      <c r="H14" s="334"/>
      <c r="I14" s="334"/>
      <c r="J14" s="334"/>
      <c r="K14" s="334"/>
      <c r="L14" s="334"/>
      <c r="M14" s="334"/>
      <c r="N14" s="334"/>
      <c r="O14" s="334"/>
      <c r="P14" s="334"/>
      <c r="Q14" s="334"/>
      <c r="R14" s="334"/>
      <c r="S14" s="334"/>
      <c r="T14" s="334"/>
      <c r="U14" s="334"/>
      <c r="V14" s="335"/>
      <c r="W14" s="336"/>
    </row>
    <row r="15" spans="1:23" ht="42.75" customHeight="1" thickBot="1" x14ac:dyDescent="0.25">
      <c r="A15" s="66"/>
      <c r="B15" s="337" t="s">
        <v>160</v>
      </c>
      <c r="C15" s="338"/>
      <c r="D15" s="338"/>
      <c r="E15" s="338"/>
      <c r="F15" s="338"/>
      <c r="G15" s="338"/>
      <c r="H15" s="338"/>
      <c r="I15" s="338"/>
      <c r="J15" s="338"/>
      <c r="K15" s="338"/>
      <c r="L15" s="338"/>
      <c r="M15" s="338"/>
      <c r="N15" s="338"/>
      <c r="O15" s="338"/>
      <c r="P15" s="338"/>
      <c r="Q15" s="338"/>
      <c r="R15" s="338"/>
      <c r="S15" s="338"/>
      <c r="T15" s="338"/>
      <c r="U15" s="338"/>
      <c r="V15" s="331" t="s">
        <v>257</v>
      </c>
      <c r="W15" s="331" t="s">
        <v>258</v>
      </c>
    </row>
    <row r="16" spans="1:23" ht="13.5" thickBot="1" x14ac:dyDescent="0.25">
      <c r="A16" s="47" t="s">
        <v>0</v>
      </c>
      <c r="B16" s="76">
        <v>2010</v>
      </c>
      <c r="C16" s="77">
        <v>2011</v>
      </c>
      <c r="D16" s="77">
        <v>2012</v>
      </c>
      <c r="E16" s="77">
        <v>2013</v>
      </c>
      <c r="F16" s="78">
        <v>2014</v>
      </c>
      <c r="G16" s="77">
        <v>2015</v>
      </c>
      <c r="H16" s="78">
        <v>2016</v>
      </c>
      <c r="I16" s="77">
        <v>2017</v>
      </c>
      <c r="J16" s="78">
        <v>2018</v>
      </c>
      <c r="K16" s="77">
        <v>2019</v>
      </c>
      <c r="L16" s="78">
        <v>2020</v>
      </c>
      <c r="M16" s="77">
        <v>2021</v>
      </c>
      <c r="N16" s="78">
        <v>2022</v>
      </c>
      <c r="O16" s="128">
        <v>2023</v>
      </c>
      <c r="P16" s="78">
        <v>2024</v>
      </c>
      <c r="Q16" s="128">
        <v>2025</v>
      </c>
      <c r="R16" s="78">
        <v>2026</v>
      </c>
      <c r="S16" s="128">
        <v>2027</v>
      </c>
      <c r="T16" s="78">
        <v>2028</v>
      </c>
      <c r="U16" s="128">
        <v>2029</v>
      </c>
      <c r="V16" s="332"/>
      <c r="W16" s="332"/>
    </row>
    <row r="17" spans="1:23" x14ac:dyDescent="0.2">
      <c r="A17" s="48" t="s">
        <v>163</v>
      </c>
      <c r="B17" s="155">
        <f>'Data Base and Calculations'!J5</f>
        <v>61.456487354442643</v>
      </c>
      <c r="C17" s="156">
        <f>'Data Base and Calculations'!K5</f>
        <v>64.887825827158295</v>
      </c>
      <c r="D17" s="156">
        <f>'Data Base and Calculations'!L5</f>
        <v>69.032344379923074</v>
      </c>
      <c r="E17" s="156">
        <f>'Data Base and Calculations'!M5</f>
        <v>73.797818193392757</v>
      </c>
      <c r="F17" s="156">
        <f>'Data Base and Calculations'!N5</f>
        <v>79.763025437546503</v>
      </c>
      <c r="G17" s="156">
        <f>'Data Base and Calculations'!O5</f>
        <v>67.873618989434263</v>
      </c>
      <c r="H17" s="156">
        <f>'Data Base and Calculations'!P5</f>
        <v>79.998232297821815</v>
      </c>
      <c r="I17" s="156">
        <f>'Data Base and Calculations'!Q5</f>
        <v>88.555855583358095</v>
      </c>
      <c r="J17" s="156">
        <f>'Data Base and Calculations'!R5</f>
        <v>98.834243722827324</v>
      </c>
      <c r="K17" s="156">
        <f>'Data Base and Calculations'!S5</f>
        <v>103.30159090188552</v>
      </c>
      <c r="L17" s="156">
        <f>'Data Base and Calculations'!T5</f>
        <v>110.97057975484054</v>
      </c>
      <c r="M17" s="156">
        <f>'Data Base and Calculations'!U5</f>
        <v>112.87729695995741</v>
      </c>
      <c r="N17" s="156">
        <f>'Data Base and Calculations'!V5</f>
        <v>120.57265146201982</v>
      </c>
      <c r="O17" s="244">
        <f>'Data Base and Calculations'!W5</f>
        <v>120.64714342801341</v>
      </c>
      <c r="P17" s="244">
        <f>'Data Base and Calculations'!X5</f>
        <v>108.6100754573562</v>
      </c>
      <c r="Q17" s="244">
        <f>'Data Base and Calculations'!Y5</f>
        <v>85.746679351018116</v>
      </c>
      <c r="R17" s="244">
        <f>'Data Base and Calculations'!Z5</f>
        <v>83.26313865516218</v>
      </c>
      <c r="S17" s="244">
        <f>'Data Base and Calculations'!AA5</f>
        <v>86.161490927758464</v>
      </c>
      <c r="T17" s="244">
        <f>'Data Base and Calculations'!AB5</f>
        <v>87.018261898564461</v>
      </c>
      <c r="U17" s="244">
        <f>'Data Base and Calculations'!AC5</f>
        <v>87.044244563590681</v>
      </c>
      <c r="V17" s="129">
        <f>SUM(B17:U17)</f>
        <v>1790.4126051460719</v>
      </c>
      <c r="W17" s="250">
        <f>AVERAGE(B17:U17)</f>
        <v>89.520630257303594</v>
      </c>
    </row>
    <row r="18" spans="1:23" ht="12.75" customHeight="1" x14ac:dyDescent="0.2">
      <c r="A18" s="48" t="s">
        <v>2</v>
      </c>
      <c r="B18" s="157">
        <f>'Data Base and Calculations'!J6</f>
        <v>23.410518493976546</v>
      </c>
      <c r="C18" s="158">
        <f>'Data Base and Calculations'!K6</f>
        <v>27.736356219037429</v>
      </c>
      <c r="D18" s="158">
        <f>'Data Base and Calculations'!L6</f>
        <v>31.630809639747834</v>
      </c>
      <c r="E18" s="158">
        <f>'Data Base and Calculations'!M6</f>
        <v>35.279913126856421</v>
      </c>
      <c r="F18" s="158">
        <f>'Data Base and Calculations'!N6</f>
        <v>38.039880650252442</v>
      </c>
      <c r="G18" s="158">
        <f>'Data Base and Calculations'!O6</f>
        <v>43.015002795993368</v>
      </c>
      <c r="H18" s="158">
        <f>'Data Base and Calculations'!P6</f>
        <v>46.075618723455172</v>
      </c>
      <c r="I18" s="158">
        <f>'Data Base and Calculations'!Q6</f>
        <v>47.96441014472385</v>
      </c>
      <c r="J18" s="158">
        <f>'Data Base and Calculations'!R6</f>
        <v>42.752046055193105</v>
      </c>
      <c r="K18" s="158">
        <f>'Data Base and Calculations'!S6</f>
        <v>43.394367772731194</v>
      </c>
      <c r="L18" s="158">
        <f>'Data Base and Calculations'!T6</f>
        <v>45.635241037446669</v>
      </c>
      <c r="M18" s="158">
        <f>'Data Base and Calculations'!U6</f>
        <v>43.254771578688285</v>
      </c>
      <c r="N18" s="158">
        <f>'Data Base and Calculations'!V6</f>
        <v>45.082666799923146</v>
      </c>
      <c r="O18" s="245">
        <f>'Data Base and Calculations'!W6</f>
        <v>42.46925855422036</v>
      </c>
      <c r="P18" s="245">
        <f>'Data Base and Calculations'!X6</f>
        <v>36.285462385385109</v>
      </c>
      <c r="Q18" s="245">
        <f>'Data Base and Calculations'!Y6</f>
        <v>37.746941556849087</v>
      </c>
      <c r="R18" s="245">
        <f>'Data Base and Calculations'!Z6</f>
        <v>32.328765841949235</v>
      </c>
      <c r="S18" s="245">
        <f>'Data Base and Calculations'!AA6</f>
        <v>28.388136558585067</v>
      </c>
      <c r="T18" s="245">
        <f>'Data Base and Calculations'!AB6</f>
        <v>24.923981112663149</v>
      </c>
      <c r="U18" s="245">
        <f>'Data Base and Calculations'!AC6</f>
        <v>20.594585549958271</v>
      </c>
      <c r="V18" s="248">
        <f>SUM(B18:U18)</f>
        <v>736.00873459763579</v>
      </c>
      <c r="W18" s="250">
        <f t="shared" ref="W18:W21" si="1">AVERAGE(B18:U18)</f>
        <v>36.800436729881788</v>
      </c>
    </row>
    <row r="19" spans="1:23" x14ac:dyDescent="0.2">
      <c r="A19" s="48" t="s">
        <v>237</v>
      </c>
      <c r="B19" s="157">
        <f>'Data Base and Calculations'!J7</f>
        <v>19.032580948384773</v>
      </c>
      <c r="C19" s="158">
        <f>'Data Base and Calculations'!K7</f>
        <v>19.919331443060418</v>
      </c>
      <c r="D19" s="158">
        <f>'Data Base and Calculations'!L7</f>
        <v>20.733342583762411</v>
      </c>
      <c r="E19" s="158">
        <f>'Data Base and Calculations'!M7</f>
        <v>21.403704699634634</v>
      </c>
      <c r="F19" s="158">
        <f>'Data Base and Calculations'!N7</f>
        <v>21.978300798953683</v>
      </c>
      <c r="G19" s="158">
        <f>'Data Base and Calculations'!O7</f>
        <v>29.543816106654514</v>
      </c>
      <c r="H19" s="158">
        <f>'Data Base and Calculations'!P7</f>
        <v>29.783231148037455</v>
      </c>
      <c r="I19" s="158">
        <f>'Data Base and Calculations'!Q7</f>
        <v>29.591699114931103</v>
      </c>
      <c r="J19" s="158">
        <f>'Data Base and Calculations'!R7</f>
        <v>29.304401065271581</v>
      </c>
      <c r="K19" s="158">
        <f>'Data Base and Calculations'!S7</f>
        <v>29.064986023888643</v>
      </c>
      <c r="L19" s="158">
        <f>'Data Base and Calculations'!T7</f>
        <v>19.34473534374137</v>
      </c>
      <c r="M19" s="158">
        <f>'Data Base and Calculations'!U7</f>
        <v>19.536267376847718</v>
      </c>
      <c r="N19" s="158">
        <f>'Data Base and Calculations'!V7</f>
        <v>18.195543145103269</v>
      </c>
      <c r="O19" s="245">
        <f>'Data Base and Calculations'!W7</f>
        <v>18.051894120273506</v>
      </c>
      <c r="P19" s="245">
        <f>'Data Base and Calculations'!X7</f>
        <v>13.119944267784987</v>
      </c>
      <c r="Q19" s="245">
        <f>'Data Base and Calculations'!Y7</f>
        <v>15.945041756103652</v>
      </c>
      <c r="R19" s="245">
        <f>'Data Base and Calculations'!Z7</f>
        <v>11.300389953274662</v>
      </c>
      <c r="S19" s="245">
        <f>'Data Base and Calculations'!AA7</f>
        <v>8.8583565311686954</v>
      </c>
      <c r="T19" s="245">
        <f>'Data Base and Calculations'!AB7</f>
        <v>7.2782172580413071</v>
      </c>
      <c r="U19" s="245">
        <f>'Data Base and Calculations'!AC7</f>
        <v>6.6078551421690817</v>
      </c>
      <c r="V19" s="248">
        <f>SUM(B19:U19)</f>
        <v>388.59363882708743</v>
      </c>
      <c r="W19" s="250">
        <f t="shared" si="1"/>
        <v>19.429681941354371</v>
      </c>
    </row>
    <row r="20" spans="1:23" x14ac:dyDescent="0.2">
      <c r="A20" s="48" t="s">
        <v>215</v>
      </c>
      <c r="B20" s="157">
        <f>'Data Base and Calculations'!J8</f>
        <v>2.4697005684349045</v>
      </c>
      <c r="C20" s="157">
        <f>'Data Base and Calculations'!K8</f>
        <v>4.6452563176209747</v>
      </c>
      <c r="D20" s="157">
        <f>'Data Base and Calculations'!L8</f>
        <v>6.6126589933192701</v>
      </c>
      <c r="E20" s="157">
        <f>'Data Base and Calculations'!M8</f>
        <v>8.3614613717177555</v>
      </c>
      <c r="F20" s="157">
        <f>'Data Base and Calculations'!N8</f>
        <v>9.8916634528164291</v>
      </c>
      <c r="G20" s="157">
        <f>'Data Base and Calculations'!O8</f>
        <v>13.771818729888066</v>
      </c>
      <c r="H20" s="157">
        <f>'Data Base and Calculations'!P8</f>
        <v>14.64621991908731</v>
      </c>
      <c r="I20" s="157">
        <f>'Data Base and Calculations'!Q8</f>
        <v>15.302020810986741</v>
      </c>
      <c r="J20" s="157">
        <f>'Data Base and Calculations'!R8</f>
        <v>15.903171628561221</v>
      </c>
      <c r="K20" s="157">
        <f>'Data Base and Calculations'!S8</f>
        <v>16.504322446135699</v>
      </c>
      <c r="L20" s="157">
        <f>'Data Base and Calculations'!T8</f>
        <v>20.384477723207336</v>
      </c>
      <c r="M20" s="157">
        <f>'Data Base and Calculations'!U8</f>
        <v>20.603078020507148</v>
      </c>
      <c r="N20" s="157">
        <f>'Data Base and Calculations'!V8</f>
        <v>12.569517094739108</v>
      </c>
      <c r="O20" s="246">
        <f>'Data Base and Calculations'!W8</f>
        <v>12.514867020414155</v>
      </c>
      <c r="P20" s="246">
        <f>'Data Base and Calculations'!X8</f>
        <v>9.0719123379421394</v>
      </c>
      <c r="Q20" s="246">
        <f>'Data Base and Calculations'!Y8</f>
        <v>11.039315013640435</v>
      </c>
      <c r="R20" s="246">
        <f>'Data Base and Calculations'!Z8</f>
        <v>7.8149606284682287</v>
      </c>
      <c r="S20" s="246">
        <f>'Data Base and Calculations'!AA8</f>
        <v>6.1208083243946962</v>
      </c>
      <c r="T20" s="246">
        <f>'Data Base and Calculations'!AB8</f>
        <v>5.0278068378956435</v>
      </c>
      <c r="U20" s="246">
        <f>'Data Base and Calculations'!AC8</f>
        <v>4.5906062432960226</v>
      </c>
      <c r="V20" s="248">
        <f>SUM(B20:U20)</f>
        <v>217.84564348307327</v>
      </c>
      <c r="W20" s="250">
        <f t="shared" si="1"/>
        <v>10.892282174153664</v>
      </c>
    </row>
    <row r="21" spans="1:23" ht="13.5" thickBot="1" x14ac:dyDescent="0.25">
      <c r="A21" s="44" t="s">
        <v>167</v>
      </c>
      <c r="B21" s="164">
        <f>'Data Base and Calculations'!J9</f>
        <v>106.36928736523886</v>
      </c>
      <c r="C21" s="165">
        <f>'Data Base and Calculations'!K9</f>
        <v>117.18876980687712</v>
      </c>
      <c r="D21" s="165">
        <f>'Data Base and Calculations'!L9</f>
        <v>128.00915559675258</v>
      </c>
      <c r="E21" s="165">
        <f>'Data Base and Calculations'!M9</f>
        <v>138.84289739160155</v>
      </c>
      <c r="F21" s="165">
        <f>'Data Base and Calculations'!N9</f>
        <v>149.67287033956904</v>
      </c>
      <c r="G21" s="165">
        <f>'Data Base and Calculations'!O9</f>
        <v>154.20425662197019</v>
      </c>
      <c r="H21" s="165">
        <f>'Data Base and Calculations'!P9</f>
        <v>170.50330208840177</v>
      </c>
      <c r="I21" s="165">
        <f>'Data Base and Calculations'!Q9</f>
        <v>181.41398565399976</v>
      </c>
      <c r="J21" s="165">
        <f>'Data Base and Calculations'!R9</f>
        <v>186.79386247185323</v>
      </c>
      <c r="K21" s="165">
        <f>'Data Base and Calculations'!S9</f>
        <v>192.26526714464106</v>
      </c>
      <c r="L21" s="165">
        <f>'Data Base and Calculations'!T9</f>
        <v>196.33503385923592</v>
      </c>
      <c r="M21" s="165">
        <f>'Data Base and Calculations'!U9</f>
        <v>196.27141393600056</v>
      </c>
      <c r="N21" s="165">
        <f>'Data Base and Calculations'!V9</f>
        <v>196.42037850178534</v>
      </c>
      <c r="O21" s="247">
        <f>'Data Base and Calculations'!W9</f>
        <v>193.68316312292143</v>
      </c>
      <c r="P21" s="247">
        <f>'Data Base and Calculations'!X9</f>
        <v>167.08739444846844</v>
      </c>
      <c r="Q21" s="247">
        <f>'Data Base and Calculations'!Y9</f>
        <v>150.47797767761131</v>
      </c>
      <c r="R21" s="247">
        <f>'Data Base and Calculations'!Z9</f>
        <v>134.7072550788543</v>
      </c>
      <c r="S21" s="247">
        <f>'Data Base and Calculations'!AA9</f>
        <v>129.52879234190692</v>
      </c>
      <c r="T21" s="247">
        <f>'Data Base and Calculations'!AB9</f>
        <v>124.24826710716457</v>
      </c>
      <c r="U21" s="247">
        <f>'Data Base and Calculations'!AC9</f>
        <v>118.83729149901406</v>
      </c>
      <c r="V21" s="249">
        <f>SUM(B21:U21)</f>
        <v>3132.8606220538686</v>
      </c>
      <c r="W21" s="250">
        <f t="shared" si="1"/>
        <v>156.64303110269344</v>
      </c>
    </row>
    <row r="22" spans="1:23" ht="13.5" thickBot="1" x14ac:dyDescent="0.25">
      <c r="A22" s="359"/>
      <c r="B22" s="355"/>
      <c r="C22" s="356"/>
      <c r="D22" s="356"/>
      <c r="E22" s="356"/>
      <c r="F22" s="356"/>
      <c r="G22" s="356"/>
      <c r="H22" s="356"/>
      <c r="I22" s="356"/>
      <c r="J22" s="356"/>
      <c r="K22" s="356"/>
      <c r="L22" s="356"/>
      <c r="M22" s="356"/>
      <c r="N22" s="356"/>
      <c r="O22" s="356"/>
      <c r="P22" s="356"/>
      <c r="Q22" s="356"/>
      <c r="R22" s="356"/>
      <c r="S22" s="356"/>
      <c r="T22" s="356"/>
      <c r="U22" s="356"/>
      <c r="V22" s="363"/>
      <c r="W22" s="364"/>
    </row>
    <row r="23" spans="1:23" ht="37.5" customHeight="1" thickBot="1" x14ac:dyDescent="0.25">
      <c r="A23" s="359"/>
      <c r="B23" s="337" t="s">
        <v>161</v>
      </c>
      <c r="C23" s="338"/>
      <c r="D23" s="338"/>
      <c r="E23" s="338"/>
      <c r="F23" s="338"/>
      <c r="G23" s="338"/>
      <c r="H23" s="338"/>
      <c r="I23" s="338"/>
      <c r="J23" s="338"/>
      <c r="K23" s="338"/>
      <c r="L23" s="338"/>
      <c r="M23" s="338"/>
      <c r="N23" s="338"/>
      <c r="O23" s="338"/>
      <c r="P23" s="338"/>
      <c r="Q23" s="338"/>
      <c r="R23" s="338"/>
      <c r="S23" s="338"/>
      <c r="T23" s="338"/>
      <c r="U23" s="354"/>
      <c r="V23" s="331" t="s">
        <v>257</v>
      </c>
      <c r="W23" s="331" t="s">
        <v>258</v>
      </c>
    </row>
    <row r="24" spans="1:23" ht="13.5" thickBot="1" x14ac:dyDescent="0.25">
      <c r="A24" s="112" t="s">
        <v>0</v>
      </c>
      <c r="B24" s="76">
        <v>2010</v>
      </c>
      <c r="C24" s="77">
        <v>2011</v>
      </c>
      <c r="D24" s="77">
        <v>2012</v>
      </c>
      <c r="E24" s="77">
        <v>2013</v>
      </c>
      <c r="F24" s="78">
        <v>2014</v>
      </c>
      <c r="G24" s="77">
        <v>2015</v>
      </c>
      <c r="H24" s="78">
        <v>2016</v>
      </c>
      <c r="I24" s="77">
        <v>2017</v>
      </c>
      <c r="J24" s="78">
        <v>2018</v>
      </c>
      <c r="K24" s="77">
        <v>2019</v>
      </c>
      <c r="L24" s="78">
        <v>2020</v>
      </c>
      <c r="M24" s="77">
        <v>2021</v>
      </c>
      <c r="N24" s="78">
        <v>2022</v>
      </c>
      <c r="O24" s="128">
        <v>2023</v>
      </c>
      <c r="P24" s="78">
        <v>2024</v>
      </c>
      <c r="Q24" s="128">
        <v>2025</v>
      </c>
      <c r="R24" s="78">
        <v>2026</v>
      </c>
      <c r="S24" s="128">
        <v>2027</v>
      </c>
      <c r="T24" s="78">
        <v>2028</v>
      </c>
      <c r="U24" s="128">
        <v>2029</v>
      </c>
      <c r="V24" s="332"/>
      <c r="W24" s="332"/>
    </row>
    <row r="25" spans="1:23" x14ac:dyDescent="0.2">
      <c r="A25" s="111" t="s">
        <v>163</v>
      </c>
      <c r="B25" s="63">
        <f t="shared" ref="B25:G25" si="2">B17*8760</f>
        <v>538358.82922491757</v>
      </c>
      <c r="C25" s="109">
        <f t="shared" si="2"/>
        <v>568417.3542459067</v>
      </c>
      <c r="D25" s="109">
        <f t="shared" si="2"/>
        <v>604723.33676812612</v>
      </c>
      <c r="E25" s="109">
        <f t="shared" si="2"/>
        <v>646468.88737412053</v>
      </c>
      <c r="F25" s="109">
        <f t="shared" si="2"/>
        <v>698724.10283290735</v>
      </c>
      <c r="G25" s="109">
        <f t="shared" si="2"/>
        <v>594572.90234744409</v>
      </c>
      <c r="H25" s="109">
        <f t="shared" ref="H25:O27" si="3">H17*8760</f>
        <v>700784.51492891915</v>
      </c>
      <c r="I25" s="109">
        <f t="shared" si="3"/>
        <v>775749.29491021694</v>
      </c>
      <c r="J25" s="109">
        <f t="shared" si="3"/>
        <v>865787.97501196736</v>
      </c>
      <c r="K25" s="124">
        <f t="shared" si="3"/>
        <v>904921.93630051718</v>
      </c>
      <c r="L25" s="124">
        <f t="shared" si="3"/>
        <v>972102.27865240315</v>
      </c>
      <c r="M25" s="124">
        <f t="shared" si="3"/>
        <v>988805.12136922684</v>
      </c>
      <c r="N25" s="124">
        <f t="shared" si="3"/>
        <v>1056216.4268072937</v>
      </c>
      <c r="O25" s="124">
        <f t="shared" si="3"/>
        <v>1056868.9764293975</v>
      </c>
      <c r="P25" s="124">
        <f t="shared" ref="P25:U25" si="4">P17*8760</f>
        <v>951424.26100644039</v>
      </c>
      <c r="Q25" s="124">
        <f t="shared" si="4"/>
        <v>751140.91111491865</v>
      </c>
      <c r="R25" s="124">
        <f t="shared" si="4"/>
        <v>729385.0946192207</v>
      </c>
      <c r="S25" s="124">
        <f t="shared" si="4"/>
        <v>754774.66052716412</v>
      </c>
      <c r="T25" s="124">
        <f t="shared" si="4"/>
        <v>762279.97423142463</v>
      </c>
      <c r="U25" s="124">
        <f t="shared" si="4"/>
        <v>762507.58237705438</v>
      </c>
      <c r="V25" s="252">
        <f>SUM(B25:O25)</f>
        <v>10972501.937203363</v>
      </c>
      <c r="W25" s="272">
        <f>AVERAGE(B25:U25)</f>
        <v>784200.72105397913</v>
      </c>
    </row>
    <row r="26" spans="1:23" x14ac:dyDescent="0.2">
      <c r="A26" s="108" t="s">
        <v>2</v>
      </c>
      <c r="B26" s="64">
        <f t="shared" ref="B26:G27" si="5">B18*8760</f>
        <v>205076.14200723454</v>
      </c>
      <c r="C26" s="51">
        <f t="shared" si="5"/>
        <v>242970.48047876789</v>
      </c>
      <c r="D26" s="51">
        <f t="shared" si="5"/>
        <v>277085.89244419103</v>
      </c>
      <c r="E26" s="51">
        <f t="shared" si="5"/>
        <v>309052.03899126226</v>
      </c>
      <c r="F26" s="51">
        <f t="shared" si="5"/>
        <v>333229.3544962114</v>
      </c>
      <c r="G26" s="51">
        <f t="shared" si="5"/>
        <v>376811.42449290189</v>
      </c>
      <c r="H26" s="51">
        <f t="shared" si="3"/>
        <v>403622.42001746729</v>
      </c>
      <c r="I26" s="51">
        <f t="shared" si="3"/>
        <v>420168.2328677809</v>
      </c>
      <c r="J26" s="51">
        <f t="shared" si="3"/>
        <v>374507.92344349163</v>
      </c>
      <c r="K26" s="125">
        <f t="shared" si="3"/>
        <v>380134.66168912523</v>
      </c>
      <c r="L26" s="125">
        <f t="shared" si="3"/>
        <v>399764.71148803283</v>
      </c>
      <c r="M26" s="125">
        <f t="shared" si="3"/>
        <v>378911.79902930936</v>
      </c>
      <c r="N26" s="125">
        <f t="shared" si="3"/>
        <v>394924.16116732673</v>
      </c>
      <c r="O26" s="125">
        <f t="shared" si="3"/>
        <v>372030.70493497036</v>
      </c>
      <c r="P26" s="125">
        <f t="shared" ref="P26:U26" si="6">P18*8760</f>
        <v>317860.65049597353</v>
      </c>
      <c r="Q26" s="125">
        <f t="shared" si="6"/>
        <v>330663.208037998</v>
      </c>
      <c r="R26" s="125">
        <f t="shared" si="6"/>
        <v>283199.9887754753</v>
      </c>
      <c r="S26" s="125">
        <f t="shared" si="6"/>
        <v>248680.07625320519</v>
      </c>
      <c r="T26" s="125">
        <f t="shared" si="6"/>
        <v>218334.07454692919</v>
      </c>
      <c r="U26" s="125">
        <f t="shared" si="6"/>
        <v>180408.56941763446</v>
      </c>
      <c r="V26" s="253">
        <f>SUM(B26:O26)</f>
        <v>4868289.9475480728</v>
      </c>
      <c r="W26" s="272">
        <f t="shared" ref="W26:W29" si="7">AVERAGE(B26:U26)</f>
        <v>322371.82575376437</v>
      </c>
    </row>
    <row r="27" spans="1:23" x14ac:dyDescent="0.2">
      <c r="A27" s="108" t="s">
        <v>237</v>
      </c>
      <c r="B27" s="64">
        <f t="shared" si="5"/>
        <v>166725.4091078506</v>
      </c>
      <c r="C27" s="51">
        <f t="shared" si="5"/>
        <v>174493.34344120926</v>
      </c>
      <c r="D27" s="51">
        <f t="shared" si="5"/>
        <v>181624.08103375873</v>
      </c>
      <c r="E27" s="51">
        <f t="shared" si="5"/>
        <v>187496.4531687994</v>
      </c>
      <c r="F27" s="51">
        <f t="shared" si="5"/>
        <v>192529.91499883425</v>
      </c>
      <c r="G27" s="51">
        <f t="shared" si="5"/>
        <v>258803.82909429356</v>
      </c>
      <c r="H27" s="51">
        <f t="shared" si="3"/>
        <v>260901.10485680812</v>
      </c>
      <c r="I27" s="51">
        <f t="shared" si="3"/>
        <v>259223.28424679645</v>
      </c>
      <c r="J27" s="51">
        <f t="shared" si="3"/>
        <v>256706.55333177905</v>
      </c>
      <c r="K27" s="125">
        <f t="shared" si="3"/>
        <v>254609.27756926452</v>
      </c>
      <c r="L27" s="125">
        <f t="shared" si="3"/>
        <v>169459.88161117441</v>
      </c>
      <c r="M27" s="125">
        <f t="shared" si="3"/>
        <v>171137.70222118602</v>
      </c>
      <c r="N27" s="125">
        <f t="shared" si="3"/>
        <v>159392.95795110465</v>
      </c>
      <c r="O27" s="125">
        <f t="shared" si="3"/>
        <v>158134.5924935959</v>
      </c>
      <c r="P27" s="125">
        <f t="shared" ref="P27:U27" si="8">P19*8760</f>
        <v>114930.71178579649</v>
      </c>
      <c r="Q27" s="125">
        <f t="shared" si="8"/>
        <v>139678.56578346799</v>
      </c>
      <c r="R27" s="125">
        <f t="shared" si="8"/>
        <v>98991.415990686044</v>
      </c>
      <c r="S27" s="125">
        <f t="shared" si="8"/>
        <v>77599.203213037777</v>
      </c>
      <c r="T27" s="125">
        <f t="shared" si="8"/>
        <v>63757.183180441847</v>
      </c>
      <c r="U27" s="125">
        <f t="shared" si="8"/>
        <v>57884.811045401155</v>
      </c>
      <c r="V27" s="253">
        <f>SUM(B27:O27)</f>
        <v>2851238.3851264552</v>
      </c>
      <c r="W27" s="272">
        <f t="shared" si="7"/>
        <v>170204.01380626435</v>
      </c>
    </row>
    <row r="28" spans="1:23" x14ac:dyDescent="0.2">
      <c r="A28" s="48" t="s">
        <v>215</v>
      </c>
      <c r="B28" s="64">
        <f>B20*8760</f>
        <v>21634.576979489764</v>
      </c>
      <c r="C28" s="64">
        <f t="shared" ref="C28:O28" si="9">C20*8760</f>
        <v>40692.445342359737</v>
      </c>
      <c r="D28" s="64">
        <f t="shared" si="9"/>
        <v>57926.892781476803</v>
      </c>
      <c r="E28" s="64">
        <f t="shared" si="9"/>
        <v>73246.401616247531</v>
      </c>
      <c r="F28" s="64">
        <f t="shared" si="9"/>
        <v>86650.971846671921</v>
      </c>
      <c r="G28" s="64">
        <f t="shared" si="9"/>
        <v>120641.13207381946</v>
      </c>
      <c r="H28" s="64">
        <f t="shared" si="9"/>
        <v>128300.88649120483</v>
      </c>
      <c r="I28" s="64">
        <f t="shared" si="9"/>
        <v>134045.70230424387</v>
      </c>
      <c r="J28" s="64">
        <f t="shared" si="9"/>
        <v>139311.7834661963</v>
      </c>
      <c r="K28" s="64">
        <f t="shared" si="9"/>
        <v>144577.86462814873</v>
      </c>
      <c r="L28" s="64">
        <f t="shared" si="9"/>
        <v>178568.02485529627</v>
      </c>
      <c r="M28" s="64">
        <f t="shared" si="9"/>
        <v>180482.9634596426</v>
      </c>
      <c r="N28" s="64">
        <f t="shared" si="9"/>
        <v>110108.96974991458</v>
      </c>
      <c r="O28" s="64">
        <f t="shared" si="9"/>
        <v>109630.23509882799</v>
      </c>
      <c r="P28" s="64">
        <f t="shared" ref="P28:U28" si="10">P20*8760</f>
        <v>79469.952080373143</v>
      </c>
      <c r="Q28" s="64">
        <f t="shared" si="10"/>
        <v>96704.399519490209</v>
      </c>
      <c r="R28" s="64">
        <f t="shared" si="10"/>
        <v>68459.055105381689</v>
      </c>
      <c r="S28" s="64">
        <f t="shared" si="10"/>
        <v>53618.280921697537</v>
      </c>
      <c r="T28" s="64">
        <f t="shared" si="10"/>
        <v>44043.587899965838</v>
      </c>
      <c r="U28" s="251">
        <f t="shared" si="10"/>
        <v>40213.710691273162</v>
      </c>
      <c r="V28" s="253">
        <f>SUM(B28:O28)</f>
        <v>1525818.8506935404</v>
      </c>
      <c r="W28" s="272">
        <f t="shared" si="7"/>
        <v>95416.391845586113</v>
      </c>
    </row>
    <row r="29" spans="1:23" ht="13.5" thickBot="1" x14ac:dyDescent="0.25">
      <c r="A29" s="110" t="s">
        <v>167</v>
      </c>
      <c r="B29" s="126">
        <f>B21*8760</f>
        <v>931794.95731949247</v>
      </c>
      <c r="C29" s="68">
        <f t="shared" ref="C29:O29" si="11">C21*8760</f>
        <v>1026573.6235082436</v>
      </c>
      <c r="D29" s="68">
        <f t="shared" si="11"/>
        <v>1121360.2030275527</v>
      </c>
      <c r="E29" s="68">
        <f t="shared" si="11"/>
        <v>1216263.7811504295</v>
      </c>
      <c r="F29" s="68">
        <f t="shared" si="11"/>
        <v>1311134.3441746249</v>
      </c>
      <c r="G29" s="68">
        <f t="shared" si="11"/>
        <v>1350829.2880084589</v>
      </c>
      <c r="H29" s="68">
        <f t="shared" si="11"/>
        <v>1493608.9262943994</v>
      </c>
      <c r="I29" s="68">
        <f t="shared" si="11"/>
        <v>1589186.5143290379</v>
      </c>
      <c r="J29" s="68">
        <f t="shared" si="11"/>
        <v>1636314.2352534344</v>
      </c>
      <c r="K29" s="127">
        <f t="shared" si="11"/>
        <v>1684243.7401870557</v>
      </c>
      <c r="L29" s="127">
        <f t="shared" si="11"/>
        <v>1719894.8966069066</v>
      </c>
      <c r="M29" s="127">
        <f t="shared" si="11"/>
        <v>1719337.5860793649</v>
      </c>
      <c r="N29" s="127">
        <f t="shared" si="11"/>
        <v>1720642.5156756395</v>
      </c>
      <c r="O29" s="127">
        <f t="shared" si="11"/>
        <v>1696664.5089567916</v>
      </c>
      <c r="P29" s="127">
        <f t="shared" ref="P29:U29" si="12">P21*8760</f>
        <v>1463685.5753685837</v>
      </c>
      <c r="Q29" s="127">
        <f t="shared" si="12"/>
        <v>1318187.084455875</v>
      </c>
      <c r="R29" s="127">
        <f t="shared" si="12"/>
        <v>1180035.5544907637</v>
      </c>
      <c r="S29" s="127">
        <f t="shared" si="12"/>
        <v>1134672.2209151047</v>
      </c>
      <c r="T29" s="127">
        <f t="shared" si="12"/>
        <v>1088414.8198587615</v>
      </c>
      <c r="U29" s="127">
        <f t="shared" si="12"/>
        <v>1041014.6735313631</v>
      </c>
      <c r="V29" s="254">
        <f>SUM(B29:O29)</f>
        <v>20217849.120571431</v>
      </c>
      <c r="W29" s="272">
        <f t="shared" si="7"/>
        <v>1372192.952459594</v>
      </c>
    </row>
    <row r="30" spans="1:23" ht="13.5" thickBot="1" x14ac:dyDescent="0.25">
      <c r="A30" s="355"/>
      <c r="B30" s="356"/>
      <c r="C30" s="356"/>
      <c r="D30" s="356"/>
      <c r="E30" s="356"/>
      <c r="F30" s="356"/>
      <c r="G30" s="356"/>
      <c r="H30" s="356"/>
      <c r="I30" s="356"/>
      <c r="J30" s="356"/>
      <c r="K30" s="356"/>
      <c r="L30" s="356"/>
      <c r="M30" s="356"/>
      <c r="N30" s="356"/>
      <c r="O30" s="356"/>
      <c r="P30" s="356"/>
      <c r="Q30" s="356"/>
      <c r="R30" s="356"/>
      <c r="S30" s="356"/>
      <c r="T30" s="356"/>
      <c r="U30" s="356"/>
      <c r="V30" s="363"/>
      <c r="W30" s="364"/>
    </row>
    <row r="31" spans="1:23" ht="18.75" customHeight="1" thickBot="1" x14ac:dyDescent="0.3">
      <c r="A31" s="365" t="s">
        <v>177</v>
      </c>
      <c r="B31" s="366"/>
      <c r="C31" s="366"/>
      <c r="D31" s="366"/>
      <c r="E31" s="366"/>
      <c r="F31" s="366"/>
      <c r="G31" s="366"/>
      <c r="H31" s="366"/>
      <c r="I31" s="366"/>
      <c r="J31" s="366"/>
      <c r="K31" s="366"/>
      <c r="L31" s="366"/>
      <c r="M31" s="366"/>
      <c r="N31" s="366"/>
      <c r="O31" s="366"/>
      <c r="P31" s="366"/>
      <c r="Q31" s="366"/>
      <c r="R31" s="366"/>
      <c r="S31" s="366"/>
      <c r="T31" s="366"/>
      <c r="U31" s="366"/>
      <c r="V31" s="366"/>
      <c r="W31" s="367"/>
    </row>
    <row r="32" spans="1:23" ht="64.5" customHeight="1" thickBot="1" x14ac:dyDescent="0.25">
      <c r="A32" s="115" t="s">
        <v>170</v>
      </c>
      <c r="B32" s="116" t="s">
        <v>209</v>
      </c>
      <c r="C32" s="116" t="s">
        <v>178</v>
      </c>
      <c r="D32" s="368" t="s">
        <v>240</v>
      </c>
      <c r="E32" s="369"/>
      <c r="F32" s="369"/>
      <c r="G32" s="369"/>
      <c r="H32" s="370"/>
      <c r="I32" s="117" t="s">
        <v>180</v>
      </c>
    </row>
    <row r="33" spans="1:23" ht="13.5" thickBot="1" x14ac:dyDescent="0.25">
      <c r="A33" s="52" t="s">
        <v>163</v>
      </c>
      <c r="B33" s="70">
        <f>'Data Base and Calculations'!E2</f>
        <v>35045453</v>
      </c>
      <c r="C33" s="53">
        <f>'Data Base and Calculations'!C11</f>
        <v>0.54243930315895306</v>
      </c>
      <c r="D33" s="328" t="s">
        <v>181</v>
      </c>
      <c r="E33" s="329"/>
      <c r="F33" s="329"/>
      <c r="G33" s="329"/>
      <c r="H33" s="330"/>
      <c r="I33" s="65">
        <f>'Data Base and Calculations'!G2</f>
        <v>18952036</v>
      </c>
      <c r="K33"/>
    </row>
    <row r="34" spans="1:23" ht="13.5" thickBot="1" x14ac:dyDescent="0.25">
      <c r="A34" s="54" t="s">
        <v>2</v>
      </c>
      <c r="B34" s="69">
        <f>'Data Base and Calculations'!F2</f>
        <v>28041302</v>
      </c>
      <c r="C34" s="55">
        <f>'Data Base and Calculations'!D11</f>
        <v>0.55166295994085401</v>
      </c>
      <c r="D34" s="328" t="s">
        <v>179</v>
      </c>
      <c r="E34" s="329"/>
      <c r="F34" s="329"/>
      <c r="G34" s="329"/>
      <c r="H34" s="330"/>
      <c r="I34" s="65">
        <f>I33-I35</f>
        <v>18952036</v>
      </c>
      <c r="K34"/>
    </row>
    <row r="35" spans="1:23" ht="13.5" thickBot="1" x14ac:dyDescent="0.25">
      <c r="A35" s="54" t="s">
        <v>3</v>
      </c>
      <c r="B35" s="69">
        <f>I34</f>
        <v>18952036</v>
      </c>
      <c r="C35" s="55">
        <f>'Data Base and Calculations'!E11</f>
        <v>0.55929010610430541</v>
      </c>
      <c r="D35" s="328" t="s">
        <v>224</v>
      </c>
      <c r="E35" s="329"/>
      <c r="F35" s="329"/>
      <c r="G35" s="329"/>
      <c r="H35" s="330"/>
      <c r="I35" s="140"/>
      <c r="K35"/>
    </row>
    <row r="36" spans="1:23" x14ac:dyDescent="0.2">
      <c r="A36" s="56" t="s">
        <v>238</v>
      </c>
      <c r="B36" s="69">
        <f>I35</f>
        <v>0</v>
      </c>
      <c r="C36" s="55">
        <f>'Data Base and Calculations'!F11</f>
        <v>0</v>
      </c>
      <c r="D36" s="371"/>
      <c r="E36" s="371"/>
      <c r="F36" s="371"/>
      <c r="G36" s="371"/>
      <c r="H36" s="371"/>
      <c r="I36" s="372"/>
      <c r="K36"/>
    </row>
    <row r="37" spans="1:23" x14ac:dyDescent="0.2">
      <c r="A37" s="56" t="s">
        <v>215</v>
      </c>
      <c r="B37" s="204">
        <f>SUM(B33:B34)+B36</f>
        <v>63086755</v>
      </c>
      <c r="C37" s="55">
        <f>'Data Base and Calculations'!G11</f>
        <v>0.54650074324952647</v>
      </c>
      <c r="D37" s="373"/>
      <c r="E37" s="373"/>
      <c r="F37" s="373"/>
      <c r="G37" s="373"/>
      <c r="H37" s="373"/>
      <c r="I37" s="374"/>
      <c r="K37"/>
    </row>
    <row r="38" spans="1:23" ht="13.5" thickBot="1" x14ac:dyDescent="0.25">
      <c r="A38" s="57" t="s">
        <v>167</v>
      </c>
      <c r="B38" s="71">
        <f>SUM(B33:B36)</f>
        <v>82038791</v>
      </c>
      <c r="C38" s="58">
        <f>'Data Base and Calculations'!H11</f>
        <v>0.52911274387988694</v>
      </c>
      <c r="D38" s="373"/>
      <c r="E38" s="373"/>
      <c r="F38" s="373"/>
      <c r="G38" s="373"/>
      <c r="H38" s="373"/>
      <c r="I38" s="374"/>
      <c r="K38"/>
    </row>
    <row r="39" spans="1:23" ht="13.5" thickBot="1" x14ac:dyDescent="0.25">
      <c r="A39" s="72"/>
      <c r="B39" s="73"/>
      <c r="C39" s="73"/>
      <c r="D39" s="373"/>
      <c r="E39" s="373"/>
      <c r="F39" s="373"/>
      <c r="G39" s="373"/>
      <c r="H39" s="373"/>
      <c r="I39" s="374"/>
    </row>
    <row r="40" spans="1:23" ht="13.5" customHeight="1" thickBot="1" x14ac:dyDescent="0.25">
      <c r="A40" s="72"/>
      <c r="B40" s="325" t="s">
        <v>160</v>
      </c>
      <c r="C40" s="326"/>
      <c r="D40" s="326"/>
      <c r="E40" s="326"/>
      <c r="F40" s="326"/>
      <c r="G40" s="326"/>
      <c r="H40" s="326"/>
      <c r="I40" s="326"/>
      <c r="J40" s="326"/>
      <c r="K40" s="326"/>
      <c r="L40" s="326"/>
      <c r="M40" s="326"/>
      <c r="N40" s="326"/>
      <c r="O40" s="326"/>
      <c r="P40" s="326"/>
      <c r="Q40" s="326"/>
      <c r="R40" s="326"/>
      <c r="S40" s="326"/>
      <c r="T40" s="326"/>
      <c r="U40" s="327"/>
      <c r="V40" s="331" t="s">
        <v>257</v>
      </c>
      <c r="W40" s="331" t="s">
        <v>258</v>
      </c>
    </row>
    <row r="41" spans="1:23" ht="40.5" customHeight="1" thickBot="1" x14ac:dyDescent="0.25">
      <c r="A41" s="112" t="s">
        <v>0</v>
      </c>
      <c r="B41" s="76">
        <v>2010</v>
      </c>
      <c r="C41" s="77">
        <v>2011</v>
      </c>
      <c r="D41" s="77">
        <v>2012</v>
      </c>
      <c r="E41" s="77">
        <v>2013</v>
      </c>
      <c r="F41" s="78">
        <v>2014</v>
      </c>
      <c r="G41" s="77">
        <v>2015</v>
      </c>
      <c r="H41" s="78">
        <v>2016</v>
      </c>
      <c r="I41" s="77">
        <v>2017</v>
      </c>
      <c r="J41" s="78">
        <v>2018</v>
      </c>
      <c r="K41" s="77">
        <v>2019</v>
      </c>
      <c r="L41" s="78">
        <v>2020</v>
      </c>
      <c r="M41" s="77">
        <v>2021</v>
      </c>
      <c r="N41" s="78">
        <v>2022</v>
      </c>
      <c r="O41" s="128">
        <v>2023</v>
      </c>
      <c r="P41" s="78">
        <v>2024</v>
      </c>
      <c r="Q41" s="128">
        <v>2025</v>
      </c>
      <c r="R41" s="78">
        <v>2026</v>
      </c>
      <c r="S41" s="128">
        <v>2027</v>
      </c>
      <c r="T41" s="78">
        <v>2028</v>
      </c>
      <c r="U41" s="128">
        <v>2029</v>
      </c>
      <c r="V41" s="332"/>
      <c r="W41" s="332"/>
    </row>
    <row r="42" spans="1:23" x14ac:dyDescent="0.2">
      <c r="A42" s="166" t="s">
        <v>163</v>
      </c>
      <c r="B42" s="59">
        <f>'Data Base and Calculations'!J12</f>
        <v>61.456487354442643</v>
      </c>
      <c r="C42" s="60">
        <f>'Data Base and Calculations'!K12</f>
        <v>64.887825827158295</v>
      </c>
      <c r="D42" s="60">
        <f>'Data Base and Calculations'!L12</f>
        <v>69.032344379923074</v>
      </c>
      <c r="E42" s="60">
        <f>'Data Base and Calculations'!M12</f>
        <v>73.797818193392757</v>
      </c>
      <c r="F42" s="60">
        <f>'Data Base and Calculations'!N12</f>
        <v>79.763025437546503</v>
      </c>
      <c r="G42" s="60">
        <f>'Data Base and Calculations'!O12</f>
        <v>67.873618989434263</v>
      </c>
      <c r="H42" s="60">
        <f>'Data Base and Calculations'!P12</f>
        <v>79.998232297821815</v>
      </c>
      <c r="I42" s="60">
        <f>'Data Base and Calculations'!Q12</f>
        <v>88.555855583358095</v>
      </c>
      <c r="J42" s="60">
        <f>'Data Base and Calculations'!R12</f>
        <v>98.834243722827324</v>
      </c>
      <c r="K42" s="122">
        <f>'Data Base and Calculations'!S12</f>
        <v>103.30159090188552</v>
      </c>
      <c r="L42" s="122">
        <f>'Data Base and Calculations'!T12</f>
        <v>110.97057975484054</v>
      </c>
      <c r="M42" s="122">
        <f>'Data Base and Calculations'!U12</f>
        <v>112.87729695995741</v>
      </c>
      <c r="N42" s="122">
        <f>'Data Base and Calculations'!V12</f>
        <v>120.57265146201982</v>
      </c>
      <c r="O42" s="122">
        <f>'Data Base and Calculations'!W12</f>
        <v>120.64714342801341</v>
      </c>
      <c r="P42" s="122">
        <f>'Data Base and Calculations'!X12</f>
        <v>108.6100754573562</v>
      </c>
      <c r="Q42" s="122">
        <f>'Data Base and Calculations'!Y12</f>
        <v>85.746679351018116</v>
      </c>
      <c r="R42" s="122">
        <f>'Data Base and Calculations'!Z12</f>
        <v>83.26313865516218</v>
      </c>
      <c r="S42" s="122">
        <f>'Data Base and Calculations'!AA12</f>
        <v>86.161490927758464</v>
      </c>
      <c r="T42" s="122">
        <f>'Data Base and Calculations'!AB12</f>
        <v>87.018261898564461</v>
      </c>
      <c r="U42" s="122">
        <f>'Data Base and Calculations'!AC12</f>
        <v>87.044244563590681</v>
      </c>
      <c r="V42" s="213">
        <f t="shared" ref="V42:V47" si="13">SUM(B42:U42)</f>
        <v>1790.4126051460719</v>
      </c>
      <c r="W42" s="250">
        <f>AVERAGE(B42:U42)</f>
        <v>89.520630257303594</v>
      </c>
    </row>
    <row r="43" spans="1:23" x14ac:dyDescent="0.2">
      <c r="A43" s="48" t="s">
        <v>2</v>
      </c>
      <c r="B43" s="61">
        <f>'Data Base and Calculations'!J13</f>
        <v>23.410518493976546</v>
      </c>
      <c r="C43" s="49">
        <f>'Data Base and Calculations'!K13</f>
        <v>27.736356219037429</v>
      </c>
      <c r="D43" s="49">
        <f>'Data Base and Calculations'!L13</f>
        <v>31.630809639747834</v>
      </c>
      <c r="E43" s="49">
        <f>'Data Base and Calculations'!M13</f>
        <v>35.279913126856421</v>
      </c>
      <c r="F43" s="49">
        <f>'Data Base and Calculations'!N13</f>
        <v>38.039880650252442</v>
      </c>
      <c r="G43" s="49">
        <f>'Data Base and Calculations'!O13</f>
        <v>43.015002795993368</v>
      </c>
      <c r="H43" s="49">
        <f>'Data Base and Calculations'!P13</f>
        <v>46.075618723455172</v>
      </c>
      <c r="I43" s="49">
        <f>'Data Base and Calculations'!Q13</f>
        <v>47.96441014472385</v>
      </c>
      <c r="J43" s="49">
        <f>'Data Base and Calculations'!R13</f>
        <v>42.752046055193105</v>
      </c>
      <c r="K43" s="130">
        <f>'Data Base and Calculations'!S13</f>
        <v>43.394367772731194</v>
      </c>
      <c r="L43" s="130">
        <f>'Data Base and Calculations'!T13</f>
        <v>45.635241037446669</v>
      </c>
      <c r="M43" s="130">
        <f>'Data Base and Calculations'!U13</f>
        <v>43.254771578688285</v>
      </c>
      <c r="N43" s="130">
        <f>'Data Base and Calculations'!V13</f>
        <v>45.082666799923146</v>
      </c>
      <c r="O43" s="130">
        <f>'Data Base and Calculations'!W13</f>
        <v>42.46925855422036</v>
      </c>
      <c r="P43" s="130">
        <f>'Data Base and Calculations'!X13</f>
        <v>36.285462385385109</v>
      </c>
      <c r="Q43" s="130">
        <f>'Data Base and Calculations'!Y13</f>
        <v>37.746941556849087</v>
      </c>
      <c r="R43" s="130">
        <f>'Data Base and Calculations'!Z13</f>
        <v>32.328765841949235</v>
      </c>
      <c r="S43" s="130">
        <f>'Data Base and Calculations'!AA13</f>
        <v>28.388136558585067</v>
      </c>
      <c r="T43" s="130">
        <f>'Data Base and Calculations'!AB13</f>
        <v>24.923981112663149</v>
      </c>
      <c r="U43" s="130">
        <f>'Data Base and Calculations'!AC13</f>
        <v>20.594585549958271</v>
      </c>
      <c r="V43" s="214">
        <f t="shared" si="13"/>
        <v>736.00873459763579</v>
      </c>
      <c r="W43" s="250">
        <f t="shared" ref="W43:W47" si="14">AVERAGE(B43:U43)</f>
        <v>36.800436729881788</v>
      </c>
    </row>
    <row r="44" spans="1:23" x14ac:dyDescent="0.2">
      <c r="A44" s="48" t="s">
        <v>3</v>
      </c>
      <c r="B44" s="61">
        <f>'Data Base and Calculations'!J14</f>
        <v>17.487873822697605</v>
      </c>
      <c r="C44" s="49">
        <f>'Data Base and Calculations'!K14</f>
        <v>18.792147565104663</v>
      </c>
      <c r="D44" s="49">
        <f>'Data Base and Calculations'!L14</f>
        <v>19.966656787923704</v>
      </c>
      <c r="E44" s="49">
        <f>'Data Base and Calculations'!M14</f>
        <v>20.973378978911452</v>
      </c>
      <c r="F44" s="49">
        <f>'Data Base and Calculations'!N14</f>
        <v>21.868243148678342</v>
      </c>
      <c r="G44" s="49">
        <f>'Data Base and Calculations'!O14</f>
        <v>29.530517602307324</v>
      </c>
      <c r="H44" s="49">
        <f>'Data Base and Calculations'!P14</f>
        <v>29.75423364474905</v>
      </c>
      <c r="I44" s="49">
        <f>'Data Base and Calculations'!Q14</f>
        <v>29.586446612917754</v>
      </c>
      <c r="J44" s="49">
        <f>'Data Base and Calculations'!R14</f>
        <v>29.306801559865601</v>
      </c>
      <c r="K44" s="130">
        <f>'Data Base and Calculations'!S14</f>
        <v>29.083085517423882</v>
      </c>
      <c r="L44" s="130">
        <f>'Data Base and Calculations'!T14</f>
        <v>22.595320286613937</v>
      </c>
      <c r="M44" s="130">
        <f>'Data Base and Calculations'!U14</f>
        <v>22.81903632905566</v>
      </c>
      <c r="N44" s="130">
        <f>'Data Base and Calculations'!V14</f>
        <v>21.253024031963605</v>
      </c>
      <c r="O44" s="130">
        <f>'Data Base and Calculations'!W14</f>
        <v>21.085237000132317</v>
      </c>
      <c r="P44" s="130">
        <f>'Data Base and Calculations'!X14</f>
        <v>15.324548907257967</v>
      </c>
      <c r="Q44" s="130">
        <f>'Data Base and Calculations'!Y14</f>
        <v>18.624360533273368</v>
      </c>
      <c r="R44" s="130">
        <f>'Data Base and Calculations'!Z14</f>
        <v>13.199246504061609</v>
      </c>
      <c r="S44" s="130">
        <f>'Data Base and Calculations'!AA14</f>
        <v>10.346866962929649</v>
      </c>
      <c r="T44" s="130">
        <f>'Data Base and Calculations'!AB14</f>
        <v>8.5012096127854413</v>
      </c>
      <c r="U44" s="130">
        <f>'Data Base and Calculations'!AC14</f>
        <v>7.7182034642394148</v>
      </c>
      <c r="V44" s="214">
        <f t="shared" si="13"/>
        <v>407.81643887289232</v>
      </c>
      <c r="W44" s="250">
        <f t="shared" si="14"/>
        <v>20.390821943644617</v>
      </c>
    </row>
    <row r="45" spans="1:23" x14ac:dyDescent="0.2">
      <c r="A45" s="62" t="s">
        <v>239</v>
      </c>
      <c r="B45" s="61">
        <f>'Data Base and Calculations'!J15</f>
        <v>0</v>
      </c>
      <c r="C45" s="49">
        <f>'Data Base and Calculations'!K15</f>
        <v>0</v>
      </c>
      <c r="D45" s="49">
        <f>'Data Base and Calculations'!L15</f>
        <v>0</v>
      </c>
      <c r="E45" s="49">
        <f>'Data Base and Calculations'!M15</f>
        <v>0</v>
      </c>
      <c r="F45" s="49">
        <f>'Data Base and Calculations'!N15</f>
        <v>0</v>
      </c>
      <c r="G45" s="49">
        <f>'Data Base and Calculations'!O15</f>
        <v>0</v>
      </c>
      <c r="H45" s="49">
        <f>'Data Base and Calculations'!P15</f>
        <v>0</v>
      </c>
      <c r="I45" s="49">
        <f>'Data Base and Calculations'!Q15</f>
        <v>0</v>
      </c>
      <c r="J45" s="49">
        <f>'Data Base and Calculations'!R15</f>
        <v>0</v>
      </c>
      <c r="K45" s="130">
        <f>'Data Base and Calculations'!S15</f>
        <v>0</v>
      </c>
      <c r="L45" s="130">
        <f>'Data Base and Calculations'!T15</f>
        <v>0</v>
      </c>
      <c r="M45" s="130">
        <f>'Data Base and Calculations'!U15</f>
        <v>0</v>
      </c>
      <c r="N45" s="130">
        <f>'Data Base and Calculations'!V15</f>
        <v>0</v>
      </c>
      <c r="O45" s="130">
        <f>'Data Base and Calculations'!W15</f>
        <v>0</v>
      </c>
      <c r="P45" s="130">
        <f>'Data Base and Calculations'!X15</f>
        <v>0</v>
      </c>
      <c r="Q45" s="130">
        <f>'Data Base and Calculations'!Y15</f>
        <v>0</v>
      </c>
      <c r="R45" s="130">
        <f>'Data Base and Calculations'!Z15</f>
        <v>0</v>
      </c>
      <c r="S45" s="130">
        <f>'Data Base and Calculations'!AA15</f>
        <v>0</v>
      </c>
      <c r="T45" s="130">
        <f>'Data Base and Calculations'!AB15</f>
        <v>0</v>
      </c>
      <c r="U45" s="130">
        <f>'Data Base and Calculations'!AC15</f>
        <v>0</v>
      </c>
      <c r="V45" s="214">
        <f t="shared" si="13"/>
        <v>0</v>
      </c>
      <c r="W45" s="250">
        <f t="shared" si="14"/>
        <v>0</v>
      </c>
    </row>
    <row r="46" spans="1:23" x14ac:dyDescent="0.2">
      <c r="A46" s="108" t="s">
        <v>215</v>
      </c>
      <c r="B46" s="50">
        <f>'Data Base and Calculations'!J16</f>
        <v>2.4697005684349045</v>
      </c>
      <c r="C46" s="50">
        <f>'Data Base and Calculations'!K16</f>
        <v>4.6452563176209747</v>
      </c>
      <c r="D46" s="50">
        <f>'Data Base and Calculations'!L16</f>
        <v>6.6126589933192701</v>
      </c>
      <c r="E46" s="50">
        <f>'Data Base and Calculations'!M16</f>
        <v>8.3614613717177555</v>
      </c>
      <c r="F46" s="50">
        <f>'Data Base and Calculations'!N16</f>
        <v>9.8916634528164291</v>
      </c>
      <c r="G46" s="50">
        <f>'Data Base and Calculations'!O16</f>
        <v>13.771818729888066</v>
      </c>
      <c r="H46" s="50">
        <f>'Data Base and Calculations'!P16</f>
        <v>14.64621991908731</v>
      </c>
      <c r="I46" s="50">
        <f>'Data Base and Calculations'!Q16</f>
        <v>15.302020810986741</v>
      </c>
      <c r="J46" s="50">
        <f>'Data Base and Calculations'!R16</f>
        <v>15.903171628561221</v>
      </c>
      <c r="K46" s="50">
        <f>'Data Base and Calculations'!S16</f>
        <v>16.504322446135699</v>
      </c>
      <c r="L46" s="50">
        <f>'Data Base and Calculations'!T16</f>
        <v>20.384477723207336</v>
      </c>
      <c r="M46" s="50">
        <f>'Data Base and Calculations'!U16</f>
        <v>20.603078020507148</v>
      </c>
      <c r="N46" s="50">
        <f>'Data Base and Calculations'!V16</f>
        <v>12.569517094739108</v>
      </c>
      <c r="O46" s="123">
        <f>'Data Base and Calculations'!W16</f>
        <v>12.514867020414155</v>
      </c>
      <c r="P46" s="123">
        <f>'Data Base and Calculations'!X16</f>
        <v>9.0719123379421394</v>
      </c>
      <c r="Q46" s="123">
        <f>'Data Base and Calculations'!Y16</f>
        <v>11.039315013640435</v>
      </c>
      <c r="R46" s="123">
        <f>'Data Base and Calculations'!Z16</f>
        <v>7.8149606284682287</v>
      </c>
      <c r="S46" s="123">
        <f>'Data Base and Calculations'!AA16</f>
        <v>6.1208083243946962</v>
      </c>
      <c r="T46" s="123">
        <f>'Data Base and Calculations'!AB16</f>
        <v>5.0278068378956435</v>
      </c>
      <c r="U46" s="123">
        <f>'Data Base and Calculations'!AC16</f>
        <v>4.5906062432960226</v>
      </c>
      <c r="V46" s="214">
        <f t="shared" si="13"/>
        <v>217.84564348307327</v>
      </c>
      <c r="W46" s="250">
        <f t="shared" si="14"/>
        <v>10.892282174153664</v>
      </c>
    </row>
    <row r="47" spans="1:23" ht="13.5" thickBot="1" x14ac:dyDescent="0.25">
      <c r="A47" s="44" t="s">
        <v>167</v>
      </c>
      <c r="B47" s="255">
        <f>'Data Base and Calculations'!J17</f>
        <v>104.82458023955169</v>
      </c>
      <c r="C47" s="256">
        <f>'Data Base and Calculations'!K17</f>
        <v>116.06158592892137</v>
      </c>
      <c r="D47" s="256">
        <f>'Data Base and Calculations'!L17</f>
        <v>127.2424698009139</v>
      </c>
      <c r="E47" s="256">
        <f>'Data Base and Calculations'!M17</f>
        <v>138.41257167087838</v>
      </c>
      <c r="F47" s="256">
        <f>'Data Base and Calculations'!N17</f>
        <v>149.56281268929371</v>
      </c>
      <c r="G47" s="256">
        <f>'Data Base and Calculations'!O17</f>
        <v>154.19095811762301</v>
      </c>
      <c r="H47" s="256">
        <f>'Data Base and Calculations'!P17</f>
        <v>170.47430458511334</v>
      </c>
      <c r="I47" s="256">
        <f>'Data Base and Calculations'!Q17</f>
        <v>181.40873315198644</v>
      </c>
      <c r="J47" s="256">
        <f>'Data Base and Calculations'!R17</f>
        <v>186.79626296644724</v>
      </c>
      <c r="K47" s="257">
        <f>'Data Base and Calculations'!S17</f>
        <v>192.28336663817629</v>
      </c>
      <c r="L47" s="257">
        <f>'Data Base and Calculations'!T17</f>
        <v>199.58561880210848</v>
      </c>
      <c r="M47" s="257">
        <f>'Data Base and Calculations'!U17</f>
        <v>199.55418288820849</v>
      </c>
      <c r="N47" s="257">
        <f>'Data Base and Calculations'!V17</f>
        <v>199.47785938864567</v>
      </c>
      <c r="O47" s="257">
        <f>'Data Base and Calculations'!W17</f>
        <v>196.71650600278022</v>
      </c>
      <c r="P47" s="257">
        <f>'Data Base and Calculations'!X17</f>
        <v>169.29199908794141</v>
      </c>
      <c r="Q47" s="257">
        <f>'Data Base and Calculations'!Y17</f>
        <v>153.15729645478103</v>
      </c>
      <c r="R47" s="257">
        <f>'Data Base and Calculations'!Z17</f>
        <v>136.60611162964128</v>
      </c>
      <c r="S47" s="257">
        <f>'Data Base and Calculations'!AA17</f>
        <v>131.01730277366786</v>
      </c>
      <c r="T47" s="257">
        <f>'Data Base and Calculations'!AB17</f>
        <v>125.4712594619087</v>
      </c>
      <c r="U47" s="257">
        <f>'Data Base and Calculations'!AC17</f>
        <v>119.94763982108438</v>
      </c>
      <c r="V47" s="258">
        <f t="shared" si="13"/>
        <v>3152.0834220996726</v>
      </c>
      <c r="W47" s="250">
        <f t="shared" si="14"/>
        <v>157.60417110498364</v>
      </c>
    </row>
    <row r="48" spans="1:23" ht="13.5" thickBot="1" x14ac:dyDescent="0.25">
      <c r="A48" s="72"/>
      <c r="B48" s="159"/>
      <c r="C48" s="113"/>
      <c r="D48" s="113"/>
      <c r="E48" s="113"/>
      <c r="F48" s="113"/>
      <c r="G48" s="113"/>
      <c r="H48" s="113"/>
      <c r="I48" s="113"/>
      <c r="J48" s="113"/>
      <c r="K48" s="113"/>
      <c r="L48" s="113"/>
      <c r="M48" s="113"/>
      <c r="N48" s="113"/>
      <c r="O48" s="113"/>
      <c r="P48" s="113"/>
      <c r="Q48" s="113"/>
      <c r="R48" s="113"/>
      <c r="S48" s="113"/>
      <c r="T48" s="113"/>
      <c r="U48" s="113"/>
      <c r="V48" s="113"/>
      <c r="W48" s="114"/>
    </row>
    <row r="49" spans="1:23" ht="25.5" customHeight="1" thickBot="1" x14ac:dyDescent="0.25">
      <c r="A49" s="72"/>
      <c r="B49" s="325" t="s">
        <v>161</v>
      </c>
      <c r="C49" s="326"/>
      <c r="D49" s="326"/>
      <c r="E49" s="326"/>
      <c r="F49" s="326"/>
      <c r="G49" s="326"/>
      <c r="H49" s="326"/>
      <c r="I49" s="326"/>
      <c r="J49" s="326"/>
      <c r="K49" s="326"/>
      <c r="L49" s="326"/>
      <c r="M49" s="326"/>
      <c r="N49" s="326"/>
      <c r="O49" s="326"/>
      <c r="P49" s="326"/>
      <c r="Q49" s="326"/>
      <c r="R49" s="326"/>
      <c r="S49" s="326"/>
      <c r="T49" s="326"/>
      <c r="U49" s="327"/>
      <c r="V49" s="331" t="s">
        <v>257</v>
      </c>
      <c r="W49" s="331" t="s">
        <v>258</v>
      </c>
    </row>
    <row r="50" spans="1:23" ht="27.75" customHeight="1" thickBot="1" x14ac:dyDescent="0.25">
      <c r="A50" s="112" t="s">
        <v>0</v>
      </c>
      <c r="B50" s="76">
        <v>2010</v>
      </c>
      <c r="C50" s="77">
        <v>2011</v>
      </c>
      <c r="D50" s="77">
        <v>2012</v>
      </c>
      <c r="E50" s="77">
        <v>2013</v>
      </c>
      <c r="F50" s="78">
        <v>2014</v>
      </c>
      <c r="G50" s="77">
        <v>2015</v>
      </c>
      <c r="H50" s="78">
        <v>2016</v>
      </c>
      <c r="I50" s="77">
        <v>2017</v>
      </c>
      <c r="J50" s="78">
        <v>2018</v>
      </c>
      <c r="K50" s="77">
        <v>2019</v>
      </c>
      <c r="L50" s="78">
        <v>2020</v>
      </c>
      <c r="M50" s="77">
        <v>2021</v>
      </c>
      <c r="N50" s="78">
        <v>2022</v>
      </c>
      <c r="O50" s="128">
        <v>2023</v>
      </c>
      <c r="P50" s="78">
        <v>2024</v>
      </c>
      <c r="Q50" s="128">
        <v>2025</v>
      </c>
      <c r="R50" s="78">
        <v>2026</v>
      </c>
      <c r="S50" s="128">
        <v>2027</v>
      </c>
      <c r="T50" s="78">
        <v>2028</v>
      </c>
      <c r="U50" s="128">
        <v>2029</v>
      </c>
      <c r="V50" s="332"/>
      <c r="W50" s="332"/>
    </row>
    <row r="51" spans="1:23" x14ac:dyDescent="0.2">
      <c r="A51" s="111" t="s">
        <v>163</v>
      </c>
      <c r="B51" s="118">
        <f t="shared" ref="B51:K51" si="15">B42*8760</f>
        <v>538358.82922491757</v>
      </c>
      <c r="C51" s="70">
        <f t="shared" si="15"/>
        <v>568417.3542459067</v>
      </c>
      <c r="D51" s="70">
        <f t="shared" si="15"/>
        <v>604723.33676812612</v>
      </c>
      <c r="E51" s="70">
        <f t="shared" si="15"/>
        <v>646468.88737412053</v>
      </c>
      <c r="F51" s="70">
        <f t="shared" si="15"/>
        <v>698724.10283290735</v>
      </c>
      <c r="G51" s="70">
        <f t="shared" si="15"/>
        <v>594572.90234744409</v>
      </c>
      <c r="H51" s="70">
        <f t="shared" si="15"/>
        <v>700784.51492891915</v>
      </c>
      <c r="I51" s="70">
        <f t="shared" si="15"/>
        <v>775749.29491021694</v>
      </c>
      <c r="J51" s="70">
        <f t="shared" si="15"/>
        <v>865787.97501196736</v>
      </c>
      <c r="K51" s="70">
        <f t="shared" si="15"/>
        <v>904921.93630051718</v>
      </c>
      <c r="L51" s="70">
        <f t="shared" ref="L51:O54" si="16">L42*8760</f>
        <v>972102.27865240315</v>
      </c>
      <c r="M51" s="70">
        <f t="shared" si="16"/>
        <v>988805.12136922684</v>
      </c>
      <c r="N51" s="70">
        <f t="shared" si="16"/>
        <v>1056216.4268072937</v>
      </c>
      <c r="O51" s="210">
        <f t="shared" si="16"/>
        <v>1056868.9764293975</v>
      </c>
      <c r="P51" s="210">
        <f t="shared" ref="P51:U51" si="17">P42*8760</f>
        <v>951424.26100644039</v>
      </c>
      <c r="Q51" s="210">
        <f t="shared" si="17"/>
        <v>751140.91111491865</v>
      </c>
      <c r="R51" s="210">
        <f t="shared" si="17"/>
        <v>729385.0946192207</v>
      </c>
      <c r="S51" s="210">
        <f t="shared" si="17"/>
        <v>754774.66052716412</v>
      </c>
      <c r="T51" s="210">
        <f t="shared" si="17"/>
        <v>762279.97423142463</v>
      </c>
      <c r="U51" s="210">
        <f t="shared" si="17"/>
        <v>762507.58237705438</v>
      </c>
      <c r="V51" s="119">
        <f t="shared" ref="V51:V56" si="18">SUM(B51:O51)</f>
        <v>10972501.937203363</v>
      </c>
      <c r="W51" s="272">
        <f>AVERAGE(B51:U51)</f>
        <v>784200.72105397913</v>
      </c>
    </row>
    <row r="52" spans="1:23" x14ac:dyDescent="0.2">
      <c r="A52" s="108" t="s">
        <v>2</v>
      </c>
      <c r="B52" s="119">
        <f t="shared" ref="B52:K52" si="19">B43*8760</f>
        <v>205076.14200723454</v>
      </c>
      <c r="C52" s="69">
        <f t="shared" si="19"/>
        <v>242970.48047876789</v>
      </c>
      <c r="D52" s="69">
        <f t="shared" si="19"/>
        <v>277085.89244419103</v>
      </c>
      <c r="E52" s="69">
        <f t="shared" si="19"/>
        <v>309052.03899126226</v>
      </c>
      <c r="F52" s="69">
        <f t="shared" si="19"/>
        <v>333229.3544962114</v>
      </c>
      <c r="G52" s="69">
        <f t="shared" si="19"/>
        <v>376811.42449290189</v>
      </c>
      <c r="H52" s="69">
        <f t="shared" si="19"/>
        <v>403622.42001746729</v>
      </c>
      <c r="I52" s="69">
        <f t="shared" si="19"/>
        <v>420168.2328677809</v>
      </c>
      <c r="J52" s="69">
        <f t="shared" si="19"/>
        <v>374507.92344349163</v>
      </c>
      <c r="K52" s="69">
        <f t="shared" si="19"/>
        <v>380134.66168912523</v>
      </c>
      <c r="L52" s="69">
        <f t="shared" si="16"/>
        <v>399764.71148803283</v>
      </c>
      <c r="M52" s="69">
        <f t="shared" si="16"/>
        <v>378911.79902930936</v>
      </c>
      <c r="N52" s="69">
        <f t="shared" si="16"/>
        <v>394924.16116732673</v>
      </c>
      <c r="O52" s="211">
        <f t="shared" si="16"/>
        <v>372030.70493497036</v>
      </c>
      <c r="P52" s="211">
        <f t="shared" ref="P52:U52" si="20">P43*8760</f>
        <v>317860.65049597353</v>
      </c>
      <c r="Q52" s="211">
        <f t="shared" si="20"/>
        <v>330663.208037998</v>
      </c>
      <c r="R52" s="211">
        <f t="shared" si="20"/>
        <v>283199.9887754753</v>
      </c>
      <c r="S52" s="211">
        <f t="shared" si="20"/>
        <v>248680.07625320519</v>
      </c>
      <c r="T52" s="211">
        <f t="shared" si="20"/>
        <v>218334.07454692919</v>
      </c>
      <c r="U52" s="211">
        <f t="shared" si="20"/>
        <v>180408.56941763446</v>
      </c>
      <c r="V52" s="119">
        <f t="shared" si="18"/>
        <v>4868289.9475480728</v>
      </c>
      <c r="W52" s="272">
        <f t="shared" ref="W52:W56" si="21">AVERAGE(B52:U52)</f>
        <v>322371.82575376437</v>
      </c>
    </row>
    <row r="53" spans="1:23" x14ac:dyDescent="0.2">
      <c r="A53" s="108" t="s">
        <v>3</v>
      </c>
      <c r="B53" s="119">
        <f t="shared" ref="B53:K53" si="22">B44*8760</f>
        <v>153193.77468683102</v>
      </c>
      <c r="C53" s="69">
        <f t="shared" si="22"/>
        <v>164619.21267031686</v>
      </c>
      <c r="D53" s="69">
        <f t="shared" si="22"/>
        <v>174907.91346221164</v>
      </c>
      <c r="E53" s="69">
        <f t="shared" si="22"/>
        <v>183726.79985526431</v>
      </c>
      <c r="F53" s="69">
        <f t="shared" si="22"/>
        <v>191565.80998242227</v>
      </c>
      <c r="G53" s="69">
        <f t="shared" si="22"/>
        <v>258687.33419621215</v>
      </c>
      <c r="H53" s="69">
        <f t="shared" si="22"/>
        <v>260647.08672800168</v>
      </c>
      <c r="I53" s="69">
        <f t="shared" si="22"/>
        <v>259177.27232915952</v>
      </c>
      <c r="J53" s="69">
        <f t="shared" si="22"/>
        <v>256727.58166442267</v>
      </c>
      <c r="K53" s="69">
        <f t="shared" si="22"/>
        <v>254767.8291326332</v>
      </c>
      <c r="L53" s="69">
        <f t="shared" si="16"/>
        <v>197935.0057107381</v>
      </c>
      <c r="M53" s="69">
        <f t="shared" si="16"/>
        <v>199894.75824252758</v>
      </c>
      <c r="N53" s="69">
        <f t="shared" si="16"/>
        <v>186176.49052000119</v>
      </c>
      <c r="O53" s="211">
        <f t="shared" si="16"/>
        <v>184706.67612115911</v>
      </c>
      <c r="P53" s="211">
        <f t="shared" ref="P53:U53" si="23">P44*8760</f>
        <v>134243.04842757978</v>
      </c>
      <c r="Q53" s="211">
        <f t="shared" si="23"/>
        <v>163149.3982714747</v>
      </c>
      <c r="R53" s="211">
        <f t="shared" si="23"/>
        <v>115625.3993755797</v>
      </c>
      <c r="S53" s="211">
        <f t="shared" si="23"/>
        <v>90638.554595263733</v>
      </c>
      <c r="T53" s="211">
        <f t="shared" si="23"/>
        <v>74470.596208000468</v>
      </c>
      <c r="U53" s="211">
        <f t="shared" si="23"/>
        <v>67611.462346737273</v>
      </c>
      <c r="V53" s="119">
        <f t="shared" si="18"/>
        <v>2926733.5453019016</v>
      </c>
      <c r="W53" s="272">
        <f t="shared" si="21"/>
        <v>178623.60022632687</v>
      </c>
    </row>
    <row r="54" spans="1:23" x14ac:dyDescent="0.2">
      <c r="A54" s="110" t="s">
        <v>238</v>
      </c>
      <c r="B54" s="119">
        <f t="shared" ref="B54:K54" si="24">B45*8760</f>
        <v>0</v>
      </c>
      <c r="C54" s="69">
        <f t="shared" si="24"/>
        <v>0</v>
      </c>
      <c r="D54" s="69">
        <f t="shared" si="24"/>
        <v>0</v>
      </c>
      <c r="E54" s="69">
        <f t="shared" si="24"/>
        <v>0</v>
      </c>
      <c r="F54" s="69">
        <f t="shared" si="24"/>
        <v>0</v>
      </c>
      <c r="G54" s="69">
        <f t="shared" si="24"/>
        <v>0</v>
      </c>
      <c r="H54" s="69">
        <f t="shared" si="24"/>
        <v>0</v>
      </c>
      <c r="I54" s="69">
        <f t="shared" si="24"/>
        <v>0</v>
      </c>
      <c r="J54" s="69">
        <f t="shared" si="24"/>
        <v>0</v>
      </c>
      <c r="K54" s="69">
        <f t="shared" si="24"/>
        <v>0</v>
      </c>
      <c r="L54" s="69">
        <f t="shared" si="16"/>
        <v>0</v>
      </c>
      <c r="M54" s="69">
        <f t="shared" si="16"/>
        <v>0</v>
      </c>
      <c r="N54" s="69">
        <f t="shared" si="16"/>
        <v>0</v>
      </c>
      <c r="O54" s="211">
        <f t="shared" si="16"/>
        <v>0</v>
      </c>
      <c r="P54" s="211">
        <f t="shared" ref="P54:U54" si="25">P45*8760</f>
        <v>0</v>
      </c>
      <c r="Q54" s="211">
        <f t="shared" si="25"/>
        <v>0</v>
      </c>
      <c r="R54" s="211">
        <f t="shared" si="25"/>
        <v>0</v>
      </c>
      <c r="S54" s="211">
        <f t="shared" si="25"/>
        <v>0</v>
      </c>
      <c r="T54" s="211">
        <f t="shared" si="25"/>
        <v>0</v>
      </c>
      <c r="U54" s="211">
        <f t="shared" si="25"/>
        <v>0</v>
      </c>
      <c r="V54" s="119">
        <f t="shared" si="18"/>
        <v>0</v>
      </c>
      <c r="W54" s="272">
        <f t="shared" si="21"/>
        <v>0</v>
      </c>
    </row>
    <row r="55" spans="1:23" x14ac:dyDescent="0.2">
      <c r="A55" s="108" t="s">
        <v>215</v>
      </c>
      <c r="B55" s="119">
        <f>B46*8760</f>
        <v>21634.576979489764</v>
      </c>
      <c r="C55" s="69">
        <f t="shared" ref="C55:O55" si="26">C46*8760</f>
        <v>40692.445342359737</v>
      </c>
      <c r="D55" s="69">
        <f t="shared" si="26"/>
        <v>57926.892781476803</v>
      </c>
      <c r="E55" s="69">
        <f t="shared" si="26"/>
        <v>73246.401616247531</v>
      </c>
      <c r="F55" s="69">
        <f t="shared" si="26"/>
        <v>86650.971846671921</v>
      </c>
      <c r="G55" s="69">
        <f t="shared" si="26"/>
        <v>120641.13207381946</v>
      </c>
      <c r="H55" s="69">
        <f t="shared" si="26"/>
        <v>128300.88649120483</v>
      </c>
      <c r="I55" s="69">
        <f t="shared" si="26"/>
        <v>134045.70230424387</v>
      </c>
      <c r="J55" s="69">
        <f t="shared" si="26"/>
        <v>139311.7834661963</v>
      </c>
      <c r="K55" s="69">
        <f t="shared" si="26"/>
        <v>144577.86462814873</v>
      </c>
      <c r="L55" s="69">
        <f t="shared" si="26"/>
        <v>178568.02485529627</v>
      </c>
      <c r="M55" s="69">
        <f t="shared" si="26"/>
        <v>180482.9634596426</v>
      </c>
      <c r="N55" s="69">
        <f t="shared" si="26"/>
        <v>110108.96974991458</v>
      </c>
      <c r="O55" s="211">
        <f t="shared" si="26"/>
        <v>109630.23509882799</v>
      </c>
      <c r="P55" s="211">
        <f t="shared" ref="P55:U55" si="27">P46*8760</f>
        <v>79469.952080373143</v>
      </c>
      <c r="Q55" s="211">
        <f t="shared" si="27"/>
        <v>96704.399519490209</v>
      </c>
      <c r="R55" s="211">
        <f t="shared" si="27"/>
        <v>68459.055105381689</v>
      </c>
      <c r="S55" s="211">
        <f t="shared" si="27"/>
        <v>53618.280921697537</v>
      </c>
      <c r="T55" s="211">
        <f t="shared" si="27"/>
        <v>44043.587899965838</v>
      </c>
      <c r="U55" s="211">
        <f t="shared" si="27"/>
        <v>40213.710691273162</v>
      </c>
      <c r="V55" s="119">
        <f t="shared" si="18"/>
        <v>1525818.8506935404</v>
      </c>
      <c r="W55" s="272">
        <f t="shared" si="21"/>
        <v>95416.391845586113</v>
      </c>
    </row>
    <row r="56" spans="1:23" ht="13.5" thickBot="1" x14ac:dyDescent="0.25">
      <c r="A56" s="209" t="s">
        <v>167</v>
      </c>
      <c r="B56" s="120">
        <f>B47*8760</f>
        <v>918263.32289847278</v>
      </c>
      <c r="C56" s="71">
        <f t="shared" ref="C56:O56" si="28">C47*8760</f>
        <v>1016699.4927373512</v>
      </c>
      <c r="D56" s="71">
        <f t="shared" si="28"/>
        <v>1114644.0354560057</v>
      </c>
      <c r="E56" s="71">
        <f t="shared" si="28"/>
        <v>1212494.1278368947</v>
      </c>
      <c r="F56" s="71">
        <f t="shared" si="28"/>
        <v>1310170.2391582129</v>
      </c>
      <c r="G56" s="71">
        <f t="shared" si="28"/>
        <v>1350712.7931103776</v>
      </c>
      <c r="H56" s="71">
        <f t="shared" si="28"/>
        <v>1493354.9081655929</v>
      </c>
      <c r="I56" s="71">
        <f t="shared" si="28"/>
        <v>1589140.5024114011</v>
      </c>
      <c r="J56" s="71">
        <f t="shared" si="28"/>
        <v>1636335.2635860778</v>
      </c>
      <c r="K56" s="71">
        <f t="shared" si="28"/>
        <v>1684402.2917504243</v>
      </c>
      <c r="L56" s="71">
        <f t="shared" si="28"/>
        <v>1748370.0207064704</v>
      </c>
      <c r="M56" s="71">
        <f t="shared" si="28"/>
        <v>1748094.6421007065</v>
      </c>
      <c r="N56" s="71">
        <f t="shared" si="28"/>
        <v>1747426.0482445362</v>
      </c>
      <c r="O56" s="212">
        <f t="shared" si="28"/>
        <v>1723236.5925843548</v>
      </c>
      <c r="P56" s="212">
        <f t="shared" ref="P56:U56" si="29">P47*8760</f>
        <v>1482997.9120103668</v>
      </c>
      <c r="Q56" s="212">
        <f t="shared" si="29"/>
        <v>1341657.9169438819</v>
      </c>
      <c r="R56" s="212">
        <f t="shared" si="29"/>
        <v>1196669.5378756577</v>
      </c>
      <c r="S56" s="212">
        <f t="shared" si="29"/>
        <v>1147711.5722973305</v>
      </c>
      <c r="T56" s="212">
        <f t="shared" si="29"/>
        <v>1099128.2328863202</v>
      </c>
      <c r="U56" s="212">
        <f t="shared" si="29"/>
        <v>1050741.3248326993</v>
      </c>
      <c r="V56" s="120">
        <f t="shared" si="18"/>
        <v>20293344.280746877</v>
      </c>
      <c r="W56" s="272">
        <f t="shared" si="21"/>
        <v>1380612.5388796567</v>
      </c>
    </row>
    <row r="58" spans="1:23" x14ac:dyDescent="0.2">
      <c r="A58" s="271" t="s">
        <v>283</v>
      </c>
      <c r="B58" s="269">
        <f t="shared" ref="B58:C58" si="30">B56-B55</f>
        <v>896628.74591898301</v>
      </c>
      <c r="C58" s="269">
        <f t="shared" si="30"/>
        <v>976007.0473949915</v>
      </c>
      <c r="D58" s="269">
        <f>D56-D55</f>
        <v>1056717.142674529</v>
      </c>
      <c r="E58" s="269">
        <f t="shared" ref="E58:M58" si="31">E56-E55</f>
        <v>1139247.7262206471</v>
      </c>
      <c r="F58" s="269">
        <f t="shared" si="31"/>
        <v>1223519.2673115409</v>
      </c>
      <c r="G58" s="269">
        <f t="shared" si="31"/>
        <v>1230071.6610365582</v>
      </c>
      <c r="H58" s="269">
        <f t="shared" si="31"/>
        <v>1365054.0216743881</v>
      </c>
      <c r="I58" s="269">
        <f t="shared" si="31"/>
        <v>1455094.8001071573</v>
      </c>
      <c r="J58" s="269">
        <f t="shared" si="31"/>
        <v>1497023.4801198815</v>
      </c>
      <c r="K58" s="269">
        <f t="shared" si="31"/>
        <v>1539824.4271222756</v>
      </c>
      <c r="L58" s="269">
        <f t="shared" si="31"/>
        <v>1569801.995851174</v>
      </c>
      <c r="M58" s="269">
        <f t="shared" si="31"/>
        <v>1567611.6786410639</v>
      </c>
    </row>
    <row r="59" spans="1:23" x14ac:dyDescent="0.2">
      <c r="B59" s="270">
        <f t="shared" ref="B59:C59" si="32">B58/8760</f>
        <v>102.35487967111678</v>
      </c>
      <c r="C59" s="270">
        <f t="shared" si="32"/>
        <v>111.4163296113004</v>
      </c>
      <c r="D59" s="270">
        <f>D58/8760</f>
        <v>120.62981080759464</v>
      </c>
      <c r="E59" s="270">
        <f>E58/8760</f>
        <v>130.05111029916063</v>
      </c>
      <c r="F59" s="270">
        <f t="shared" ref="F59:M59" si="33">F58/8760</f>
        <v>139.67114923647728</v>
      </c>
      <c r="G59" s="270">
        <f t="shared" si="33"/>
        <v>140.41913938773496</v>
      </c>
      <c r="H59" s="270">
        <f t="shared" si="33"/>
        <v>155.82808466602603</v>
      </c>
      <c r="I59" s="270">
        <f t="shared" si="33"/>
        <v>166.10671234099971</v>
      </c>
      <c r="J59" s="270">
        <f t="shared" si="33"/>
        <v>170.89309133788601</v>
      </c>
      <c r="K59" s="270">
        <f t="shared" si="33"/>
        <v>175.7790441920406</v>
      </c>
      <c r="L59" s="270">
        <f t="shared" si="33"/>
        <v>179.20114107890114</v>
      </c>
      <c r="M59" s="270">
        <f t="shared" si="33"/>
        <v>178.95110486770136</v>
      </c>
    </row>
    <row r="62" spans="1:23" x14ac:dyDescent="0.2">
      <c r="F62"/>
      <c r="G62"/>
    </row>
    <row r="63" spans="1:23" x14ac:dyDescent="0.2">
      <c r="F63"/>
      <c r="G63"/>
    </row>
    <row r="64" spans="1:23" x14ac:dyDescent="0.2">
      <c r="F64"/>
      <c r="G64"/>
    </row>
  </sheetData>
  <sheetProtection formatCells="0" formatColumns="0" formatRows="0" insertColumns="0" insertRows="0" insertHyperlinks="0"/>
  <protectedRanges>
    <protectedRange sqref="I35" name="Input Irrigation"/>
  </protectedRanges>
  <mergeCells count="37">
    <mergeCell ref="B49:U49"/>
    <mergeCell ref="B23:U23"/>
    <mergeCell ref="A30:W30"/>
    <mergeCell ref="A31:W31"/>
    <mergeCell ref="W49:W50"/>
    <mergeCell ref="D32:H32"/>
    <mergeCell ref="D33:H33"/>
    <mergeCell ref="V49:V50"/>
    <mergeCell ref="D36:I39"/>
    <mergeCell ref="D34:H34"/>
    <mergeCell ref="A22:A23"/>
    <mergeCell ref="W23:W24"/>
    <mergeCell ref="W40:W41"/>
    <mergeCell ref="V23:V24"/>
    <mergeCell ref="V40:V41"/>
    <mergeCell ref="B22:W22"/>
    <mergeCell ref="V6:V7"/>
    <mergeCell ref="V15:V16"/>
    <mergeCell ref="B10:U10"/>
    <mergeCell ref="A5:W5"/>
    <mergeCell ref="B6:U6"/>
    <mergeCell ref="B9:W9"/>
    <mergeCell ref="A13:W13"/>
    <mergeCell ref="A9:A11"/>
    <mergeCell ref="W6:W7"/>
    <mergeCell ref="V10:V11"/>
    <mergeCell ref="A1:Q1"/>
    <mergeCell ref="I4:N4"/>
    <mergeCell ref="O4:Q4"/>
    <mergeCell ref="A2:Q2"/>
    <mergeCell ref="A3:Q3"/>
    <mergeCell ref="B40:U40"/>
    <mergeCell ref="D35:H35"/>
    <mergeCell ref="W10:W11"/>
    <mergeCell ref="A14:W14"/>
    <mergeCell ref="B15:U15"/>
    <mergeCell ref="W15:W16"/>
  </mergeCells>
  <phoneticPr fontId="0" type="noConversion"/>
  <dataValidations count="1">
    <dataValidation type="whole" allowBlank="1" showErrorMessage="1" error="Agriculture sales exceed limit." prompt="Enter 2007 sales for Irrigation and Dairy" sqref="I35">
      <formula1>0</formula1>
      <formula2>I33</formula2>
    </dataValidation>
  </dataValidation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macro="[0]!clearagsales">
                <anchor moveWithCells="1">
                  <from>
                    <xdr:col>0</xdr:col>
                    <xdr:colOff>85725</xdr:colOff>
                    <xdr:row>6</xdr:row>
                    <xdr:rowOff>19050</xdr:rowOff>
                  </from>
                  <to>
                    <xdr:col>1</xdr:col>
                    <xdr:colOff>9525</xdr:colOff>
                    <xdr:row>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topLeftCell="A10" zoomScale="85" workbookViewId="0">
      <selection activeCell="F39" sqref="F39"/>
    </sheetView>
  </sheetViews>
  <sheetFormatPr defaultRowHeight="12.75" x14ac:dyDescent="0.2"/>
  <cols>
    <col min="1" max="1" width="49.5703125" customWidth="1"/>
    <col min="2" max="2" width="10.85546875" customWidth="1"/>
    <col min="3" max="3" width="11.7109375" customWidth="1"/>
    <col min="4" max="4" width="8.28515625" customWidth="1"/>
    <col min="5" max="5" width="8.7109375" customWidth="1"/>
    <col min="6" max="7" width="8" customWidth="1"/>
    <col min="8" max="8" width="8.28515625" customWidth="1"/>
    <col min="10" max="10" width="8.85546875" customWidth="1"/>
    <col min="11" max="11" width="9.42578125" customWidth="1"/>
    <col min="12" max="12" width="9.7109375" customWidth="1"/>
    <col min="13" max="15" width="8" customWidth="1"/>
    <col min="16" max="16" width="9" customWidth="1"/>
    <col min="17" max="17" width="2.28515625" customWidth="1"/>
    <col min="18" max="18" width="16" bestFit="1" customWidth="1"/>
    <col min="32" max="32" width="13.5703125" customWidth="1"/>
    <col min="33" max="33" width="13.85546875" customWidth="1"/>
  </cols>
  <sheetData>
    <row r="1" spans="1:36" ht="76.5" customHeight="1" thickBot="1" x14ac:dyDescent="0.25">
      <c r="A1" s="375" t="s">
        <v>190</v>
      </c>
      <c r="B1" s="376"/>
      <c r="C1" s="376"/>
      <c r="D1" s="376"/>
      <c r="E1" s="376"/>
      <c r="F1" s="376"/>
      <c r="G1" s="376"/>
      <c r="H1" s="376"/>
      <c r="I1" s="376"/>
      <c r="J1" s="377"/>
    </row>
    <row r="2" spans="1:36" ht="18" customHeight="1" thickBot="1" x14ac:dyDescent="0.25">
      <c r="A2" s="96" t="s">
        <v>189</v>
      </c>
      <c r="B2" s="89"/>
      <c r="F2" t="s">
        <v>248</v>
      </c>
      <c r="AJ2" s="95">
        <v>1</v>
      </c>
    </row>
    <row r="3" spans="1:36" ht="12.75" customHeight="1" thickBot="1" x14ac:dyDescent="0.25">
      <c r="B3" s="89"/>
      <c r="F3" s="229">
        <v>1.0993118912887889</v>
      </c>
    </row>
    <row r="4" spans="1:36" ht="13.5" thickBot="1" x14ac:dyDescent="0.25">
      <c r="A4" s="4" t="s">
        <v>247</v>
      </c>
      <c r="B4" s="91" t="s">
        <v>184</v>
      </c>
      <c r="C4" s="92" t="s">
        <v>185</v>
      </c>
      <c r="AJ4" s="92" t="s">
        <v>184</v>
      </c>
    </row>
    <row r="5" spans="1:36" ht="13.5" thickBot="1" x14ac:dyDescent="0.25">
      <c r="A5" s="74" t="s">
        <v>1</v>
      </c>
      <c r="B5" s="90">
        <f>B44*GDPDef</f>
        <v>2.3400536598938375</v>
      </c>
      <c r="C5" s="93">
        <v>1.75</v>
      </c>
      <c r="E5" s="168"/>
      <c r="AJ5" s="92" t="s">
        <v>185</v>
      </c>
    </row>
    <row r="6" spans="1:36" x14ac:dyDescent="0.2">
      <c r="A6" s="74" t="s">
        <v>2</v>
      </c>
      <c r="B6" s="75">
        <f>B40*GDPDef</f>
        <v>1.5354170116338597</v>
      </c>
      <c r="C6" s="94">
        <v>1.75</v>
      </c>
      <c r="E6" s="168"/>
    </row>
    <row r="7" spans="1:36" x14ac:dyDescent="0.2">
      <c r="A7" s="74" t="s">
        <v>3</v>
      </c>
      <c r="B7" s="75">
        <f>B42*GDPDef</f>
        <v>1.3054036266345672</v>
      </c>
      <c r="C7" s="94">
        <v>1.75</v>
      </c>
      <c r="E7" s="168"/>
    </row>
    <row r="8" spans="1:36" x14ac:dyDescent="0.2">
      <c r="A8" s="74" t="s">
        <v>182</v>
      </c>
      <c r="B8" s="75">
        <f>B39*GDPDef</f>
        <v>1.3219348843042396</v>
      </c>
      <c r="C8" s="94">
        <v>1.75</v>
      </c>
      <c r="E8" s="168"/>
    </row>
    <row r="9" spans="1:36" x14ac:dyDescent="0.2">
      <c r="A9" s="226" t="s">
        <v>215</v>
      </c>
      <c r="B9" s="75">
        <f>B46*GDPDef</f>
        <v>1.4208374888392918</v>
      </c>
      <c r="C9" s="94">
        <v>1.75</v>
      </c>
      <c r="E9" s="168"/>
    </row>
    <row r="10" spans="1:36" x14ac:dyDescent="0.2">
      <c r="A10" s="74" t="s">
        <v>183</v>
      </c>
      <c r="B10" s="75">
        <f>B47*GDPDef</f>
        <v>1.6928470646395559</v>
      </c>
      <c r="C10" s="94">
        <v>1.75</v>
      </c>
      <c r="E10" s="168"/>
    </row>
    <row r="11" spans="1:36" ht="13.5" thickBot="1" x14ac:dyDescent="0.25"/>
    <row r="12" spans="1:36" ht="13.5" customHeight="1" thickBot="1" x14ac:dyDescent="0.25">
      <c r="B12" s="325" t="s">
        <v>186</v>
      </c>
      <c r="C12" s="326"/>
      <c r="D12" s="326"/>
      <c r="E12" s="326"/>
      <c r="F12" s="326"/>
      <c r="G12" s="326"/>
      <c r="H12" s="326"/>
      <c r="I12" s="326"/>
      <c r="J12" s="326"/>
      <c r="K12" s="326"/>
      <c r="L12" s="326"/>
      <c r="M12" s="326"/>
      <c r="N12" s="326"/>
      <c r="O12" s="326"/>
      <c r="P12" s="378" t="s">
        <v>219</v>
      </c>
      <c r="Q12" s="386"/>
      <c r="R12" s="325" t="s">
        <v>250</v>
      </c>
      <c r="S12" s="326"/>
      <c r="T12" s="326"/>
      <c r="U12" s="326"/>
      <c r="V12" s="326"/>
      <c r="W12" s="326"/>
      <c r="X12" s="326"/>
      <c r="Y12" s="326"/>
      <c r="Z12" s="326"/>
      <c r="AA12" s="326"/>
      <c r="AB12" s="326"/>
      <c r="AC12" s="326"/>
      <c r="AD12" s="326"/>
      <c r="AE12" s="327"/>
      <c r="AF12" s="378" t="s">
        <v>219</v>
      </c>
      <c r="AG12" s="331" t="s">
        <v>220</v>
      </c>
    </row>
    <row r="13" spans="1:36" ht="34.5" customHeight="1" thickBot="1" x14ac:dyDescent="0.25">
      <c r="A13" s="224" t="s">
        <v>170</v>
      </c>
      <c r="B13" s="222">
        <v>2010</v>
      </c>
      <c r="C13" s="154">
        <v>2011</v>
      </c>
      <c r="D13" s="154">
        <v>2012</v>
      </c>
      <c r="E13" s="154">
        <v>2013</v>
      </c>
      <c r="F13" s="154">
        <v>2014</v>
      </c>
      <c r="G13" s="154">
        <v>2015</v>
      </c>
      <c r="H13" s="154">
        <v>2016</v>
      </c>
      <c r="I13" s="154">
        <v>2017</v>
      </c>
      <c r="J13" s="154">
        <v>2018</v>
      </c>
      <c r="K13" s="154">
        <v>2019</v>
      </c>
      <c r="L13" s="154">
        <v>2020</v>
      </c>
      <c r="M13" s="154">
        <v>2021</v>
      </c>
      <c r="N13" s="154">
        <v>2022</v>
      </c>
      <c r="O13" s="218">
        <v>2023</v>
      </c>
      <c r="P13" s="379"/>
      <c r="Q13" s="387"/>
      <c r="R13" s="153">
        <v>2010</v>
      </c>
      <c r="S13" s="154">
        <v>2011</v>
      </c>
      <c r="T13" s="154">
        <v>2012</v>
      </c>
      <c r="U13" s="154">
        <v>2013</v>
      </c>
      <c r="V13" s="154">
        <v>2014</v>
      </c>
      <c r="W13" s="154">
        <v>2015</v>
      </c>
      <c r="X13" s="154">
        <v>2016</v>
      </c>
      <c r="Y13" s="154">
        <v>2017</v>
      </c>
      <c r="Z13" s="154">
        <v>2018</v>
      </c>
      <c r="AA13" s="154">
        <v>2019</v>
      </c>
      <c r="AB13" s="154">
        <v>2020</v>
      </c>
      <c r="AC13" s="154">
        <v>2021</v>
      </c>
      <c r="AD13" s="154">
        <v>2022</v>
      </c>
      <c r="AE13" s="218">
        <v>2023</v>
      </c>
      <c r="AF13" s="379"/>
      <c r="AG13" s="332"/>
    </row>
    <row r="14" spans="1:36" ht="15" customHeight="1" thickBot="1" x14ac:dyDescent="0.25">
      <c r="A14" s="225" t="s">
        <v>183</v>
      </c>
      <c r="B14" s="223">
        <f>'Target Calculator'!B8</f>
        <v>105.831512351409</v>
      </c>
      <c r="C14" s="46">
        <f>'Target Calculator'!C8</f>
        <v>116.41466358654989</v>
      </c>
      <c r="D14" s="46">
        <f>'Target Calculator'!D8</f>
        <v>126.9978148216908</v>
      </c>
      <c r="E14" s="46">
        <f>'Target Calculator'!E8</f>
        <v>137.5809660568317</v>
      </c>
      <c r="F14" s="46">
        <f>'Target Calculator'!F8</f>
        <v>148.16411729197259</v>
      </c>
      <c r="G14" s="46">
        <f>'Target Calculator'!G8</f>
        <v>153.45569290954305</v>
      </c>
      <c r="H14" s="46">
        <f>'Target Calculator'!H8</f>
        <v>169.33041976225439</v>
      </c>
      <c r="I14" s="46">
        <f>'Target Calculator'!I8</f>
        <v>179.91357099739528</v>
      </c>
      <c r="J14" s="46">
        <f>'Target Calculator'!J8</f>
        <v>185.20514661496574</v>
      </c>
      <c r="K14" s="46">
        <f>'Target Calculator'!K8</f>
        <v>190.4967222325362</v>
      </c>
      <c r="L14" s="46">
        <f>'Target Calculator'!L8</f>
        <v>193.14251004132143</v>
      </c>
      <c r="M14" s="46">
        <f>'Target Calculator'!M8</f>
        <v>193.14251004132143</v>
      </c>
      <c r="N14" s="46">
        <f>'Target Calculator'!N8</f>
        <v>193.14251004132143</v>
      </c>
      <c r="O14" s="46">
        <f>'Target Calculator'!O8</f>
        <v>190.4967222325362</v>
      </c>
      <c r="P14" s="46">
        <f>SUM(B14:O14)</f>
        <v>2283.3148789816491</v>
      </c>
      <c r="Q14" s="387"/>
      <c r="R14" s="82">
        <f t="shared" ref="R14:AE14" si="0">IF($AJ$2=1,$B$10,$C$10)*B14</f>
        <v>179.15656503044764</v>
      </c>
      <c r="S14" s="83">
        <f t="shared" si="0"/>
        <v>197.07222153349238</v>
      </c>
      <c r="T14" s="83">
        <f t="shared" si="0"/>
        <v>214.98787803653715</v>
      </c>
      <c r="U14" s="83">
        <f t="shared" si="0"/>
        <v>232.90353453958193</v>
      </c>
      <c r="V14" s="83">
        <f t="shared" si="0"/>
        <v>250.81919104262667</v>
      </c>
      <c r="W14" s="83">
        <f t="shared" si="0"/>
        <v>259.77701929414906</v>
      </c>
      <c r="X14" s="83">
        <f t="shared" si="0"/>
        <v>286.65050404871619</v>
      </c>
      <c r="Y14" s="83">
        <f t="shared" si="0"/>
        <v>304.56616055176096</v>
      </c>
      <c r="Z14" s="83">
        <f t="shared" si="0"/>
        <v>313.52398880328332</v>
      </c>
      <c r="AA14" s="83">
        <f t="shared" si="0"/>
        <v>322.48181705480573</v>
      </c>
      <c r="AB14" s="83">
        <f t="shared" si="0"/>
        <v>326.96073118056694</v>
      </c>
      <c r="AC14" s="83">
        <f t="shared" si="0"/>
        <v>326.96073118056694</v>
      </c>
      <c r="AD14" s="83">
        <f t="shared" si="0"/>
        <v>326.96073118056694</v>
      </c>
      <c r="AE14" s="83">
        <f t="shared" si="0"/>
        <v>322.48181705480573</v>
      </c>
      <c r="AF14" s="84">
        <f>SUM(R14:AE14)</f>
        <v>3865.3028905319079</v>
      </c>
      <c r="AG14" s="139">
        <f>AVERAGE(R14:AE14)</f>
        <v>276.09306360942202</v>
      </c>
    </row>
    <row r="15" spans="1:36" ht="13.5" thickBot="1" x14ac:dyDescent="0.25">
      <c r="B15" s="132"/>
      <c r="C15" s="133"/>
      <c r="D15" s="133"/>
      <c r="E15" s="133"/>
      <c r="F15" s="133"/>
      <c r="G15" s="133"/>
      <c r="H15" s="133"/>
      <c r="I15" s="133"/>
      <c r="J15" s="133"/>
      <c r="K15" s="133"/>
      <c r="L15" s="133"/>
      <c r="M15" s="133"/>
      <c r="N15" s="133"/>
      <c r="O15" s="133"/>
      <c r="P15" s="134"/>
      <c r="Q15" s="387"/>
      <c r="R15" s="132"/>
      <c r="S15" s="133"/>
      <c r="T15" s="133"/>
      <c r="U15" s="133"/>
      <c r="V15" s="133"/>
      <c r="W15" s="133"/>
      <c r="X15" s="133"/>
      <c r="Y15" s="133"/>
      <c r="Z15" s="133"/>
      <c r="AA15" s="133"/>
      <c r="AB15" s="133"/>
      <c r="AC15" s="133"/>
      <c r="AD15" s="133"/>
      <c r="AE15" s="133"/>
      <c r="AF15" s="135"/>
      <c r="AG15" s="136"/>
    </row>
    <row r="16" spans="1:36" ht="25.5" customHeight="1" thickBot="1" x14ac:dyDescent="0.25">
      <c r="B16" s="325" t="s">
        <v>187</v>
      </c>
      <c r="C16" s="326"/>
      <c r="D16" s="326"/>
      <c r="E16" s="326"/>
      <c r="F16" s="326"/>
      <c r="G16" s="326"/>
      <c r="H16" s="326"/>
      <c r="I16" s="326"/>
      <c r="J16" s="326"/>
      <c r="K16" s="326"/>
      <c r="L16" s="326"/>
      <c r="M16" s="326"/>
      <c r="N16" s="326"/>
      <c r="O16" s="326"/>
      <c r="P16" s="380" t="s">
        <v>219</v>
      </c>
      <c r="Q16" s="387"/>
      <c r="R16" s="325" t="s">
        <v>250</v>
      </c>
      <c r="S16" s="326"/>
      <c r="T16" s="326"/>
      <c r="U16" s="326"/>
      <c r="V16" s="326"/>
      <c r="W16" s="326"/>
      <c r="X16" s="326"/>
      <c r="Y16" s="326"/>
      <c r="Z16" s="326"/>
      <c r="AA16" s="326"/>
      <c r="AB16" s="326"/>
      <c r="AC16" s="326"/>
      <c r="AD16" s="326"/>
      <c r="AE16" s="326"/>
      <c r="AF16" s="380" t="s">
        <v>219</v>
      </c>
      <c r="AG16" s="331" t="s">
        <v>220</v>
      </c>
    </row>
    <row r="17" spans="1:33" ht="13.5" thickBot="1" x14ac:dyDescent="0.25">
      <c r="A17" s="224" t="s">
        <v>170</v>
      </c>
      <c r="B17" s="76">
        <v>2010</v>
      </c>
      <c r="C17" s="77">
        <v>2011</v>
      </c>
      <c r="D17" s="77">
        <v>2012</v>
      </c>
      <c r="E17" s="77">
        <v>2013</v>
      </c>
      <c r="F17" s="77">
        <v>2014</v>
      </c>
      <c r="G17" s="77">
        <v>2015</v>
      </c>
      <c r="H17" s="77">
        <v>2016</v>
      </c>
      <c r="I17" s="77">
        <v>2017</v>
      </c>
      <c r="J17" s="77">
        <v>2018</v>
      </c>
      <c r="K17" s="77">
        <v>2019</v>
      </c>
      <c r="L17" s="77">
        <v>2020</v>
      </c>
      <c r="M17" s="77">
        <v>2021</v>
      </c>
      <c r="N17" s="77">
        <v>2022</v>
      </c>
      <c r="O17" s="128">
        <v>2023</v>
      </c>
      <c r="P17" s="381"/>
      <c r="Q17" s="387"/>
      <c r="R17" s="76">
        <v>2010</v>
      </c>
      <c r="S17" s="77">
        <v>2011</v>
      </c>
      <c r="T17" s="77">
        <v>2012</v>
      </c>
      <c r="U17" s="77">
        <v>2013</v>
      </c>
      <c r="V17" s="77">
        <v>2014</v>
      </c>
      <c r="W17" s="77">
        <v>2015</v>
      </c>
      <c r="X17" s="77">
        <v>2016</v>
      </c>
      <c r="Y17" s="77">
        <v>2017</v>
      </c>
      <c r="Z17" s="77">
        <v>2018</v>
      </c>
      <c r="AA17" s="77">
        <v>2019</v>
      </c>
      <c r="AB17" s="77">
        <v>2020</v>
      </c>
      <c r="AC17" s="77">
        <v>2021</v>
      </c>
      <c r="AD17" s="77">
        <v>2022</v>
      </c>
      <c r="AE17" s="128">
        <v>2023</v>
      </c>
      <c r="AF17" s="385"/>
      <c r="AG17" s="361"/>
    </row>
    <row r="18" spans="1:33" x14ac:dyDescent="0.2">
      <c r="A18" s="263" t="s">
        <v>1</v>
      </c>
      <c r="B18" s="59">
        <f>'Target Calculator'!B17</f>
        <v>61.456487354442643</v>
      </c>
      <c r="C18" s="60">
        <f>'Target Calculator'!C17</f>
        <v>64.887825827158295</v>
      </c>
      <c r="D18" s="60">
        <f>'Target Calculator'!D17</f>
        <v>69.032344379923074</v>
      </c>
      <c r="E18" s="60">
        <f>'Target Calculator'!E17</f>
        <v>73.797818193392757</v>
      </c>
      <c r="F18" s="60">
        <f>'Target Calculator'!F17</f>
        <v>79.763025437546503</v>
      </c>
      <c r="G18" s="60">
        <f>'Target Calculator'!G17</f>
        <v>67.873618989434263</v>
      </c>
      <c r="H18" s="60">
        <f>'Target Calculator'!H17</f>
        <v>79.998232297821815</v>
      </c>
      <c r="I18" s="60">
        <f>'Target Calculator'!I17</f>
        <v>88.555855583358095</v>
      </c>
      <c r="J18" s="60">
        <f>'Target Calculator'!J17</f>
        <v>98.834243722827324</v>
      </c>
      <c r="K18" s="60">
        <f>'Target Calculator'!K17</f>
        <v>103.30159090188552</v>
      </c>
      <c r="L18" s="60">
        <f>'Target Calculator'!L17</f>
        <v>110.97057975484054</v>
      </c>
      <c r="M18" s="60">
        <f>'Target Calculator'!M17</f>
        <v>112.87729695995741</v>
      </c>
      <c r="N18" s="60">
        <f>'Target Calculator'!N17</f>
        <v>120.57265146201982</v>
      </c>
      <c r="O18" s="267">
        <f>'Target Calculator'!O17</f>
        <v>120.64714342801341</v>
      </c>
      <c r="P18" s="265">
        <f>SUM(B18:O18)</f>
        <v>1252.5687142926215</v>
      </c>
      <c r="Q18" s="387"/>
      <c r="R18" s="87">
        <f t="shared" ref="R18:AE18" si="1">IF($AJ$2=1,$B$5,$C$5)*B18</f>
        <v>143.81147815798286</v>
      </c>
      <c r="S18" s="85">
        <f t="shared" si="1"/>
        <v>151.84099430939565</v>
      </c>
      <c r="T18" s="85">
        <f t="shared" si="1"/>
        <v>161.53939011729076</v>
      </c>
      <c r="U18" s="85">
        <f t="shared" si="1"/>
        <v>172.69085455562876</v>
      </c>
      <c r="V18" s="85">
        <f t="shared" si="1"/>
        <v>186.64975959933597</v>
      </c>
      <c r="W18" s="85">
        <f t="shared" si="1"/>
        <v>158.82791052646553</v>
      </c>
      <c r="X18" s="85">
        <f t="shared" si="1"/>
        <v>187.20015627355534</v>
      </c>
      <c r="Y18" s="85">
        <f t="shared" si="1"/>
        <v>207.22545396286725</v>
      </c>
      <c r="Z18" s="85">
        <f t="shared" si="1"/>
        <v>231.2774337464416</v>
      </c>
      <c r="AA18" s="85">
        <f t="shared" si="1"/>
        <v>241.73126586281316</v>
      </c>
      <c r="AB18" s="85">
        <f t="shared" si="1"/>
        <v>259.67711129585558</v>
      </c>
      <c r="AC18" s="85">
        <f t="shared" si="1"/>
        <v>264.13893187007187</v>
      </c>
      <c r="AD18" s="85">
        <f t="shared" si="1"/>
        <v>282.14647433680352</v>
      </c>
      <c r="AE18" s="137">
        <f t="shared" si="1"/>
        <v>282.32078953445949</v>
      </c>
      <c r="AF18" s="239">
        <f>SUM(R18:AE18)</f>
        <v>2931.078004148967</v>
      </c>
      <c r="AG18" s="231">
        <f>AVERAGE(R18:AE18)</f>
        <v>209.36271458206906</v>
      </c>
    </row>
    <row r="19" spans="1:33" x14ac:dyDescent="0.2">
      <c r="A19" s="263" t="s">
        <v>2</v>
      </c>
      <c r="B19" s="79">
        <f>'Target Calculator'!B18</f>
        <v>23.410518493976546</v>
      </c>
      <c r="C19" s="50">
        <f>'Target Calculator'!C18</f>
        <v>27.736356219037429</v>
      </c>
      <c r="D19" s="50">
        <f>'Target Calculator'!D18</f>
        <v>31.630809639747834</v>
      </c>
      <c r="E19" s="50">
        <f>'Target Calculator'!E18</f>
        <v>35.279913126856421</v>
      </c>
      <c r="F19" s="50">
        <f>'Target Calculator'!F18</f>
        <v>38.039880650252442</v>
      </c>
      <c r="G19" s="50">
        <f>'Target Calculator'!G18</f>
        <v>43.015002795993368</v>
      </c>
      <c r="H19" s="50">
        <f>'Target Calculator'!H18</f>
        <v>46.075618723455172</v>
      </c>
      <c r="I19" s="50">
        <f>'Target Calculator'!I18</f>
        <v>47.96441014472385</v>
      </c>
      <c r="J19" s="50">
        <f>'Target Calculator'!J18</f>
        <v>42.752046055193105</v>
      </c>
      <c r="K19" s="50">
        <f>'Target Calculator'!K18</f>
        <v>43.394367772731194</v>
      </c>
      <c r="L19" s="50">
        <f>'Target Calculator'!L18</f>
        <v>45.635241037446669</v>
      </c>
      <c r="M19" s="50">
        <f>'Target Calculator'!M18</f>
        <v>43.254771578688285</v>
      </c>
      <c r="N19" s="50">
        <f>'Target Calculator'!N18</f>
        <v>45.082666799923146</v>
      </c>
      <c r="O19" s="80">
        <f>'Target Calculator'!O18</f>
        <v>42.46925855422036</v>
      </c>
      <c r="P19" s="265">
        <f>SUM(B19:O19)</f>
        <v>555.74086159224589</v>
      </c>
      <c r="Q19" s="387"/>
      <c r="R19" s="88">
        <f t="shared" ref="R19:AE19" si="2">IF($AJ$2=1,$B$6,$C$6)*B19</f>
        <v>35.944908346820675</v>
      </c>
      <c r="S19" s="86">
        <f t="shared" si="2"/>
        <v>42.58687317944667</v>
      </c>
      <c r="T19" s="86">
        <f t="shared" si="2"/>
        <v>48.566483212621101</v>
      </c>
      <c r="U19" s="86">
        <f t="shared" si="2"/>
        <v>54.169378783940061</v>
      </c>
      <c r="V19" s="86">
        <f t="shared" si="2"/>
        <v>58.40707987091929</v>
      </c>
      <c r="W19" s="86">
        <f t="shared" si="2"/>
        <v>66.045967048446258</v>
      </c>
      <c r="X19" s="86">
        <f t="shared" si="2"/>
        <v>70.745288809548654</v>
      </c>
      <c r="Y19" s="86">
        <f t="shared" si="2"/>
        <v>73.645371289192681</v>
      </c>
      <c r="Z19" s="86">
        <f t="shared" si="2"/>
        <v>65.642218795297737</v>
      </c>
      <c r="AA19" s="86">
        <f t="shared" si="2"/>
        <v>66.628450487347592</v>
      </c>
      <c r="AB19" s="86">
        <f t="shared" si="2"/>
        <v>70.069125418907248</v>
      </c>
      <c r="AC19" s="86">
        <f t="shared" si="2"/>
        <v>66.414112116254771</v>
      </c>
      <c r="AD19" s="86">
        <f t="shared" si="2"/>
        <v>69.22069353442302</v>
      </c>
      <c r="AE19" s="138">
        <f t="shared" si="2"/>
        <v>65.208022055626756</v>
      </c>
      <c r="AF19" s="240">
        <f>SUM(R19:AE19)</f>
        <v>853.29397294879243</v>
      </c>
      <c r="AG19" s="231">
        <f>AVERAGE(R19:AE19)</f>
        <v>60.949569496342313</v>
      </c>
    </row>
    <row r="20" spans="1:33" x14ac:dyDescent="0.2">
      <c r="A20" s="263" t="s">
        <v>249</v>
      </c>
      <c r="B20" s="79">
        <f>'Target Calculator'!B19</f>
        <v>19.032580948384773</v>
      </c>
      <c r="C20" s="50">
        <f>'Target Calculator'!C19</f>
        <v>19.919331443060418</v>
      </c>
      <c r="D20" s="50">
        <f>'Target Calculator'!D19</f>
        <v>20.733342583762411</v>
      </c>
      <c r="E20" s="50">
        <f>'Target Calculator'!E19</f>
        <v>21.403704699634634</v>
      </c>
      <c r="F20" s="50">
        <f>'Target Calculator'!F19</f>
        <v>21.978300798953683</v>
      </c>
      <c r="G20" s="50">
        <f>'Target Calculator'!G19</f>
        <v>29.543816106654514</v>
      </c>
      <c r="H20" s="50">
        <f>'Target Calculator'!H19</f>
        <v>29.783231148037455</v>
      </c>
      <c r="I20" s="50">
        <f>'Target Calculator'!I19</f>
        <v>29.591699114931103</v>
      </c>
      <c r="J20" s="50">
        <f>'Target Calculator'!J19</f>
        <v>29.304401065271581</v>
      </c>
      <c r="K20" s="50">
        <f>'Target Calculator'!K19</f>
        <v>29.064986023888643</v>
      </c>
      <c r="L20" s="50">
        <f>'Target Calculator'!L19</f>
        <v>19.34473534374137</v>
      </c>
      <c r="M20" s="50">
        <f>'Target Calculator'!M19</f>
        <v>19.536267376847718</v>
      </c>
      <c r="N20" s="50">
        <f>'Target Calculator'!N19</f>
        <v>18.195543145103269</v>
      </c>
      <c r="O20" s="80">
        <f>'Target Calculator'!O19</f>
        <v>18.051894120273506</v>
      </c>
      <c r="P20" s="265">
        <f>SUM(B20:O20)</f>
        <v>325.48383391854509</v>
      </c>
      <c r="Q20" s="387"/>
      <c r="R20" s="88">
        <f t="shared" ref="R20:AE20" si="3">IF($AJ$2=1,$B$7,$C$7)*B20</f>
        <v>24.845200194237453</v>
      </c>
      <c r="S20" s="86">
        <f t="shared" si="3"/>
        <v>26.002767505907038</v>
      </c>
      <c r="T20" s="86">
        <f t="shared" si="3"/>
        <v>27.065380601100358</v>
      </c>
      <c r="U20" s="86">
        <f t="shared" si="3"/>
        <v>27.940473738318381</v>
      </c>
      <c r="V20" s="86">
        <f t="shared" si="3"/>
        <v>28.690553570219542</v>
      </c>
      <c r="W20" s="86">
        <f t="shared" si="3"/>
        <v>38.566604690251545</v>
      </c>
      <c r="X20" s="86">
        <f t="shared" si="3"/>
        <v>38.879137953543697</v>
      </c>
      <c r="Y20" s="86">
        <f t="shared" si="3"/>
        <v>38.629111342909972</v>
      </c>
      <c r="Z20" s="86">
        <f t="shared" si="3"/>
        <v>38.254071426959399</v>
      </c>
      <c r="AA20" s="86">
        <f t="shared" si="3"/>
        <v>37.941538163667246</v>
      </c>
      <c r="AB20" s="86">
        <f t="shared" si="3"/>
        <v>25.252687674005877</v>
      </c>
      <c r="AC20" s="86">
        <f t="shared" si="3"/>
        <v>25.502714284639595</v>
      </c>
      <c r="AD20" s="86">
        <f t="shared" si="3"/>
        <v>23.752528010203548</v>
      </c>
      <c r="AE20" s="138">
        <f t="shared" si="3"/>
        <v>23.565008052228254</v>
      </c>
      <c r="AF20" s="240">
        <f>SUM(R20:AE20)</f>
        <v>424.88777720819195</v>
      </c>
      <c r="AG20" s="231">
        <f>AVERAGE(R20:AE20)</f>
        <v>30.349126943442283</v>
      </c>
    </row>
    <row r="21" spans="1:33" x14ac:dyDescent="0.2">
      <c r="A21" s="264" t="s">
        <v>215</v>
      </c>
      <c r="B21" s="79">
        <f>'Target Calculator'!B20</f>
        <v>2.4697005684349045</v>
      </c>
      <c r="C21" s="50">
        <f>'Target Calculator'!C20</f>
        <v>4.6452563176209747</v>
      </c>
      <c r="D21" s="50">
        <f>'Target Calculator'!D20</f>
        <v>6.6126589933192701</v>
      </c>
      <c r="E21" s="50">
        <f>'Target Calculator'!E20</f>
        <v>8.3614613717177555</v>
      </c>
      <c r="F21" s="50">
        <f>'Target Calculator'!F20</f>
        <v>9.8916634528164291</v>
      </c>
      <c r="G21" s="50">
        <f>'Target Calculator'!G20</f>
        <v>13.771818729888066</v>
      </c>
      <c r="H21" s="50">
        <f>'Target Calculator'!H20</f>
        <v>14.64621991908731</v>
      </c>
      <c r="I21" s="50">
        <f>'Target Calculator'!I20</f>
        <v>15.302020810986741</v>
      </c>
      <c r="J21" s="50">
        <f>'Target Calculator'!J20</f>
        <v>15.903171628561221</v>
      </c>
      <c r="K21" s="50">
        <f>'Target Calculator'!K20</f>
        <v>16.504322446135699</v>
      </c>
      <c r="L21" s="50">
        <f>'Target Calculator'!L20</f>
        <v>20.384477723207336</v>
      </c>
      <c r="M21" s="50">
        <f>'Target Calculator'!M20</f>
        <v>20.603078020507148</v>
      </c>
      <c r="N21" s="50">
        <f>'Target Calculator'!N20</f>
        <v>12.569517094739108</v>
      </c>
      <c r="O21" s="80">
        <f>'Target Calculator'!O20</f>
        <v>12.514867020414155</v>
      </c>
      <c r="P21" s="265">
        <f>SUM(B21:O21)</f>
        <v>174.18023409743611</v>
      </c>
      <c r="Q21" s="387"/>
      <c r="R21" s="88">
        <f>IF($AJ$2=1,$B$9,$C$9)*B21</f>
        <v>3.5090431538400213</v>
      </c>
      <c r="S21" s="88">
        <f t="shared" ref="S21:AE21" si="4">IF($AJ$2=1,$B$9,$C$9)*C21</f>
        <v>6.6001543213434415</v>
      </c>
      <c r="T21" s="88">
        <f t="shared" si="4"/>
        <v>9.3955137986183104</v>
      </c>
      <c r="U21" s="88">
        <f t="shared" si="4"/>
        <v>11.880277778418197</v>
      </c>
      <c r="V21" s="88">
        <f t="shared" si="4"/>
        <v>14.054446260743093</v>
      </c>
      <c r="W21" s="88">
        <f t="shared" si="4"/>
        <v>19.567516340924087</v>
      </c>
      <c r="X21" s="88">
        <f t="shared" si="4"/>
        <v>20.80989833082403</v>
      </c>
      <c r="Y21" s="88">
        <f t="shared" si="4"/>
        <v>21.741684823248985</v>
      </c>
      <c r="Z21" s="88">
        <f t="shared" si="4"/>
        <v>22.595822441305195</v>
      </c>
      <c r="AA21" s="88">
        <f t="shared" si="4"/>
        <v>23.449960059361405</v>
      </c>
      <c r="AB21" s="88">
        <f t="shared" si="4"/>
        <v>28.963030139542397</v>
      </c>
      <c r="AC21" s="88">
        <f t="shared" si="4"/>
        <v>29.273625637017386</v>
      </c>
      <c r="AD21" s="88">
        <f t="shared" si="4"/>
        <v>17.859241104811666</v>
      </c>
      <c r="AE21" s="237">
        <f t="shared" si="4"/>
        <v>17.781592230442918</v>
      </c>
      <c r="AF21" s="240">
        <f>SUM(R21:AE21)</f>
        <v>247.48180642044116</v>
      </c>
      <c r="AG21" s="221">
        <f>AVERAGE(R21:AE21)</f>
        <v>17.677271887174367</v>
      </c>
    </row>
    <row r="22" spans="1:33" ht="13.5" thickBot="1" x14ac:dyDescent="0.25">
      <c r="A22" s="263" t="s">
        <v>183</v>
      </c>
      <c r="B22" s="45">
        <f>'Target Calculator'!B21</f>
        <v>106.36928736523886</v>
      </c>
      <c r="C22" s="46">
        <f>'Target Calculator'!C21</f>
        <v>117.18876980687712</v>
      </c>
      <c r="D22" s="46">
        <f>'Target Calculator'!D21</f>
        <v>128.00915559675258</v>
      </c>
      <c r="E22" s="46">
        <f>'Target Calculator'!E21</f>
        <v>138.84289739160155</v>
      </c>
      <c r="F22" s="46">
        <f>'Target Calculator'!F21</f>
        <v>149.67287033956904</v>
      </c>
      <c r="G22" s="46">
        <f>'Target Calculator'!G21</f>
        <v>154.20425662197019</v>
      </c>
      <c r="H22" s="46">
        <f>'Target Calculator'!H21</f>
        <v>170.50330208840177</v>
      </c>
      <c r="I22" s="46">
        <f>'Target Calculator'!I21</f>
        <v>181.41398565399976</v>
      </c>
      <c r="J22" s="46">
        <f>'Target Calculator'!J21</f>
        <v>186.79386247185323</v>
      </c>
      <c r="K22" s="46">
        <f>'Target Calculator'!K21</f>
        <v>192.26526714464106</v>
      </c>
      <c r="L22" s="46">
        <f>'Target Calculator'!L21</f>
        <v>196.33503385923592</v>
      </c>
      <c r="M22" s="46">
        <f>'Target Calculator'!M21</f>
        <v>196.27141393600056</v>
      </c>
      <c r="N22" s="46">
        <f>'Target Calculator'!N21</f>
        <v>196.42037850178534</v>
      </c>
      <c r="O22" s="81">
        <f>'Target Calculator'!O21</f>
        <v>193.68316312292143</v>
      </c>
      <c r="P22" s="266">
        <f>SUM(B22:O22)</f>
        <v>2307.9736439008489</v>
      </c>
      <c r="Q22" s="387"/>
      <c r="R22" s="82">
        <f>SUM(R18:R21)</f>
        <v>208.11062985288103</v>
      </c>
      <c r="S22" s="83">
        <f t="shared" ref="S22:AE22" si="5">SUM(S18:S21)</f>
        <v>227.03078931609278</v>
      </c>
      <c r="T22" s="83">
        <f t="shared" si="5"/>
        <v>246.56676772963056</v>
      </c>
      <c r="U22" s="83">
        <f t="shared" si="5"/>
        <v>266.68098485630543</v>
      </c>
      <c r="V22" s="83">
        <f t="shared" si="5"/>
        <v>287.80183930121785</v>
      </c>
      <c r="W22" s="83">
        <f t="shared" si="5"/>
        <v>283.00799860608743</v>
      </c>
      <c r="X22" s="83">
        <f t="shared" si="5"/>
        <v>317.63448136747172</v>
      </c>
      <c r="Y22" s="83">
        <f t="shared" si="5"/>
        <v>341.24162141821893</v>
      </c>
      <c r="Z22" s="83">
        <f t="shared" si="5"/>
        <v>357.7695464100039</v>
      </c>
      <c r="AA22" s="83">
        <f t="shared" si="5"/>
        <v>369.75121457318937</v>
      </c>
      <c r="AB22" s="83">
        <f t="shared" si="5"/>
        <v>383.96195452831114</v>
      </c>
      <c r="AC22" s="83">
        <f t="shared" si="5"/>
        <v>385.32938390798364</v>
      </c>
      <c r="AD22" s="83">
        <f t="shared" si="5"/>
        <v>392.97893698624176</v>
      </c>
      <c r="AE22" s="238">
        <f t="shared" si="5"/>
        <v>388.87541187275747</v>
      </c>
      <c r="AF22" s="241">
        <f>SUM(R22:AE22)</f>
        <v>4456.7415607263938</v>
      </c>
      <c r="AG22" s="232">
        <f>AVERAGE(R22:AE22)</f>
        <v>318.33868290902814</v>
      </c>
    </row>
    <row r="23" spans="1:33" ht="13.5" customHeight="1" thickBot="1" x14ac:dyDescent="0.25">
      <c r="A23" s="230"/>
      <c r="B23" s="382"/>
      <c r="C23" s="383"/>
      <c r="D23" s="383"/>
      <c r="E23" s="383"/>
      <c r="F23" s="383"/>
      <c r="G23" s="383"/>
      <c r="H23" s="383"/>
      <c r="I23" s="383"/>
      <c r="J23" s="383"/>
      <c r="K23" s="383"/>
      <c r="L23" s="383"/>
      <c r="M23" s="383"/>
      <c r="N23" s="383"/>
      <c r="O23" s="383"/>
      <c r="P23" s="384"/>
      <c r="Q23" s="387"/>
      <c r="R23" s="389"/>
      <c r="S23" s="390"/>
      <c r="T23" s="390"/>
      <c r="U23" s="390"/>
      <c r="V23" s="390"/>
      <c r="W23" s="390"/>
      <c r="X23" s="390"/>
      <c r="Y23" s="390"/>
      <c r="Z23" s="390"/>
      <c r="AA23" s="390"/>
      <c r="AB23" s="390"/>
      <c r="AC23" s="390"/>
      <c r="AD23" s="390"/>
      <c r="AE23" s="390"/>
      <c r="AF23" s="390"/>
      <c r="AG23" s="384"/>
    </row>
    <row r="24" spans="1:33" ht="27" customHeight="1" thickBot="1" x14ac:dyDescent="0.25">
      <c r="B24" s="325" t="s">
        <v>188</v>
      </c>
      <c r="C24" s="326"/>
      <c r="D24" s="326"/>
      <c r="E24" s="326"/>
      <c r="F24" s="326"/>
      <c r="G24" s="326"/>
      <c r="H24" s="326"/>
      <c r="I24" s="326"/>
      <c r="J24" s="326"/>
      <c r="K24" s="326"/>
      <c r="L24" s="326"/>
      <c r="M24" s="326"/>
      <c r="N24" s="326"/>
      <c r="O24" s="326"/>
      <c r="P24" s="378" t="s">
        <v>219</v>
      </c>
      <c r="Q24" s="387"/>
      <c r="R24" s="325" t="s">
        <v>250</v>
      </c>
      <c r="S24" s="326"/>
      <c r="T24" s="326"/>
      <c r="U24" s="326"/>
      <c r="V24" s="326"/>
      <c r="W24" s="326"/>
      <c r="X24" s="326"/>
      <c r="Y24" s="326"/>
      <c r="Z24" s="326"/>
      <c r="AA24" s="326"/>
      <c r="AB24" s="326"/>
      <c r="AC24" s="326"/>
      <c r="AD24" s="326"/>
      <c r="AE24" s="326"/>
      <c r="AF24" s="380" t="s">
        <v>219</v>
      </c>
      <c r="AG24" s="331" t="s">
        <v>220</v>
      </c>
    </row>
    <row r="25" spans="1:33" ht="13.5" thickBot="1" x14ac:dyDescent="0.25">
      <c r="A25" s="224" t="s">
        <v>170</v>
      </c>
      <c r="B25" s="76">
        <v>2010</v>
      </c>
      <c r="C25" s="77">
        <v>2011</v>
      </c>
      <c r="D25" s="77">
        <v>2012</v>
      </c>
      <c r="E25" s="77">
        <v>2013</v>
      </c>
      <c r="F25" s="77">
        <v>2014</v>
      </c>
      <c r="G25" s="77">
        <v>2015</v>
      </c>
      <c r="H25" s="77">
        <v>2016</v>
      </c>
      <c r="I25" s="77">
        <v>2017</v>
      </c>
      <c r="J25" s="77">
        <v>2018</v>
      </c>
      <c r="K25" s="77">
        <v>2019</v>
      </c>
      <c r="L25" s="77">
        <v>2020</v>
      </c>
      <c r="M25" s="77">
        <v>2021</v>
      </c>
      <c r="N25" s="77">
        <v>2022</v>
      </c>
      <c r="O25" s="128">
        <v>2023</v>
      </c>
      <c r="P25" s="379"/>
      <c r="Q25" s="387"/>
      <c r="R25" s="76">
        <v>2010</v>
      </c>
      <c r="S25" s="77">
        <v>2011</v>
      </c>
      <c r="T25" s="77">
        <v>2012</v>
      </c>
      <c r="U25" s="77">
        <v>2013</v>
      </c>
      <c r="V25" s="77">
        <v>2014</v>
      </c>
      <c r="W25" s="77">
        <v>2015</v>
      </c>
      <c r="X25" s="77">
        <v>2016</v>
      </c>
      <c r="Y25" s="77">
        <v>2017</v>
      </c>
      <c r="Z25" s="77">
        <v>2018</v>
      </c>
      <c r="AA25" s="77">
        <v>2019</v>
      </c>
      <c r="AB25" s="77">
        <v>2020</v>
      </c>
      <c r="AC25" s="77">
        <v>2021</v>
      </c>
      <c r="AD25" s="77">
        <v>2022</v>
      </c>
      <c r="AE25" s="128">
        <v>2023</v>
      </c>
      <c r="AF25" s="385"/>
      <c r="AG25" s="361"/>
    </row>
    <row r="26" spans="1:33" x14ac:dyDescent="0.2">
      <c r="A26" s="263" t="s">
        <v>1</v>
      </c>
      <c r="B26" s="59">
        <f>'Target Calculator'!B42</f>
        <v>61.456487354442643</v>
      </c>
      <c r="C26" s="60">
        <f>'Target Calculator'!C42</f>
        <v>64.887825827158295</v>
      </c>
      <c r="D26" s="60">
        <f>'Target Calculator'!D42</f>
        <v>69.032344379923074</v>
      </c>
      <c r="E26" s="60">
        <f>'Target Calculator'!E42</f>
        <v>73.797818193392757</v>
      </c>
      <c r="F26" s="60">
        <f>'Target Calculator'!F42</f>
        <v>79.763025437546503</v>
      </c>
      <c r="G26" s="60">
        <f>'Target Calculator'!G42</f>
        <v>67.873618989434263</v>
      </c>
      <c r="H26" s="60">
        <f>'Target Calculator'!H42</f>
        <v>79.998232297821815</v>
      </c>
      <c r="I26" s="60">
        <f>'Target Calculator'!I42</f>
        <v>88.555855583358095</v>
      </c>
      <c r="J26" s="60">
        <f>'Target Calculator'!J42</f>
        <v>98.834243722827324</v>
      </c>
      <c r="K26" s="60">
        <f>'Target Calculator'!K42</f>
        <v>103.30159090188552</v>
      </c>
      <c r="L26" s="60">
        <f>'Target Calculator'!L42</f>
        <v>110.97057975484054</v>
      </c>
      <c r="M26" s="60">
        <f>'Target Calculator'!M42</f>
        <v>112.87729695995741</v>
      </c>
      <c r="N26" s="60">
        <f>'Target Calculator'!N42</f>
        <v>120.57265146201982</v>
      </c>
      <c r="O26" s="267">
        <f>'Target Calculator'!O42</f>
        <v>120.64714342801341</v>
      </c>
      <c r="P26" s="268">
        <f t="shared" ref="P26:P31" si="6">SUM(B26:O26)</f>
        <v>1252.5687142926215</v>
      </c>
      <c r="Q26" s="387"/>
      <c r="R26" s="87">
        <f t="shared" ref="R26:AE26" si="7">IF($AJ$2=1,$B$5,$C$5)*B26</f>
        <v>143.81147815798286</v>
      </c>
      <c r="S26" s="85">
        <f t="shared" si="7"/>
        <v>151.84099430939565</v>
      </c>
      <c r="T26" s="85">
        <f t="shared" si="7"/>
        <v>161.53939011729076</v>
      </c>
      <c r="U26" s="85">
        <f t="shared" si="7"/>
        <v>172.69085455562876</v>
      </c>
      <c r="V26" s="85">
        <f t="shared" si="7"/>
        <v>186.64975959933597</v>
      </c>
      <c r="W26" s="85">
        <f t="shared" si="7"/>
        <v>158.82791052646553</v>
      </c>
      <c r="X26" s="85">
        <f t="shared" si="7"/>
        <v>187.20015627355534</v>
      </c>
      <c r="Y26" s="85">
        <f t="shared" si="7"/>
        <v>207.22545396286725</v>
      </c>
      <c r="Z26" s="85">
        <f t="shared" si="7"/>
        <v>231.2774337464416</v>
      </c>
      <c r="AA26" s="85">
        <f t="shared" si="7"/>
        <v>241.73126586281316</v>
      </c>
      <c r="AB26" s="85">
        <f t="shared" si="7"/>
        <v>259.67711129585558</v>
      </c>
      <c r="AC26" s="85">
        <f t="shared" si="7"/>
        <v>264.13893187007187</v>
      </c>
      <c r="AD26" s="85">
        <f t="shared" si="7"/>
        <v>282.14647433680352</v>
      </c>
      <c r="AE26" s="137">
        <f t="shared" si="7"/>
        <v>282.32078953445949</v>
      </c>
      <c r="AF26" s="239">
        <f>SUM(R26:AE26)</f>
        <v>2931.078004148967</v>
      </c>
      <c r="AG26" s="233">
        <f t="shared" ref="AG26:AG31" si="8">AVERAGE(R26:AA26)</f>
        <v>184.27946971117768</v>
      </c>
    </row>
    <row r="27" spans="1:33" x14ac:dyDescent="0.2">
      <c r="A27" s="263" t="s">
        <v>2</v>
      </c>
      <c r="B27" s="79">
        <f>'Target Calculator'!B43</f>
        <v>23.410518493976546</v>
      </c>
      <c r="C27" s="50">
        <f>'Target Calculator'!C43</f>
        <v>27.736356219037429</v>
      </c>
      <c r="D27" s="50">
        <f>'Target Calculator'!D43</f>
        <v>31.630809639747834</v>
      </c>
      <c r="E27" s="50">
        <f>'Target Calculator'!E43</f>
        <v>35.279913126856421</v>
      </c>
      <c r="F27" s="50">
        <f>'Target Calculator'!F43</f>
        <v>38.039880650252442</v>
      </c>
      <c r="G27" s="50">
        <f>'Target Calculator'!G43</f>
        <v>43.015002795993368</v>
      </c>
      <c r="H27" s="50">
        <f>'Target Calculator'!H43</f>
        <v>46.075618723455172</v>
      </c>
      <c r="I27" s="50">
        <f>'Target Calculator'!I43</f>
        <v>47.96441014472385</v>
      </c>
      <c r="J27" s="50">
        <f>'Target Calculator'!J43</f>
        <v>42.752046055193105</v>
      </c>
      <c r="K27" s="50">
        <f>'Target Calculator'!K43</f>
        <v>43.394367772731194</v>
      </c>
      <c r="L27" s="50">
        <f>'Target Calculator'!L43</f>
        <v>45.635241037446669</v>
      </c>
      <c r="M27" s="50">
        <f>'Target Calculator'!M43</f>
        <v>43.254771578688285</v>
      </c>
      <c r="N27" s="50">
        <f>'Target Calculator'!N43</f>
        <v>45.082666799923146</v>
      </c>
      <c r="O27" s="80">
        <f>'Target Calculator'!O43</f>
        <v>42.46925855422036</v>
      </c>
      <c r="P27" s="265">
        <f t="shared" si="6"/>
        <v>555.74086159224589</v>
      </c>
      <c r="Q27" s="387"/>
      <c r="R27" s="88">
        <f t="shared" ref="R27:AE27" si="9">IF($AJ$2=1,$B$6,$C$6)*B27</f>
        <v>35.944908346820675</v>
      </c>
      <c r="S27" s="86">
        <f t="shared" si="9"/>
        <v>42.58687317944667</v>
      </c>
      <c r="T27" s="86">
        <f t="shared" si="9"/>
        <v>48.566483212621101</v>
      </c>
      <c r="U27" s="86">
        <f t="shared" si="9"/>
        <v>54.169378783940061</v>
      </c>
      <c r="V27" s="86">
        <f t="shared" si="9"/>
        <v>58.40707987091929</v>
      </c>
      <c r="W27" s="86">
        <f t="shared" si="9"/>
        <v>66.045967048446258</v>
      </c>
      <c r="X27" s="86">
        <f t="shared" si="9"/>
        <v>70.745288809548654</v>
      </c>
      <c r="Y27" s="86">
        <f t="shared" si="9"/>
        <v>73.645371289192681</v>
      </c>
      <c r="Z27" s="86">
        <f t="shared" si="9"/>
        <v>65.642218795297737</v>
      </c>
      <c r="AA27" s="86">
        <f t="shared" si="9"/>
        <v>66.628450487347592</v>
      </c>
      <c r="AB27" s="86">
        <f t="shared" si="9"/>
        <v>70.069125418907248</v>
      </c>
      <c r="AC27" s="86">
        <f t="shared" si="9"/>
        <v>66.414112116254771</v>
      </c>
      <c r="AD27" s="86">
        <f t="shared" si="9"/>
        <v>69.22069353442302</v>
      </c>
      <c r="AE27" s="138">
        <f t="shared" si="9"/>
        <v>65.208022055626756</v>
      </c>
      <c r="AF27" s="240">
        <f>SUM(R27:AE27)</f>
        <v>853.29397294879243</v>
      </c>
      <c r="AG27" s="234">
        <f t="shared" si="8"/>
        <v>58.238201982358063</v>
      </c>
    </row>
    <row r="28" spans="1:33" x14ac:dyDescent="0.2">
      <c r="A28" s="263" t="s">
        <v>3</v>
      </c>
      <c r="B28" s="79">
        <f>'Target Calculator'!B44</f>
        <v>17.487873822697605</v>
      </c>
      <c r="C28" s="50">
        <f>'Target Calculator'!C44</f>
        <v>18.792147565104663</v>
      </c>
      <c r="D28" s="50">
        <f>'Target Calculator'!D44</f>
        <v>19.966656787923704</v>
      </c>
      <c r="E28" s="50">
        <f>'Target Calculator'!E44</f>
        <v>20.973378978911452</v>
      </c>
      <c r="F28" s="50">
        <f>'Target Calculator'!F44</f>
        <v>21.868243148678342</v>
      </c>
      <c r="G28" s="50">
        <f>'Target Calculator'!G44</f>
        <v>29.530517602307324</v>
      </c>
      <c r="H28" s="50">
        <f>'Target Calculator'!H44</f>
        <v>29.75423364474905</v>
      </c>
      <c r="I28" s="50">
        <f>'Target Calculator'!I44</f>
        <v>29.586446612917754</v>
      </c>
      <c r="J28" s="50">
        <f>'Target Calculator'!J44</f>
        <v>29.306801559865601</v>
      </c>
      <c r="K28" s="50">
        <f>'Target Calculator'!K44</f>
        <v>29.083085517423882</v>
      </c>
      <c r="L28" s="50">
        <f>'Target Calculator'!L44</f>
        <v>22.595320286613937</v>
      </c>
      <c r="M28" s="50">
        <f>'Target Calculator'!M44</f>
        <v>22.81903632905566</v>
      </c>
      <c r="N28" s="50">
        <f>'Target Calculator'!N44</f>
        <v>21.253024031963605</v>
      </c>
      <c r="O28" s="80">
        <f>'Target Calculator'!O44</f>
        <v>21.085237000132317</v>
      </c>
      <c r="P28" s="265">
        <f t="shared" si="6"/>
        <v>334.10200288834488</v>
      </c>
      <c r="Q28" s="387"/>
      <c r="R28" s="88">
        <f t="shared" ref="R28:AE28" si="10">IF($AJ$2=1,$B$7,$C$7)*B28</f>
        <v>22.828733910277165</v>
      </c>
      <c r="S28" s="86">
        <f t="shared" si="10"/>
        <v>24.531337583739578</v>
      </c>
      <c r="T28" s="86">
        <f t="shared" si="10"/>
        <v>26.064546182723301</v>
      </c>
      <c r="U28" s="86">
        <f t="shared" si="10"/>
        <v>27.378724981852205</v>
      </c>
      <c r="V28" s="86">
        <f t="shared" si="10"/>
        <v>28.546883914411236</v>
      </c>
      <c r="W28" s="86">
        <f t="shared" si="10"/>
        <v>38.549244774447907</v>
      </c>
      <c r="X28" s="86">
        <f t="shared" si="10"/>
        <v>38.841284507587666</v>
      </c>
      <c r="Y28" s="86">
        <f t="shared" si="10"/>
        <v>38.622254707732843</v>
      </c>
      <c r="Z28" s="86">
        <f t="shared" si="10"/>
        <v>38.257205041308147</v>
      </c>
      <c r="AA28" s="86">
        <f t="shared" si="10"/>
        <v>37.965165308168395</v>
      </c>
      <c r="AB28" s="86">
        <f t="shared" si="10"/>
        <v>29.496013047115444</v>
      </c>
      <c r="AC28" s="86">
        <f t="shared" si="10"/>
        <v>29.7880527802552</v>
      </c>
      <c r="AD28" s="86">
        <f t="shared" si="10"/>
        <v>27.743774648276901</v>
      </c>
      <c r="AE28" s="138">
        <f t="shared" si="10"/>
        <v>27.524744848422088</v>
      </c>
      <c r="AF28" s="240">
        <f>SUM(R28:AE28)</f>
        <v>436.13796623631805</v>
      </c>
      <c r="AG28" s="234">
        <f t="shared" si="8"/>
        <v>32.158538091224841</v>
      </c>
    </row>
    <row r="29" spans="1:33" x14ac:dyDescent="0.2">
      <c r="A29" s="263" t="s">
        <v>182</v>
      </c>
      <c r="B29" s="79">
        <f>'Target Calculator'!B45</f>
        <v>0</v>
      </c>
      <c r="C29" s="50">
        <f>'Target Calculator'!C45</f>
        <v>0</v>
      </c>
      <c r="D29" s="50">
        <f>'Target Calculator'!D45</f>
        <v>0</v>
      </c>
      <c r="E29" s="50">
        <f>'Target Calculator'!E45</f>
        <v>0</v>
      </c>
      <c r="F29" s="50">
        <f>'Target Calculator'!F45</f>
        <v>0</v>
      </c>
      <c r="G29" s="50">
        <f>'Target Calculator'!G45</f>
        <v>0</v>
      </c>
      <c r="H29" s="50">
        <f>'Target Calculator'!H45</f>
        <v>0</v>
      </c>
      <c r="I29" s="50">
        <f>'Target Calculator'!I45</f>
        <v>0</v>
      </c>
      <c r="J29" s="50">
        <f>'Target Calculator'!J45</f>
        <v>0</v>
      </c>
      <c r="K29" s="50">
        <f>'Target Calculator'!K45</f>
        <v>0</v>
      </c>
      <c r="L29" s="50">
        <f>'Target Calculator'!L45</f>
        <v>0</v>
      </c>
      <c r="M29" s="50">
        <f>'Target Calculator'!M45</f>
        <v>0</v>
      </c>
      <c r="N29" s="50">
        <f>'Target Calculator'!N45</f>
        <v>0</v>
      </c>
      <c r="O29" s="80">
        <f>'Target Calculator'!O45</f>
        <v>0</v>
      </c>
      <c r="P29" s="265">
        <f t="shared" si="6"/>
        <v>0</v>
      </c>
      <c r="Q29" s="387"/>
      <c r="R29" s="88">
        <f t="shared" ref="R29:AE29" si="11">IF($AJ$2=1,$B$8,$C$8)*B29</f>
        <v>0</v>
      </c>
      <c r="S29" s="86">
        <f t="shared" si="11"/>
        <v>0</v>
      </c>
      <c r="T29" s="86">
        <f t="shared" si="11"/>
        <v>0</v>
      </c>
      <c r="U29" s="86">
        <f t="shared" si="11"/>
        <v>0</v>
      </c>
      <c r="V29" s="86">
        <f t="shared" si="11"/>
        <v>0</v>
      </c>
      <c r="W29" s="86">
        <f t="shared" si="11"/>
        <v>0</v>
      </c>
      <c r="X29" s="86">
        <f t="shared" si="11"/>
        <v>0</v>
      </c>
      <c r="Y29" s="86">
        <f t="shared" si="11"/>
        <v>0</v>
      </c>
      <c r="Z29" s="86">
        <f t="shared" si="11"/>
        <v>0</v>
      </c>
      <c r="AA29" s="86">
        <f t="shared" si="11"/>
        <v>0</v>
      </c>
      <c r="AB29" s="86">
        <f t="shared" si="11"/>
        <v>0</v>
      </c>
      <c r="AC29" s="86">
        <f t="shared" si="11"/>
        <v>0</v>
      </c>
      <c r="AD29" s="86">
        <f t="shared" si="11"/>
        <v>0</v>
      </c>
      <c r="AE29" s="138">
        <f t="shared" si="11"/>
        <v>0</v>
      </c>
      <c r="AF29" s="240">
        <f>SUM(R29:AE29)</f>
        <v>0</v>
      </c>
      <c r="AG29" s="234">
        <f t="shared" si="8"/>
        <v>0</v>
      </c>
    </row>
    <row r="30" spans="1:33" x14ac:dyDescent="0.2">
      <c r="A30" s="264" t="s">
        <v>215</v>
      </c>
      <c r="B30" s="79">
        <f>'Target Calculator'!B46</f>
        <v>2.4697005684349045</v>
      </c>
      <c r="C30" s="50">
        <f>'Target Calculator'!C46</f>
        <v>4.6452563176209747</v>
      </c>
      <c r="D30" s="50">
        <f>'Target Calculator'!D46</f>
        <v>6.6126589933192701</v>
      </c>
      <c r="E30" s="50">
        <f>'Target Calculator'!E46</f>
        <v>8.3614613717177555</v>
      </c>
      <c r="F30" s="50">
        <f>'Target Calculator'!F46</f>
        <v>9.8916634528164291</v>
      </c>
      <c r="G30" s="50">
        <f>'Target Calculator'!G46</f>
        <v>13.771818729888066</v>
      </c>
      <c r="H30" s="50">
        <f>'Target Calculator'!H46</f>
        <v>14.64621991908731</v>
      </c>
      <c r="I30" s="50">
        <f>'Target Calculator'!I46</f>
        <v>15.302020810986741</v>
      </c>
      <c r="J30" s="50">
        <f>'Target Calculator'!J46</f>
        <v>15.903171628561221</v>
      </c>
      <c r="K30" s="50">
        <f>'Target Calculator'!K46</f>
        <v>16.504322446135699</v>
      </c>
      <c r="L30" s="50">
        <f>'Target Calculator'!L46</f>
        <v>20.384477723207336</v>
      </c>
      <c r="M30" s="50">
        <f>'Target Calculator'!M46</f>
        <v>20.603078020507148</v>
      </c>
      <c r="N30" s="50">
        <f>'Target Calculator'!N46</f>
        <v>12.569517094739108</v>
      </c>
      <c r="O30" s="80">
        <f>'Target Calculator'!O46</f>
        <v>12.514867020414155</v>
      </c>
      <c r="P30" s="265">
        <f t="shared" si="6"/>
        <v>174.18023409743611</v>
      </c>
      <c r="Q30" s="387"/>
      <c r="R30" s="88">
        <f>IF($AJ$2=1,$B$9,$C$9)*B30</f>
        <v>3.5090431538400213</v>
      </c>
      <c r="S30" s="86">
        <f t="shared" ref="S30:AF30" si="12">IF($AJ$2=1,$B$9,$C$9)*C30</f>
        <v>6.6001543213434415</v>
      </c>
      <c r="T30" s="86">
        <f t="shared" si="12"/>
        <v>9.3955137986183104</v>
      </c>
      <c r="U30" s="86">
        <f t="shared" si="12"/>
        <v>11.880277778418197</v>
      </c>
      <c r="V30" s="86">
        <f t="shared" si="12"/>
        <v>14.054446260743093</v>
      </c>
      <c r="W30" s="86">
        <f t="shared" si="12"/>
        <v>19.567516340924087</v>
      </c>
      <c r="X30" s="86">
        <f t="shared" si="12"/>
        <v>20.80989833082403</v>
      </c>
      <c r="Y30" s="86">
        <f t="shared" si="12"/>
        <v>21.741684823248985</v>
      </c>
      <c r="Z30" s="86">
        <f t="shared" si="12"/>
        <v>22.595822441305195</v>
      </c>
      <c r="AA30" s="86">
        <f t="shared" si="12"/>
        <v>23.449960059361405</v>
      </c>
      <c r="AB30" s="86">
        <f t="shared" si="12"/>
        <v>28.963030139542397</v>
      </c>
      <c r="AC30" s="86">
        <f t="shared" si="12"/>
        <v>29.273625637017386</v>
      </c>
      <c r="AD30" s="86">
        <f t="shared" si="12"/>
        <v>17.859241104811666</v>
      </c>
      <c r="AE30" s="138">
        <f t="shared" si="12"/>
        <v>17.781592230442918</v>
      </c>
      <c r="AF30" s="240">
        <f t="shared" si="12"/>
        <v>247.48180642044113</v>
      </c>
      <c r="AG30" s="235">
        <f t="shared" si="8"/>
        <v>15.360431730862677</v>
      </c>
    </row>
    <row r="31" spans="1:33" ht="13.5" thickBot="1" x14ac:dyDescent="0.25">
      <c r="A31" s="263" t="s">
        <v>183</v>
      </c>
      <c r="B31" s="45">
        <f>'Target Calculator'!B47</f>
        <v>104.82458023955169</v>
      </c>
      <c r="C31" s="46">
        <f>'Target Calculator'!C47</f>
        <v>116.06158592892137</v>
      </c>
      <c r="D31" s="46">
        <f>'Target Calculator'!D47</f>
        <v>127.2424698009139</v>
      </c>
      <c r="E31" s="46">
        <f>'Target Calculator'!E47</f>
        <v>138.41257167087838</v>
      </c>
      <c r="F31" s="46">
        <f>'Target Calculator'!F47</f>
        <v>149.56281268929371</v>
      </c>
      <c r="G31" s="46">
        <f>'Target Calculator'!G47</f>
        <v>154.19095811762301</v>
      </c>
      <c r="H31" s="46">
        <f>'Target Calculator'!H47</f>
        <v>170.47430458511334</v>
      </c>
      <c r="I31" s="46">
        <f>'Target Calculator'!I47</f>
        <v>181.40873315198644</v>
      </c>
      <c r="J31" s="46">
        <f>'Target Calculator'!J47</f>
        <v>186.79626296644724</v>
      </c>
      <c r="K31" s="46">
        <f>'Target Calculator'!K47</f>
        <v>192.28336663817629</v>
      </c>
      <c r="L31" s="46">
        <f>'Target Calculator'!L47</f>
        <v>199.58561880210848</v>
      </c>
      <c r="M31" s="46">
        <f>'Target Calculator'!M47</f>
        <v>199.55418288820849</v>
      </c>
      <c r="N31" s="46">
        <f>'Target Calculator'!N47</f>
        <v>199.47785938864567</v>
      </c>
      <c r="O31" s="81">
        <f>'Target Calculator'!O47</f>
        <v>196.71650600278022</v>
      </c>
      <c r="P31" s="266">
        <f t="shared" si="6"/>
        <v>2316.591812870648</v>
      </c>
      <c r="Q31" s="388"/>
      <c r="R31" s="82">
        <f>SUM(R26:R30)</f>
        <v>206.09416356892075</v>
      </c>
      <c r="S31" s="83">
        <f t="shared" ref="S31:AE31" si="13">SUM(S26:S30)</f>
        <v>225.55935939392532</v>
      </c>
      <c r="T31" s="83">
        <f t="shared" si="13"/>
        <v>245.56593331125347</v>
      </c>
      <c r="U31" s="83">
        <f t="shared" si="13"/>
        <v>266.11923609983921</v>
      </c>
      <c r="V31" s="83">
        <f t="shared" si="13"/>
        <v>287.65816964540954</v>
      </c>
      <c r="W31" s="83">
        <f t="shared" si="13"/>
        <v>282.99063869028379</v>
      </c>
      <c r="X31" s="83">
        <f t="shared" si="13"/>
        <v>317.59662792151568</v>
      </c>
      <c r="Y31" s="83">
        <f t="shared" si="13"/>
        <v>341.23476478304178</v>
      </c>
      <c r="Z31" s="83">
        <f t="shared" si="13"/>
        <v>357.77268002435267</v>
      </c>
      <c r="AA31" s="83">
        <f t="shared" si="13"/>
        <v>369.77484171769049</v>
      </c>
      <c r="AB31" s="83">
        <f t="shared" si="13"/>
        <v>388.20527990142074</v>
      </c>
      <c r="AC31" s="83">
        <f t="shared" si="13"/>
        <v>389.61472240359927</v>
      </c>
      <c r="AD31" s="83">
        <f t="shared" si="13"/>
        <v>396.9701836243151</v>
      </c>
      <c r="AE31" s="238">
        <f t="shared" si="13"/>
        <v>392.83514866895126</v>
      </c>
      <c r="AF31" s="241">
        <f>SUM(R31:AE31)</f>
        <v>4467.9917497545193</v>
      </c>
      <c r="AG31" s="236">
        <f t="shared" si="8"/>
        <v>290.03664151562327</v>
      </c>
    </row>
    <row r="38" spans="1:2" x14ac:dyDescent="0.2">
      <c r="A38" t="s">
        <v>245</v>
      </c>
      <c r="B38" t="s">
        <v>246</v>
      </c>
    </row>
    <row r="39" spans="1:2" x14ac:dyDescent="0.2">
      <c r="A39" s="227" t="s">
        <v>182</v>
      </c>
      <c r="B39" s="228">
        <v>1.202511220682291</v>
      </c>
    </row>
    <row r="40" spans="1:2" x14ac:dyDescent="0.2">
      <c r="A40" s="39" t="s">
        <v>2</v>
      </c>
      <c r="B40" s="228">
        <v>1.3967073619423862</v>
      </c>
    </row>
    <row r="41" spans="1:2" x14ac:dyDescent="0.2">
      <c r="A41" s="39" t="s">
        <v>241</v>
      </c>
      <c r="B41" s="228">
        <v>2.5927618649246909</v>
      </c>
    </row>
    <row r="42" spans="1:2" x14ac:dyDescent="0.2">
      <c r="A42" s="39" t="s">
        <v>3</v>
      </c>
      <c r="B42" s="228">
        <v>1.1874733976580247</v>
      </c>
    </row>
    <row r="43" spans="1:2" x14ac:dyDescent="0.2">
      <c r="A43" s="39" t="s">
        <v>242</v>
      </c>
      <c r="B43" s="228">
        <v>6.7164971073084372</v>
      </c>
    </row>
    <row r="44" spans="1:2" x14ac:dyDescent="0.2">
      <c r="A44" s="39" t="s">
        <v>1</v>
      </c>
      <c r="B44" s="228">
        <v>2.12865309511976</v>
      </c>
    </row>
    <row r="45" spans="1:2" x14ac:dyDescent="0.2">
      <c r="A45" s="39" t="s">
        <v>243</v>
      </c>
      <c r="B45" s="228">
        <v>1.3207491673308582</v>
      </c>
    </row>
    <row r="46" spans="1:2" x14ac:dyDescent="0.2">
      <c r="A46" s="39" t="s">
        <v>244</v>
      </c>
      <c r="B46" s="228">
        <v>1.2924789589727437</v>
      </c>
    </row>
    <row r="47" spans="1:2" x14ac:dyDescent="0.2">
      <c r="A47" s="1" t="s">
        <v>11</v>
      </c>
      <c r="B47" s="228">
        <v>1.5399151760788563</v>
      </c>
    </row>
  </sheetData>
  <sheetProtection password="C4BA" sheet="1" objects="1" scenarios="1" formatCells="0" formatColumns="0" formatRows="0" insertColumns="0" insertRows="0"/>
  <mergeCells count="19">
    <mergeCell ref="R12:AE12"/>
    <mergeCell ref="R16:AE16"/>
    <mergeCell ref="R24:AE24"/>
    <mergeCell ref="B24:O24"/>
    <mergeCell ref="AF16:AF17"/>
    <mergeCell ref="AF24:AF25"/>
    <mergeCell ref="Q12:Q31"/>
    <mergeCell ref="R23:AG23"/>
    <mergeCell ref="AG24:AG25"/>
    <mergeCell ref="AG12:AG13"/>
    <mergeCell ref="AG16:AG17"/>
    <mergeCell ref="AF12:AF13"/>
    <mergeCell ref="A1:J1"/>
    <mergeCell ref="P24:P25"/>
    <mergeCell ref="P12:P13"/>
    <mergeCell ref="P16:P17"/>
    <mergeCell ref="B12:O12"/>
    <mergeCell ref="B16:O16"/>
    <mergeCell ref="B23:P23"/>
  </mergeCells>
  <phoneticPr fontId="13"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Drop Down 4">
              <controlPr defaultSize="0" autoLine="0" autoPict="0">
                <anchor moveWithCells="1">
                  <from>
                    <xdr:col>1</xdr:col>
                    <xdr:colOff>9525</xdr:colOff>
                    <xdr:row>1</xdr:row>
                    <xdr:rowOff>19050</xdr:rowOff>
                  </from>
                  <to>
                    <xdr:col>2</xdr:col>
                    <xdr:colOff>0</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filterMode="1"/>
  <dimension ref="A1:AK279"/>
  <sheetViews>
    <sheetView zoomScale="83" zoomScaleNormal="83" workbookViewId="0">
      <selection activeCell="A194" sqref="A194"/>
    </sheetView>
  </sheetViews>
  <sheetFormatPr defaultRowHeight="12.75" x14ac:dyDescent="0.2"/>
  <cols>
    <col min="1" max="1" width="43.140625" customWidth="1"/>
    <col min="2" max="2" width="30.140625" customWidth="1"/>
    <col min="3" max="3" width="52.140625" customWidth="1"/>
    <col min="4" max="4" width="14.140625" customWidth="1"/>
    <col min="5" max="5" width="16.140625" style="16" customWidth="1"/>
    <col min="6" max="6" width="12.140625" style="16" customWidth="1"/>
    <col min="7" max="8" width="14.7109375" style="16" customWidth="1"/>
    <col min="9" max="9" width="9.5703125" customWidth="1"/>
    <col min="10" max="13" width="8" customWidth="1"/>
    <col min="14" max="17" width="8.85546875" customWidth="1"/>
    <col min="18" max="22" width="8" customWidth="1"/>
    <col min="23" max="23" width="9.7109375" customWidth="1"/>
    <col min="24" max="24" width="9.28515625" customWidth="1"/>
    <col min="25" max="25" width="8.5703125" customWidth="1"/>
    <col min="26" max="26" width="7.140625" customWidth="1"/>
    <col min="27" max="27" width="8.42578125" customWidth="1"/>
    <col min="28" max="28" width="8.85546875" customWidth="1"/>
    <col min="29" max="29" width="9.140625" customWidth="1"/>
    <col min="30" max="30" width="13.7109375" customWidth="1"/>
    <col min="31" max="31" width="17.42578125" customWidth="1"/>
    <col min="32" max="32" width="12.85546875" customWidth="1"/>
    <col min="33" max="34" width="13.85546875" customWidth="1"/>
  </cols>
  <sheetData>
    <row r="1" spans="1:30" ht="51" x14ac:dyDescent="0.2">
      <c r="A1" s="18" t="s">
        <v>159</v>
      </c>
      <c r="B1" s="18" t="s">
        <v>149</v>
      </c>
      <c r="C1" s="18" t="s">
        <v>150</v>
      </c>
      <c r="D1" s="18" t="s">
        <v>17</v>
      </c>
      <c r="E1" s="19" t="s">
        <v>151</v>
      </c>
      <c r="F1" s="19" t="s">
        <v>152</v>
      </c>
      <c r="G1" s="19" t="s">
        <v>153</v>
      </c>
      <c r="H1" s="19" t="s">
        <v>154</v>
      </c>
      <c r="I1" s="20" t="s">
        <v>155</v>
      </c>
      <c r="J1" s="99">
        <v>2010</v>
      </c>
      <c r="K1" s="99">
        <v>2011</v>
      </c>
      <c r="L1" s="99">
        <v>2012</v>
      </c>
      <c r="M1" s="99">
        <v>2013</v>
      </c>
      <c r="N1" s="99">
        <v>2014</v>
      </c>
      <c r="O1" s="99">
        <v>2015</v>
      </c>
      <c r="P1" s="99">
        <v>2016</v>
      </c>
      <c r="Q1" s="99">
        <v>2017</v>
      </c>
      <c r="R1" s="99">
        <v>2018</v>
      </c>
      <c r="S1" s="99">
        <v>2019</v>
      </c>
      <c r="T1" s="99">
        <v>2020</v>
      </c>
      <c r="U1" s="99">
        <v>2021</v>
      </c>
      <c r="V1" s="99">
        <v>2022</v>
      </c>
      <c r="W1" s="99">
        <v>2023</v>
      </c>
      <c r="X1" s="99">
        <v>2024</v>
      </c>
      <c r="Y1" s="99">
        <v>2025</v>
      </c>
      <c r="Z1" s="99">
        <v>2026</v>
      </c>
      <c r="AA1" s="99">
        <v>2027</v>
      </c>
      <c r="AB1" s="99">
        <v>2028</v>
      </c>
      <c r="AC1" s="99">
        <v>2029</v>
      </c>
      <c r="AD1" s="21" t="s">
        <v>208</v>
      </c>
    </row>
    <row r="2" spans="1:30" x14ac:dyDescent="0.2">
      <c r="A2" t="str">
        <f>INDEX(Sale_TargetData,'Target Calculator'!A7,1)</f>
        <v>Washingon</v>
      </c>
      <c r="B2" s="12"/>
      <c r="C2" s="12" t="str">
        <f t="shared" ref="C2:AD2" si="0">VLOOKUP($A2,Sale_TargetData,C3,0)</f>
        <v>Washingon</v>
      </c>
      <c r="D2" s="12" t="str">
        <f t="shared" si="0"/>
        <v>WA</v>
      </c>
      <c r="E2" s="12">
        <f t="shared" si="0"/>
        <v>35045453</v>
      </c>
      <c r="F2" s="12">
        <f t="shared" si="0"/>
        <v>28041302</v>
      </c>
      <c r="G2" s="12">
        <f t="shared" si="0"/>
        <v>18952036</v>
      </c>
      <c r="H2" s="12">
        <f t="shared" si="0"/>
        <v>82045740</v>
      </c>
      <c r="I2" s="13">
        <f t="shared" si="0"/>
        <v>0.52915756175704498</v>
      </c>
      <c r="J2" s="14">
        <f t="shared" si="0"/>
        <v>105.831512351409</v>
      </c>
      <c r="K2" s="14">
        <f t="shared" si="0"/>
        <v>116.41466358654989</v>
      </c>
      <c r="L2" s="14">
        <f t="shared" si="0"/>
        <v>126.9978148216908</v>
      </c>
      <c r="M2" s="14">
        <f t="shared" si="0"/>
        <v>137.5809660568317</v>
      </c>
      <c r="N2" s="14">
        <f t="shared" si="0"/>
        <v>148.16411729197259</v>
      </c>
      <c r="O2" s="14">
        <f t="shared" si="0"/>
        <v>153.45569290954305</v>
      </c>
      <c r="P2" s="14">
        <f t="shared" si="0"/>
        <v>169.33041976225439</v>
      </c>
      <c r="Q2" s="14">
        <f t="shared" si="0"/>
        <v>179.91357099739528</v>
      </c>
      <c r="R2" s="14">
        <f t="shared" si="0"/>
        <v>185.20514661496574</v>
      </c>
      <c r="S2" s="14">
        <f t="shared" si="0"/>
        <v>190.4967222325362</v>
      </c>
      <c r="T2" s="14">
        <f t="shared" si="0"/>
        <v>193.14251004132143</v>
      </c>
      <c r="U2" s="14">
        <f t="shared" si="0"/>
        <v>193.14251004132143</v>
      </c>
      <c r="V2" s="14">
        <f t="shared" si="0"/>
        <v>193.14251004132143</v>
      </c>
      <c r="W2" s="14">
        <f t="shared" si="0"/>
        <v>190.4967222325362</v>
      </c>
      <c r="X2" s="14">
        <f t="shared" si="0"/>
        <v>164.03884414468394</v>
      </c>
      <c r="Y2" s="14">
        <f t="shared" si="0"/>
        <v>148.16411729197259</v>
      </c>
      <c r="Z2" s="14">
        <f t="shared" si="0"/>
        <v>132.28939043926124</v>
      </c>
      <c r="AA2" s="14">
        <f t="shared" si="0"/>
        <v>126.9978148216908</v>
      </c>
      <c r="AB2" s="14">
        <f t="shared" si="0"/>
        <v>121.70623920412035</v>
      </c>
      <c r="AC2" s="14">
        <f t="shared" si="0"/>
        <v>116.41466358654989</v>
      </c>
      <c r="AD2" s="14">
        <f t="shared" si="0"/>
        <v>3092.9259484699278</v>
      </c>
    </row>
    <row r="3" spans="1:30" x14ac:dyDescent="0.2">
      <c r="A3">
        <v>1</v>
      </c>
      <c r="C3">
        <v>2</v>
      </c>
      <c r="D3">
        <v>3</v>
      </c>
      <c r="E3">
        <v>4</v>
      </c>
      <c r="F3">
        <v>5</v>
      </c>
      <c r="G3">
        <v>6</v>
      </c>
      <c r="H3">
        <v>7</v>
      </c>
      <c r="I3">
        <v>8</v>
      </c>
      <c r="J3">
        <v>9</v>
      </c>
      <c r="K3">
        <v>10</v>
      </c>
      <c r="L3">
        <v>11</v>
      </c>
      <c r="M3">
        <v>12</v>
      </c>
      <c r="N3">
        <v>13</v>
      </c>
      <c r="O3">
        <v>14</v>
      </c>
      <c r="P3">
        <v>15</v>
      </c>
      <c r="Q3">
        <v>16</v>
      </c>
      <c r="R3">
        <v>17</v>
      </c>
      <c r="S3">
        <v>18</v>
      </c>
      <c r="T3">
        <v>19</v>
      </c>
      <c r="U3">
        <v>20</v>
      </c>
      <c r="V3">
        <v>21</v>
      </c>
      <c r="W3">
        <v>22</v>
      </c>
      <c r="X3">
        <v>23</v>
      </c>
      <c r="Y3">
        <v>24</v>
      </c>
      <c r="Z3">
        <v>25</v>
      </c>
      <c r="AA3">
        <v>26</v>
      </c>
      <c r="AB3">
        <v>27</v>
      </c>
      <c r="AC3">
        <v>28</v>
      </c>
      <c r="AD3">
        <v>29</v>
      </c>
    </row>
    <row r="4" spans="1:30" ht="13.5" thickBot="1" x14ac:dyDescent="0.25">
      <c r="E4" s="28">
        <f>E2/D195</f>
        <v>0.54243930315895306</v>
      </c>
      <c r="F4" s="28">
        <f>F2/E195</f>
        <v>0.55166295994085401</v>
      </c>
      <c r="G4" s="28">
        <f>G2/F195</f>
        <v>0.47883008276587546</v>
      </c>
      <c r="H4" s="28">
        <f>H2/G195</f>
        <v>0.52915756175704476</v>
      </c>
      <c r="I4" s="28">
        <f>I2/H195</f>
        <v>0.52915756175704498</v>
      </c>
    </row>
    <row r="5" spans="1:30" x14ac:dyDescent="0.2">
      <c r="E5" s="28"/>
      <c r="F5" s="28"/>
      <c r="G5" s="28" t="s">
        <v>222</v>
      </c>
      <c r="H5" s="28">
        <f>SUM(E2:F2)/(SUM(D195:E195))</f>
        <v>0.54650074324952647</v>
      </c>
      <c r="I5" s="31" t="s">
        <v>164</v>
      </c>
      <c r="J5" s="32">
        <f t="shared" ref="J5:S5" si="1">Share_Res*D227</f>
        <v>61.456487354442643</v>
      </c>
      <c r="K5" s="32">
        <f t="shared" si="1"/>
        <v>64.887825827158295</v>
      </c>
      <c r="L5" s="32">
        <f t="shared" si="1"/>
        <v>69.032344379923074</v>
      </c>
      <c r="M5" s="32">
        <f t="shared" si="1"/>
        <v>73.797818193392757</v>
      </c>
      <c r="N5" s="32">
        <f t="shared" si="1"/>
        <v>79.763025437546503</v>
      </c>
      <c r="O5" s="32">
        <f t="shared" si="1"/>
        <v>67.873618989434263</v>
      </c>
      <c r="P5" s="32">
        <f t="shared" si="1"/>
        <v>79.998232297821815</v>
      </c>
      <c r="Q5" s="32">
        <f t="shared" si="1"/>
        <v>88.555855583358095</v>
      </c>
      <c r="R5" s="32">
        <f t="shared" si="1"/>
        <v>98.834243722827324</v>
      </c>
      <c r="S5" s="32">
        <f t="shared" si="1"/>
        <v>103.30159090188552</v>
      </c>
      <c r="T5" s="32">
        <f t="shared" ref="T5:AC5" si="2">Share_Res*N227</f>
        <v>110.97057975484054</v>
      </c>
      <c r="U5" s="32">
        <f t="shared" si="2"/>
        <v>112.87729695995741</v>
      </c>
      <c r="V5" s="32">
        <f t="shared" si="2"/>
        <v>120.57265146201982</v>
      </c>
      <c r="W5" s="32">
        <f t="shared" si="2"/>
        <v>120.64714342801341</v>
      </c>
      <c r="X5" s="32">
        <f t="shared" si="2"/>
        <v>108.6100754573562</v>
      </c>
      <c r="Y5" s="32">
        <f t="shared" si="2"/>
        <v>85.746679351018116</v>
      </c>
      <c r="Z5" s="32">
        <f t="shared" si="2"/>
        <v>83.26313865516218</v>
      </c>
      <c r="AA5" s="32">
        <f t="shared" si="2"/>
        <v>86.161490927758464</v>
      </c>
      <c r="AB5" s="32">
        <f t="shared" si="2"/>
        <v>87.018261898564461</v>
      </c>
      <c r="AC5" s="32">
        <f t="shared" si="2"/>
        <v>87.044244563590681</v>
      </c>
      <c r="AD5" s="215">
        <f>SUM(J5:AC5)</f>
        <v>1790.4126051460719</v>
      </c>
    </row>
    <row r="6" spans="1:30" x14ac:dyDescent="0.2">
      <c r="E6" s="28"/>
      <c r="F6" s="28"/>
      <c r="G6" s="28"/>
      <c r="H6" s="28"/>
      <c r="I6" s="33" t="s">
        <v>165</v>
      </c>
      <c r="J6" s="29">
        <f t="shared" ref="J6:S6" si="3">Share_Com*D228</f>
        <v>23.410518493976546</v>
      </c>
      <c r="K6" s="29">
        <f t="shared" si="3"/>
        <v>27.736356219037429</v>
      </c>
      <c r="L6" s="29">
        <f t="shared" si="3"/>
        <v>31.630809639747834</v>
      </c>
      <c r="M6" s="29">
        <f t="shared" si="3"/>
        <v>35.279913126856421</v>
      </c>
      <c r="N6" s="29">
        <f t="shared" si="3"/>
        <v>38.039880650252442</v>
      </c>
      <c r="O6" s="29">
        <f t="shared" si="3"/>
        <v>43.015002795993368</v>
      </c>
      <c r="P6" s="29">
        <f t="shared" si="3"/>
        <v>46.075618723455172</v>
      </c>
      <c r="Q6" s="29">
        <f t="shared" si="3"/>
        <v>47.96441014472385</v>
      </c>
      <c r="R6" s="29">
        <f t="shared" si="3"/>
        <v>42.752046055193105</v>
      </c>
      <c r="S6" s="29">
        <f t="shared" si="3"/>
        <v>43.394367772731194</v>
      </c>
      <c r="T6" s="29">
        <f t="shared" ref="T6:AC6" si="4">Share_Com*N228</f>
        <v>45.635241037446669</v>
      </c>
      <c r="U6" s="29">
        <f t="shared" si="4"/>
        <v>43.254771578688285</v>
      </c>
      <c r="V6" s="29">
        <f t="shared" si="4"/>
        <v>45.082666799923146</v>
      </c>
      <c r="W6" s="29">
        <f t="shared" si="4"/>
        <v>42.46925855422036</v>
      </c>
      <c r="X6" s="29">
        <f t="shared" si="4"/>
        <v>36.285462385385109</v>
      </c>
      <c r="Y6" s="29">
        <f t="shared" si="4"/>
        <v>37.746941556849087</v>
      </c>
      <c r="Z6" s="29">
        <f t="shared" si="4"/>
        <v>32.328765841949235</v>
      </c>
      <c r="AA6" s="29">
        <f t="shared" si="4"/>
        <v>28.388136558585067</v>
      </c>
      <c r="AB6" s="29">
        <f t="shared" si="4"/>
        <v>24.923981112663149</v>
      </c>
      <c r="AC6" s="29">
        <f t="shared" si="4"/>
        <v>20.594585549958271</v>
      </c>
      <c r="AD6" s="216">
        <f>SUM(J6:AC6)</f>
        <v>736.00873459763579</v>
      </c>
    </row>
    <row r="7" spans="1:30" x14ac:dyDescent="0.2">
      <c r="E7" s="28"/>
      <c r="F7" s="28"/>
      <c r="G7" s="28"/>
      <c r="H7" s="28"/>
      <c r="I7" s="33" t="s">
        <v>166</v>
      </c>
      <c r="J7" s="29">
        <f t="shared" ref="J7:S7" si="5">Share_Ind_Agr*(D229+D230)</f>
        <v>19.032580948384773</v>
      </c>
      <c r="K7" s="29">
        <f t="shared" si="5"/>
        <v>19.919331443060418</v>
      </c>
      <c r="L7" s="29">
        <f t="shared" si="5"/>
        <v>20.733342583762411</v>
      </c>
      <c r="M7" s="29">
        <f t="shared" si="5"/>
        <v>21.403704699634634</v>
      </c>
      <c r="N7" s="29">
        <f t="shared" si="5"/>
        <v>21.978300798953683</v>
      </c>
      <c r="O7" s="29">
        <f t="shared" si="5"/>
        <v>29.543816106654514</v>
      </c>
      <c r="P7" s="29">
        <f t="shared" si="5"/>
        <v>29.783231148037455</v>
      </c>
      <c r="Q7" s="29">
        <f t="shared" si="5"/>
        <v>29.591699114931103</v>
      </c>
      <c r="R7" s="29">
        <f t="shared" si="5"/>
        <v>29.304401065271581</v>
      </c>
      <c r="S7" s="29">
        <f t="shared" si="5"/>
        <v>29.064986023888643</v>
      </c>
      <c r="T7" s="29">
        <f t="shared" ref="T7:AC7" si="6">Share_Ind_Agr*(N229+N230)</f>
        <v>19.34473534374137</v>
      </c>
      <c r="U7" s="29">
        <f t="shared" si="6"/>
        <v>19.536267376847718</v>
      </c>
      <c r="V7" s="29">
        <f t="shared" si="6"/>
        <v>18.195543145103269</v>
      </c>
      <c r="W7" s="29">
        <f t="shared" si="6"/>
        <v>18.051894120273506</v>
      </c>
      <c r="X7" s="29">
        <f t="shared" si="6"/>
        <v>13.119944267784987</v>
      </c>
      <c r="Y7" s="29">
        <f t="shared" si="6"/>
        <v>15.945041756103652</v>
      </c>
      <c r="Z7" s="29">
        <f t="shared" si="6"/>
        <v>11.300389953274662</v>
      </c>
      <c r="AA7" s="29">
        <f t="shared" si="6"/>
        <v>8.8583565311686954</v>
      </c>
      <c r="AB7" s="29">
        <f t="shared" si="6"/>
        <v>7.2782172580413071</v>
      </c>
      <c r="AC7" s="29">
        <f t="shared" si="6"/>
        <v>6.6078551421690817</v>
      </c>
      <c r="AD7" s="216">
        <f>SUM(J7:AC7)</f>
        <v>388.59363882708743</v>
      </c>
    </row>
    <row r="8" spans="1:30" x14ac:dyDescent="0.2">
      <c r="E8" s="28"/>
      <c r="F8" s="28"/>
      <c r="G8" s="28"/>
      <c r="H8" s="28"/>
      <c r="I8" s="203" t="s">
        <v>218</v>
      </c>
      <c r="J8" s="29">
        <f t="shared" ref="J8:AC8" si="7">Share_Non_Ind*D$231</f>
        <v>2.4697005684349045</v>
      </c>
      <c r="K8" s="29">
        <f t="shared" si="7"/>
        <v>4.6452563176209747</v>
      </c>
      <c r="L8" s="29">
        <f t="shared" si="7"/>
        <v>6.6126589933192701</v>
      </c>
      <c r="M8" s="29">
        <f t="shared" si="7"/>
        <v>8.3614613717177555</v>
      </c>
      <c r="N8" s="29">
        <f t="shared" si="7"/>
        <v>9.8916634528164291</v>
      </c>
      <c r="O8" s="29">
        <f t="shared" si="7"/>
        <v>13.771818729888066</v>
      </c>
      <c r="P8" s="29">
        <f t="shared" si="7"/>
        <v>14.64621991908731</v>
      </c>
      <c r="Q8" s="29">
        <f t="shared" si="7"/>
        <v>15.302020810986741</v>
      </c>
      <c r="R8" s="29">
        <f t="shared" si="7"/>
        <v>15.903171628561221</v>
      </c>
      <c r="S8" s="29">
        <f t="shared" si="7"/>
        <v>16.504322446135699</v>
      </c>
      <c r="T8" s="29">
        <f t="shared" si="7"/>
        <v>20.384477723207336</v>
      </c>
      <c r="U8" s="29">
        <f t="shared" si="7"/>
        <v>20.603078020507148</v>
      </c>
      <c r="V8" s="29">
        <f t="shared" si="7"/>
        <v>12.569517094739108</v>
      </c>
      <c r="W8" s="29">
        <f t="shared" si="7"/>
        <v>12.514867020414155</v>
      </c>
      <c r="X8" s="29">
        <f t="shared" si="7"/>
        <v>9.0719123379421394</v>
      </c>
      <c r="Y8" s="29">
        <f t="shared" si="7"/>
        <v>11.039315013640435</v>
      </c>
      <c r="Z8" s="29">
        <f t="shared" si="7"/>
        <v>7.8149606284682287</v>
      </c>
      <c r="AA8" s="29">
        <f t="shared" si="7"/>
        <v>6.1208083243946962</v>
      </c>
      <c r="AB8" s="29">
        <f t="shared" si="7"/>
        <v>5.0278068378956435</v>
      </c>
      <c r="AC8" s="29">
        <f t="shared" si="7"/>
        <v>4.5906062432960226</v>
      </c>
      <c r="AD8" s="216">
        <f>SUM(J8:AC8)</f>
        <v>217.84564348307327</v>
      </c>
    </row>
    <row r="9" spans="1:30" ht="13.5" thickBot="1" x14ac:dyDescent="0.25">
      <c r="C9" s="28" t="s">
        <v>164</v>
      </c>
      <c r="D9" s="28" t="s">
        <v>165</v>
      </c>
      <c r="E9" s="28" t="s">
        <v>171</v>
      </c>
      <c r="F9" s="3" t="s">
        <v>172</v>
      </c>
      <c r="G9" s="36" t="s">
        <v>223</v>
      </c>
      <c r="H9" s="28" t="s">
        <v>11</v>
      </c>
      <c r="I9" s="34" t="s">
        <v>11</v>
      </c>
      <c r="J9" s="35">
        <f>SUM(J5:J8)</f>
        <v>106.36928736523886</v>
      </c>
      <c r="K9" s="35">
        <f t="shared" ref="K9:AC9" si="8">SUM(K5:K8)</f>
        <v>117.18876980687712</v>
      </c>
      <c r="L9" s="35">
        <f t="shared" si="8"/>
        <v>128.00915559675258</v>
      </c>
      <c r="M9" s="35">
        <f t="shared" si="8"/>
        <v>138.84289739160155</v>
      </c>
      <c r="N9" s="35">
        <f t="shared" si="8"/>
        <v>149.67287033956904</v>
      </c>
      <c r="O9" s="35">
        <f t="shared" si="8"/>
        <v>154.20425662197019</v>
      </c>
      <c r="P9" s="35">
        <f t="shared" si="8"/>
        <v>170.50330208840177</v>
      </c>
      <c r="Q9" s="35">
        <f t="shared" si="8"/>
        <v>181.41398565399976</v>
      </c>
      <c r="R9" s="35">
        <f t="shared" si="8"/>
        <v>186.79386247185323</v>
      </c>
      <c r="S9" s="35">
        <f t="shared" si="8"/>
        <v>192.26526714464106</v>
      </c>
      <c r="T9" s="35">
        <f t="shared" si="8"/>
        <v>196.33503385923592</v>
      </c>
      <c r="U9" s="35">
        <f t="shared" si="8"/>
        <v>196.27141393600056</v>
      </c>
      <c r="V9" s="35">
        <f t="shared" si="8"/>
        <v>196.42037850178534</v>
      </c>
      <c r="W9" s="35">
        <f t="shared" si="8"/>
        <v>193.68316312292143</v>
      </c>
      <c r="X9" s="35">
        <f t="shared" si="8"/>
        <v>167.08739444846844</v>
      </c>
      <c r="Y9" s="35">
        <f t="shared" si="8"/>
        <v>150.47797767761131</v>
      </c>
      <c r="Z9" s="35">
        <f t="shared" si="8"/>
        <v>134.7072550788543</v>
      </c>
      <c r="AA9" s="35">
        <f t="shared" si="8"/>
        <v>129.52879234190692</v>
      </c>
      <c r="AB9" s="35">
        <f t="shared" si="8"/>
        <v>124.24826710716457</v>
      </c>
      <c r="AC9" s="35">
        <f t="shared" si="8"/>
        <v>118.83729149901406</v>
      </c>
      <c r="AD9" s="217">
        <f>SUM(J9:AC9)</f>
        <v>3132.8606220538686</v>
      </c>
    </row>
    <row r="10" spans="1:30" x14ac:dyDescent="0.2">
      <c r="C10" s="2">
        <f>'Target Calculator'!B33</f>
        <v>35045453</v>
      </c>
      <c r="D10" s="2">
        <f>'Target Calculator'!B34</f>
        <v>28041302</v>
      </c>
      <c r="E10" s="2">
        <f>'Target Calculator'!B35</f>
        <v>18952036</v>
      </c>
      <c r="F10" s="2">
        <f>'Target Calculator'!B36</f>
        <v>0</v>
      </c>
      <c r="G10" s="15">
        <f>C10+D10+F10</f>
        <v>63086755</v>
      </c>
      <c r="H10" s="2">
        <f>'Target Calculator'!B38</f>
        <v>82038791</v>
      </c>
      <c r="I10" s="28"/>
    </row>
    <row r="11" spans="1:30" ht="13.5" thickBot="1" x14ac:dyDescent="0.25">
      <c r="C11" s="42">
        <f>C10/PNWSales_Res</f>
        <v>0.54243930315895306</v>
      </c>
      <c r="D11" s="42">
        <f>D10/PNWSales_Com</f>
        <v>0.55166295994085401</v>
      </c>
      <c r="E11" s="42">
        <f>E10/PNWSales_Ind</f>
        <v>0.55929010610430541</v>
      </c>
      <c r="F11" s="42">
        <f>F10/PNWSales_Irrg</f>
        <v>0</v>
      </c>
      <c r="G11" s="13">
        <f>G10/(SUM(D195:E195))</f>
        <v>0.54650074324952647</v>
      </c>
      <c r="H11" s="42">
        <f>H10/PNWSales_Total</f>
        <v>0.52911274387988694</v>
      </c>
      <c r="I11" s="28"/>
    </row>
    <row r="12" spans="1:30" x14ac:dyDescent="0.2">
      <c r="E12" s="3"/>
      <c r="F12" s="3"/>
      <c r="H12" s="3"/>
      <c r="I12" s="31" t="s">
        <v>164</v>
      </c>
      <c r="J12" s="40">
        <f t="shared" ref="J12:AC12" si="9">$C$11*D227</f>
        <v>61.456487354442643</v>
      </c>
      <c r="K12" s="40">
        <f t="shared" si="9"/>
        <v>64.887825827158295</v>
      </c>
      <c r="L12" s="40">
        <f t="shared" si="9"/>
        <v>69.032344379923074</v>
      </c>
      <c r="M12" s="40">
        <f t="shared" si="9"/>
        <v>73.797818193392757</v>
      </c>
      <c r="N12" s="40">
        <f t="shared" si="9"/>
        <v>79.763025437546503</v>
      </c>
      <c r="O12" s="40">
        <f t="shared" si="9"/>
        <v>67.873618989434263</v>
      </c>
      <c r="P12" s="40">
        <f t="shared" si="9"/>
        <v>79.998232297821815</v>
      </c>
      <c r="Q12" s="40">
        <f t="shared" si="9"/>
        <v>88.555855583358095</v>
      </c>
      <c r="R12" s="40">
        <f t="shared" si="9"/>
        <v>98.834243722827324</v>
      </c>
      <c r="S12" s="40">
        <f t="shared" si="9"/>
        <v>103.30159090188552</v>
      </c>
      <c r="T12" s="40">
        <f t="shared" si="9"/>
        <v>110.97057975484054</v>
      </c>
      <c r="U12" s="40">
        <f t="shared" si="9"/>
        <v>112.87729695995741</v>
      </c>
      <c r="V12" s="40">
        <f t="shared" si="9"/>
        <v>120.57265146201982</v>
      </c>
      <c r="W12" s="40">
        <f t="shared" si="9"/>
        <v>120.64714342801341</v>
      </c>
      <c r="X12" s="40">
        <f t="shared" si="9"/>
        <v>108.6100754573562</v>
      </c>
      <c r="Y12" s="40">
        <f t="shared" si="9"/>
        <v>85.746679351018116</v>
      </c>
      <c r="Z12" s="40">
        <f t="shared" si="9"/>
        <v>83.26313865516218</v>
      </c>
      <c r="AA12" s="40">
        <f t="shared" si="9"/>
        <v>86.161490927758464</v>
      </c>
      <c r="AB12" s="40">
        <f t="shared" si="9"/>
        <v>87.018261898564461</v>
      </c>
      <c r="AC12" s="40">
        <f t="shared" si="9"/>
        <v>87.044244563590681</v>
      </c>
      <c r="AD12" s="205">
        <f t="shared" ref="AD12:AD17" si="10">SUM(J12:AC12)</f>
        <v>1790.4126051460719</v>
      </c>
    </row>
    <row r="13" spans="1:30" x14ac:dyDescent="0.2">
      <c r="E13" s="28"/>
      <c r="F13" s="28"/>
      <c r="G13" s="28"/>
      <c r="H13" s="28"/>
      <c r="I13" s="33" t="s">
        <v>165</v>
      </c>
      <c r="J13" s="39">
        <f t="shared" ref="J13:AC13" si="11">$D$11*D228</f>
        <v>23.410518493976546</v>
      </c>
      <c r="K13" s="39">
        <f t="shared" si="11"/>
        <v>27.736356219037429</v>
      </c>
      <c r="L13" s="39">
        <f t="shared" si="11"/>
        <v>31.630809639747834</v>
      </c>
      <c r="M13" s="39">
        <f t="shared" si="11"/>
        <v>35.279913126856421</v>
      </c>
      <c r="N13" s="39">
        <f t="shared" si="11"/>
        <v>38.039880650252442</v>
      </c>
      <c r="O13" s="39">
        <f t="shared" si="11"/>
        <v>43.015002795993368</v>
      </c>
      <c r="P13" s="39">
        <f t="shared" si="11"/>
        <v>46.075618723455172</v>
      </c>
      <c r="Q13" s="39">
        <f t="shared" si="11"/>
        <v>47.96441014472385</v>
      </c>
      <c r="R13" s="39">
        <f t="shared" si="11"/>
        <v>42.752046055193105</v>
      </c>
      <c r="S13" s="39">
        <f t="shared" si="11"/>
        <v>43.394367772731194</v>
      </c>
      <c r="T13" s="39">
        <f t="shared" si="11"/>
        <v>45.635241037446669</v>
      </c>
      <c r="U13" s="39">
        <f t="shared" si="11"/>
        <v>43.254771578688285</v>
      </c>
      <c r="V13" s="39">
        <f t="shared" si="11"/>
        <v>45.082666799923146</v>
      </c>
      <c r="W13" s="39">
        <f t="shared" si="11"/>
        <v>42.46925855422036</v>
      </c>
      <c r="X13" s="39">
        <f t="shared" si="11"/>
        <v>36.285462385385109</v>
      </c>
      <c r="Y13" s="39">
        <f t="shared" si="11"/>
        <v>37.746941556849087</v>
      </c>
      <c r="Z13" s="39">
        <f t="shared" si="11"/>
        <v>32.328765841949235</v>
      </c>
      <c r="AA13" s="39">
        <f t="shared" si="11"/>
        <v>28.388136558585067</v>
      </c>
      <c r="AB13" s="39">
        <f t="shared" si="11"/>
        <v>24.923981112663149</v>
      </c>
      <c r="AC13" s="39">
        <f t="shared" si="11"/>
        <v>20.594585549958271</v>
      </c>
      <c r="AD13" s="206">
        <f t="shared" si="10"/>
        <v>736.00873459763579</v>
      </c>
    </row>
    <row r="14" spans="1:30" x14ac:dyDescent="0.2">
      <c r="E14" s="28"/>
      <c r="F14" s="28"/>
      <c r="G14" s="28"/>
      <c r="H14" s="28"/>
      <c r="I14" s="33" t="s">
        <v>171</v>
      </c>
      <c r="J14" s="39">
        <f t="shared" ref="J14:AC14" si="12">$E$11*D229</f>
        <v>17.487873822697605</v>
      </c>
      <c r="K14" s="39">
        <f t="shared" si="12"/>
        <v>18.792147565104663</v>
      </c>
      <c r="L14" s="39">
        <f t="shared" si="12"/>
        <v>19.966656787923704</v>
      </c>
      <c r="M14" s="39">
        <f t="shared" si="12"/>
        <v>20.973378978911452</v>
      </c>
      <c r="N14" s="39">
        <f t="shared" si="12"/>
        <v>21.868243148678342</v>
      </c>
      <c r="O14" s="39">
        <f t="shared" si="12"/>
        <v>29.530517602307324</v>
      </c>
      <c r="P14" s="39">
        <f t="shared" si="12"/>
        <v>29.75423364474905</v>
      </c>
      <c r="Q14" s="39">
        <f t="shared" si="12"/>
        <v>29.586446612917754</v>
      </c>
      <c r="R14" s="39">
        <f t="shared" si="12"/>
        <v>29.306801559865601</v>
      </c>
      <c r="S14" s="39">
        <f t="shared" si="12"/>
        <v>29.083085517423882</v>
      </c>
      <c r="T14" s="39">
        <f t="shared" si="12"/>
        <v>22.595320286613937</v>
      </c>
      <c r="U14" s="39">
        <f t="shared" si="12"/>
        <v>22.81903632905566</v>
      </c>
      <c r="V14" s="39">
        <f t="shared" si="12"/>
        <v>21.253024031963605</v>
      </c>
      <c r="W14" s="39">
        <f t="shared" si="12"/>
        <v>21.085237000132317</v>
      </c>
      <c r="X14" s="39">
        <f t="shared" si="12"/>
        <v>15.324548907257967</v>
      </c>
      <c r="Y14" s="39">
        <f t="shared" si="12"/>
        <v>18.624360533273368</v>
      </c>
      <c r="Z14" s="39">
        <f t="shared" si="12"/>
        <v>13.199246504061609</v>
      </c>
      <c r="AA14" s="39">
        <f t="shared" si="12"/>
        <v>10.346866962929649</v>
      </c>
      <c r="AB14" s="39">
        <f t="shared" si="12"/>
        <v>8.5012096127854413</v>
      </c>
      <c r="AC14" s="39">
        <f t="shared" si="12"/>
        <v>7.7182034642394148</v>
      </c>
      <c r="AD14" s="206">
        <f t="shared" si="10"/>
        <v>407.81643887289232</v>
      </c>
    </row>
    <row r="15" spans="1:30" x14ac:dyDescent="0.2">
      <c r="E15" s="28"/>
      <c r="F15" s="28"/>
      <c r="G15" s="28"/>
      <c r="H15" s="28"/>
      <c r="I15" s="33" t="s">
        <v>173</v>
      </c>
      <c r="J15" s="39">
        <f t="shared" ref="J15:AC15" si="13">$F$11*D230</f>
        <v>0</v>
      </c>
      <c r="K15" s="39">
        <f t="shared" si="13"/>
        <v>0</v>
      </c>
      <c r="L15" s="39">
        <f t="shared" si="13"/>
        <v>0</v>
      </c>
      <c r="M15" s="39">
        <f t="shared" si="13"/>
        <v>0</v>
      </c>
      <c r="N15" s="39">
        <f t="shared" si="13"/>
        <v>0</v>
      </c>
      <c r="O15" s="39">
        <f t="shared" si="13"/>
        <v>0</v>
      </c>
      <c r="P15" s="39">
        <f t="shared" si="13"/>
        <v>0</v>
      </c>
      <c r="Q15" s="39">
        <f t="shared" si="13"/>
        <v>0</v>
      </c>
      <c r="R15" s="39">
        <f t="shared" si="13"/>
        <v>0</v>
      </c>
      <c r="S15" s="39">
        <f t="shared" si="13"/>
        <v>0</v>
      </c>
      <c r="T15" s="39">
        <f t="shared" si="13"/>
        <v>0</v>
      </c>
      <c r="U15" s="39">
        <f t="shared" si="13"/>
        <v>0</v>
      </c>
      <c r="V15" s="39">
        <f t="shared" si="13"/>
        <v>0</v>
      </c>
      <c r="W15" s="39">
        <f t="shared" si="13"/>
        <v>0</v>
      </c>
      <c r="X15" s="39">
        <f t="shared" si="13"/>
        <v>0</v>
      </c>
      <c r="Y15" s="39">
        <f t="shared" si="13"/>
        <v>0</v>
      </c>
      <c r="Z15" s="39">
        <f t="shared" si="13"/>
        <v>0</v>
      </c>
      <c r="AA15" s="39">
        <f t="shared" si="13"/>
        <v>0</v>
      </c>
      <c r="AB15" s="39">
        <f t="shared" si="13"/>
        <v>0</v>
      </c>
      <c r="AC15" s="39">
        <f t="shared" si="13"/>
        <v>0</v>
      </c>
      <c r="AD15" s="206">
        <f t="shared" si="10"/>
        <v>0</v>
      </c>
    </row>
    <row r="16" spans="1:30" x14ac:dyDescent="0.2">
      <c r="E16" s="28"/>
      <c r="F16" s="28"/>
      <c r="G16" s="28"/>
      <c r="H16" s="28"/>
      <c r="I16" s="33" t="s">
        <v>218</v>
      </c>
      <c r="J16" s="29">
        <f t="shared" ref="J16:AC16" si="14">Share_Non_Ind*D$231</f>
        <v>2.4697005684349045</v>
      </c>
      <c r="K16" s="29">
        <f t="shared" si="14"/>
        <v>4.6452563176209747</v>
      </c>
      <c r="L16" s="29">
        <f t="shared" si="14"/>
        <v>6.6126589933192701</v>
      </c>
      <c r="M16" s="29">
        <f t="shared" si="14"/>
        <v>8.3614613717177555</v>
      </c>
      <c r="N16" s="29">
        <f t="shared" si="14"/>
        <v>9.8916634528164291</v>
      </c>
      <c r="O16" s="29">
        <f t="shared" si="14"/>
        <v>13.771818729888066</v>
      </c>
      <c r="P16" s="29">
        <f t="shared" si="14"/>
        <v>14.64621991908731</v>
      </c>
      <c r="Q16" s="29">
        <f t="shared" si="14"/>
        <v>15.302020810986741</v>
      </c>
      <c r="R16" s="29">
        <f t="shared" si="14"/>
        <v>15.903171628561221</v>
      </c>
      <c r="S16" s="29">
        <f t="shared" si="14"/>
        <v>16.504322446135699</v>
      </c>
      <c r="T16" s="29">
        <f t="shared" si="14"/>
        <v>20.384477723207336</v>
      </c>
      <c r="U16" s="29">
        <f t="shared" si="14"/>
        <v>20.603078020507148</v>
      </c>
      <c r="V16" s="29">
        <f t="shared" si="14"/>
        <v>12.569517094739108</v>
      </c>
      <c r="W16" s="29">
        <f t="shared" si="14"/>
        <v>12.514867020414155</v>
      </c>
      <c r="X16" s="29">
        <f t="shared" si="14"/>
        <v>9.0719123379421394</v>
      </c>
      <c r="Y16" s="29">
        <f t="shared" si="14"/>
        <v>11.039315013640435</v>
      </c>
      <c r="Z16" s="29">
        <f t="shared" si="14"/>
        <v>7.8149606284682287</v>
      </c>
      <c r="AA16" s="29">
        <f t="shared" si="14"/>
        <v>6.1208083243946962</v>
      </c>
      <c r="AB16" s="29">
        <f t="shared" si="14"/>
        <v>5.0278068378956435</v>
      </c>
      <c r="AC16" s="29">
        <f t="shared" si="14"/>
        <v>4.5906062432960226</v>
      </c>
      <c r="AD16" s="207">
        <f t="shared" si="10"/>
        <v>217.84564348307327</v>
      </c>
    </row>
    <row r="17" spans="1:30" ht="13.5" thickBot="1" x14ac:dyDescent="0.25">
      <c r="E17" s="28"/>
      <c r="F17" s="28"/>
      <c r="G17" s="28"/>
      <c r="H17" s="28"/>
      <c r="I17" s="34" t="s">
        <v>11</v>
      </c>
      <c r="J17" s="41">
        <f>SUM(J12:J16)</f>
        <v>104.82458023955169</v>
      </c>
      <c r="K17" s="41">
        <f t="shared" ref="K17:AC17" si="15">SUM(K12:K16)</f>
        <v>116.06158592892137</v>
      </c>
      <c r="L17" s="41">
        <f t="shared" si="15"/>
        <v>127.2424698009139</v>
      </c>
      <c r="M17" s="41">
        <f t="shared" si="15"/>
        <v>138.41257167087838</v>
      </c>
      <c r="N17" s="41">
        <f t="shared" si="15"/>
        <v>149.56281268929371</v>
      </c>
      <c r="O17" s="41">
        <f t="shared" si="15"/>
        <v>154.19095811762301</v>
      </c>
      <c r="P17" s="41">
        <f t="shared" si="15"/>
        <v>170.47430458511334</v>
      </c>
      <c r="Q17" s="41">
        <f t="shared" si="15"/>
        <v>181.40873315198644</v>
      </c>
      <c r="R17" s="41">
        <f t="shared" si="15"/>
        <v>186.79626296644724</v>
      </c>
      <c r="S17" s="41">
        <f t="shared" si="15"/>
        <v>192.28336663817629</v>
      </c>
      <c r="T17" s="41">
        <f t="shared" si="15"/>
        <v>199.58561880210848</v>
      </c>
      <c r="U17" s="41">
        <f t="shared" si="15"/>
        <v>199.55418288820849</v>
      </c>
      <c r="V17" s="41">
        <f t="shared" si="15"/>
        <v>199.47785938864567</v>
      </c>
      <c r="W17" s="41">
        <f t="shared" si="15"/>
        <v>196.71650600278022</v>
      </c>
      <c r="X17" s="41">
        <f t="shared" si="15"/>
        <v>169.29199908794141</v>
      </c>
      <c r="Y17" s="41">
        <f t="shared" si="15"/>
        <v>153.15729645478103</v>
      </c>
      <c r="Z17" s="41">
        <f t="shared" si="15"/>
        <v>136.60611162964128</v>
      </c>
      <c r="AA17" s="41">
        <f t="shared" si="15"/>
        <v>131.01730277366786</v>
      </c>
      <c r="AB17" s="41">
        <f t="shared" si="15"/>
        <v>125.4712594619087</v>
      </c>
      <c r="AC17" s="41">
        <f t="shared" si="15"/>
        <v>119.94763982108438</v>
      </c>
      <c r="AD17" s="208">
        <f t="shared" si="10"/>
        <v>3152.0834220996726</v>
      </c>
    </row>
    <row r="18" spans="1:30" x14ac:dyDescent="0.2">
      <c r="C18" t="s">
        <v>212</v>
      </c>
      <c r="E18" s="28"/>
      <c r="F18" s="28"/>
      <c r="G18" s="28"/>
      <c r="H18" s="28"/>
      <c r="I18" s="28"/>
    </row>
    <row r="19" spans="1:30" x14ac:dyDescent="0.2">
      <c r="C19" s="99" t="s">
        <v>0</v>
      </c>
      <c r="D19" s="99">
        <v>2010</v>
      </c>
      <c r="E19" s="99">
        <v>2011</v>
      </c>
      <c r="F19" s="99">
        <v>2012</v>
      </c>
      <c r="G19" s="99">
        <v>2013</v>
      </c>
      <c r="H19" s="99">
        <v>2014</v>
      </c>
      <c r="I19" s="99">
        <v>2015</v>
      </c>
      <c r="J19" s="99">
        <v>2016</v>
      </c>
      <c r="K19" s="99">
        <v>2017</v>
      </c>
      <c r="L19" s="99">
        <v>2018</v>
      </c>
      <c r="M19" s="99">
        <v>2019</v>
      </c>
      <c r="N19" s="99">
        <v>2020</v>
      </c>
      <c r="O19" s="99">
        <v>2021</v>
      </c>
      <c r="P19" s="99">
        <v>2022</v>
      </c>
      <c r="Q19" s="99">
        <v>2023</v>
      </c>
      <c r="R19" s="99">
        <v>2024</v>
      </c>
      <c r="S19" s="99">
        <v>2025</v>
      </c>
      <c r="T19" s="99">
        <v>2026</v>
      </c>
      <c r="U19" s="99">
        <v>2027</v>
      </c>
      <c r="V19" s="99">
        <v>2028</v>
      </c>
      <c r="W19" s="99">
        <v>2029</v>
      </c>
      <c r="X19" s="99" t="s">
        <v>11</v>
      </c>
    </row>
    <row r="20" spans="1:30" x14ac:dyDescent="0.2">
      <c r="C20" s="1" t="s">
        <v>191</v>
      </c>
      <c r="D20" s="97">
        <v>31</v>
      </c>
      <c r="E20" s="97">
        <v>50</v>
      </c>
      <c r="F20" s="97">
        <v>72</v>
      </c>
      <c r="G20" s="97">
        <v>98</v>
      </c>
      <c r="H20" s="97">
        <v>116</v>
      </c>
      <c r="I20" s="97">
        <v>131</v>
      </c>
      <c r="J20" s="97">
        <v>162</v>
      </c>
      <c r="K20" s="97">
        <v>180</v>
      </c>
      <c r="L20" s="97">
        <v>191</v>
      </c>
      <c r="M20" s="97">
        <v>202</v>
      </c>
      <c r="N20" s="97">
        <v>205</v>
      </c>
      <c r="O20" s="97">
        <v>206</v>
      </c>
      <c r="P20" s="97">
        <v>203</v>
      </c>
      <c r="Q20" s="97">
        <v>200</v>
      </c>
      <c r="R20" s="97">
        <v>200</v>
      </c>
      <c r="S20" s="97">
        <v>200</v>
      </c>
      <c r="T20" s="97">
        <v>200</v>
      </c>
      <c r="U20" s="97">
        <v>201</v>
      </c>
      <c r="V20" s="97">
        <v>201</v>
      </c>
      <c r="W20" s="98">
        <v>196</v>
      </c>
      <c r="X20" s="2">
        <f>SUBTOTAL(9,D20:W20)</f>
        <v>3245</v>
      </c>
    </row>
    <row r="21" spans="1:30" x14ac:dyDescent="0.2">
      <c r="C21" s="1" t="s">
        <v>192</v>
      </c>
      <c r="D21" s="97">
        <v>160</v>
      </c>
      <c r="E21" s="97">
        <v>160</v>
      </c>
      <c r="F21" s="97">
        <v>159</v>
      </c>
      <c r="G21" s="97">
        <v>160</v>
      </c>
      <c r="H21" s="97">
        <v>160</v>
      </c>
      <c r="I21" s="97">
        <v>160</v>
      </c>
      <c r="J21" s="97">
        <v>160</v>
      </c>
      <c r="K21" s="97">
        <v>159</v>
      </c>
      <c r="L21" s="97">
        <v>160</v>
      </c>
      <c r="M21" s="97">
        <v>159</v>
      </c>
      <c r="N21" s="97">
        <v>159</v>
      </c>
      <c r="O21" s="97">
        <v>159</v>
      </c>
      <c r="P21" s="97">
        <v>159</v>
      </c>
      <c r="Q21" s="97">
        <v>156</v>
      </c>
      <c r="R21" s="97">
        <v>113</v>
      </c>
      <c r="S21" s="97">
        <v>79</v>
      </c>
      <c r="T21" s="97">
        <v>55</v>
      </c>
      <c r="U21" s="97">
        <v>38</v>
      </c>
      <c r="V21" s="97">
        <v>29</v>
      </c>
      <c r="W21" s="98">
        <v>25</v>
      </c>
      <c r="X21" s="2">
        <f>SUBTOTAL(9,D21:W21)</f>
        <v>2569</v>
      </c>
    </row>
    <row r="22" spans="1:30" x14ac:dyDescent="0.2">
      <c r="C22" s="1" t="s">
        <v>11</v>
      </c>
      <c r="D22" s="97">
        <f>SUM(D20:D21)</f>
        <v>191</v>
      </c>
      <c r="E22" s="97">
        <f t="shared" ref="E22:X22" si="16">SUM(E20:E21)</f>
        <v>210</v>
      </c>
      <c r="F22" s="97">
        <f t="shared" si="16"/>
        <v>231</v>
      </c>
      <c r="G22" s="97">
        <f t="shared" si="16"/>
        <v>258</v>
      </c>
      <c r="H22" s="97">
        <f t="shared" si="16"/>
        <v>276</v>
      </c>
      <c r="I22" s="97">
        <f t="shared" si="16"/>
        <v>291</v>
      </c>
      <c r="J22" s="97">
        <f t="shared" si="16"/>
        <v>322</v>
      </c>
      <c r="K22" s="97">
        <f t="shared" si="16"/>
        <v>339</v>
      </c>
      <c r="L22" s="97">
        <f t="shared" si="16"/>
        <v>351</v>
      </c>
      <c r="M22" s="97">
        <f t="shared" si="16"/>
        <v>361</v>
      </c>
      <c r="N22" s="97">
        <f t="shared" si="16"/>
        <v>364</v>
      </c>
      <c r="O22" s="97">
        <f t="shared" si="16"/>
        <v>365</v>
      </c>
      <c r="P22" s="97">
        <f t="shared" si="16"/>
        <v>362</v>
      </c>
      <c r="Q22" s="97">
        <f t="shared" si="16"/>
        <v>356</v>
      </c>
      <c r="R22" s="97">
        <f t="shared" si="16"/>
        <v>313</v>
      </c>
      <c r="S22" s="97">
        <f t="shared" si="16"/>
        <v>279</v>
      </c>
      <c r="T22" s="97">
        <f t="shared" si="16"/>
        <v>255</v>
      </c>
      <c r="U22" s="97">
        <f t="shared" si="16"/>
        <v>239</v>
      </c>
      <c r="V22" s="97">
        <f t="shared" si="16"/>
        <v>230</v>
      </c>
      <c r="W22" s="97">
        <f t="shared" si="16"/>
        <v>221</v>
      </c>
      <c r="X22" s="97">
        <f t="shared" si="16"/>
        <v>5814</v>
      </c>
    </row>
    <row r="24" spans="1:30" x14ac:dyDescent="0.2">
      <c r="C24" t="s">
        <v>213</v>
      </c>
    </row>
    <row r="25" spans="1:30" x14ac:dyDescent="0.2">
      <c r="C25" s="99" t="s">
        <v>0</v>
      </c>
      <c r="D25" s="99">
        <v>2010</v>
      </c>
      <c r="E25" s="99">
        <v>2011</v>
      </c>
      <c r="F25" s="99">
        <v>2012</v>
      </c>
      <c r="G25" s="99">
        <v>2013</v>
      </c>
      <c r="H25" s="99">
        <v>2014</v>
      </c>
      <c r="I25" s="99">
        <v>2015</v>
      </c>
      <c r="J25" s="99">
        <v>2016</v>
      </c>
      <c r="K25" s="99">
        <v>2017</v>
      </c>
      <c r="L25" s="99">
        <v>2018</v>
      </c>
      <c r="M25" s="99">
        <v>2019</v>
      </c>
      <c r="N25" s="99">
        <v>2020</v>
      </c>
      <c r="O25" s="99">
        <v>2021</v>
      </c>
      <c r="P25" s="99">
        <v>2022</v>
      </c>
      <c r="Q25" s="99">
        <v>2023</v>
      </c>
      <c r="R25" s="99">
        <v>2024</v>
      </c>
      <c r="S25" s="99">
        <v>2025</v>
      </c>
      <c r="T25" s="99">
        <v>2026</v>
      </c>
      <c r="U25" s="99">
        <v>2027</v>
      </c>
      <c r="V25" s="99">
        <v>2028</v>
      </c>
      <c r="W25" s="99">
        <v>2029</v>
      </c>
      <c r="X25" s="99"/>
    </row>
    <row r="26" spans="1:30" x14ac:dyDescent="0.2">
      <c r="C26" s="1" t="s">
        <v>191</v>
      </c>
      <c r="D26" s="97">
        <v>40</v>
      </c>
      <c r="E26" s="97">
        <v>60</v>
      </c>
      <c r="F26" s="97">
        <v>80</v>
      </c>
      <c r="G26" s="97">
        <v>100</v>
      </c>
      <c r="H26" s="97">
        <v>120</v>
      </c>
      <c r="I26" s="97">
        <v>130</v>
      </c>
      <c r="J26" s="97">
        <v>160</v>
      </c>
      <c r="K26" s="97">
        <v>180</v>
      </c>
      <c r="L26" s="97">
        <v>190</v>
      </c>
      <c r="M26" s="97">
        <v>200</v>
      </c>
      <c r="N26" s="97">
        <v>205</v>
      </c>
      <c r="O26" s="97">
        <v>205</v>
      </c>
      <c r="P26" s="97">
        <v>205</v>
      </c>
      <c r="Q26" s="97">
        <v>200</v>
      </c>
      <c r="R26" s="97">
        <v>200</v>
      </c>
      <c r="S26" s="97">
        <v>200</v>
      </c>
      <c r="T26" s="97">
        <v>200</v>
      </c>
      <c r="U26" s="97">
        <v>200</v>
      </c>
      <c r="V26" s="97">
        <v>200</v>
      </c>
      <c r="W26" s="98">
        <v>200</v>
      </c>
      <c r="X26" s="2">
        <f>SUBTOTAL(9,D26:W26)</f>
        <v>3275</v>
      </c>
    </row>
    <row r="27" spans="1:30" x14ac:dyDescent="0.2">
      <c r="C27" s="1" t="s">
        <v>192</v>
      </c>
      <c r="D27" s="97">
        <v>160</v>
      </c>
      <c r="E27" s="97">
        <v>160</v>
      </c>
      <c r="F27" s="97">
        <v>160</v>
      </c>
      <c r="G27" s="97">
        <v>160</v>
      </c>
      <c r="H27" s="97">
        <v>160</v>
      </c>
      <c r="I27" s="97">
        <v>160</v>
      </c>
      <c r="J27" s="97">
        <v>160</v>
      </c>
      <c r="K27" s="97">
        <v>160</v>
      </c>
      <c r="L27" s="97">
        <v>160</v>
      </c>
      <c r="M27" s="97">
        <v>160</v>
      </c>
      <c r="N27" s="97">
        <v>160</v>
      </c>
      <c r="O27" s="97">
        <v>160</v>
      </c>
      <c r="P27" s="97">
        <v>160</v>
      </c>
      <c r="Q27" s="97">
        <v>160</v>
      </c>
      <c r="R27" s="97">
        <v>110</v>
      </c>
      <c r="S27" s="97">
        <v>80</v>
      </c>
      <c r="T27" s="97">
        <v>50</v>
      </c>
      <c r="U27" s="97">
        <v>40</v>
      </c>
      <c r="V27" s="97">
        <v>30</v>
      </c>
      <c r="W27" s="98">
        <v>20</v>
      </c>
      <c r="X27" s="2">
        <f>SUBTOTAL(9,D27:W27)</f>
        <v>2570</v>
      </c>
    </row>
    <row r="28" spans="1:30" x14ac:dyDescent="0.2">
      <c r="C28" s="1" t="s">
        <v>11</v>
      </c>
      <c r="D28" s="97">
        <f>SUM(D26:D27)</f>
        <v>200</v>
      </c>
      <c r="E28" s="97">
        <f t="shared" ref="E28:W28" si="17">SUM(E26:E27)</f>
        <v>220</v>
      </c>
      <c r="F28" s="97">
        <f t="shared" si="17"/>
        <v>240</v>
      </c>
      <c r="G28" s="97">
        <f t="shared" si="17"/>
        <v>260</v>
      </c>
      <c r="H28" s="97">
        <f t="shared" si="17"/>
        <v>280</v>
      </c>
      <c r="I28" s="97">
        <f t="shared" si="17"/>
        <v>290</v>
      </c>
      <c r="J28" s="97">
        <f t="shared" si="17"/>
        <v>320</v>
      </c>
      <c r="K28" s="97">
        <f t="shared" si="17"/>
        <v>340</v>
      </c>
      <c r="L28" s="97">
        <f t="shared" si="17"/>
        <v>350</v>
      </c>
      <c r="M28" s="97">
        <f t="shared" si="17"/>
        <v>360</v>
      </c>
      <c r="N28" s="97">
        <f t="shared" si="17"/>
        <v>365</v>
      </c>
      <c r="O28" s="97">
        <f t="shared" si="17"/>
        <v>365</v>
      </c>
      <c r="P28" s="97">
        <f t="shared" si="17"/>
        <v>365</v>
      </c>
      <c r="Q28" s="97">
        <f t="shared" si="17"/>
        <v>360</v>
      </c>
      <c r="R28" s="97">
        <f t="shared" si="17"/>
        <v>310</v>
      </c>
      <c r="S28" s="97">
        <f t="shared" si="17"/>
        <v>280</v>
      </c>
      <c r="T28" s="97">
        <f t="shared" si="17"/>
        <v>250</v>
      </c>
      <c r="U28" s="97">
        <f t="shared" si="17"/>
        <v>240</v>
      </c>
      <c r="V28" s="97">
        <f t="shared" si="17"/>
        <v>230</v>
      </c>
      <c r="W28" s="98">
        <f t="shared" si="17"/>
        <v>220</v>
      </c>
      <c r="X28" s="2">
        <f>SUBTOTAL(9,D28:W28)</f>
        <v>5845</v>
      </c>
    </row>
    <row r="30" spans="1:30" x14ac:dyDescent="0.2">
      <c r="E30" s="28"/>
      <c r="F30" s="28"/>
      <c r="G30" s="28"/>
      <c r="H30" s="28"/>
      <c r="I30" s="28"/>
    </row>
    <row r="31" spans="1:30" ht="51" customHeight="1" x14ac:dyDescent="0.2">
      <c r="A31">
        <v>1</v>
      </c>
      <c r="B31">
        <v>2</v>
      </c>
      <c r="C31">
        <v>3</v>
      </c>
      <c r="D31">
        <v>4</v>
      </c>
      <c r="E31">
        <v>5</v>
      </c>
      <c r="F31">
        <v>6</v>
      </c>
      <c r="G31">
        <v>7</v>
      </c>
      <c r="H31">
        <v>8</v>
      </c>
      <c r="I31">
        <v>9</v>
      </c>
      <c r="J31">
        <v>10</v>
      </c>
      <c r="K31">
        <v>11</v>
      </c>
      <c r="L31">
        <v>12</v>
      </c>
      <c r="M31">
        <v>13</v>
      </c>
      <c r="N31">
        <v>14</v>
      </c>
      <c r="O31">
        <v>15</v>
      </c>
      <c r="P31">
        <v>16</v>
      </c>
      <c r="Q31">
        <v>17</v>
      </c>
      <c r="R31">
        <v>18</v>
      </c>
      <c r="S31">
        <v>19</v>
      </c>
      <c r="T31">
        <v>20</v>
      </c>
      <c r="U31">
        <v>21</v>
      </c>
      <c r="V31">
        <v>22</v>
      </c>
      <c r="W31">
        <v>23</v>
      </c>
      <c r="X31">
        <v>24</v>
      </c>
      <c r="Y31">
        <v>25</v>
      </c>
      <c r="Z31">
        <v>26</v>
      </c>
      <c r="AA31">
        <v>27</v>
      </c>
      <c r="AB31">
        <v>28</v>
      </c>
      <c r="AC31">
        <v>29</v>
      </c>
    </row>
    <row r="32" spans="1:30" ht="51" x14ac:dyDescent="0.2">
      <c r="D32" s="28"/>
      <c r="E32" s="28"/>
      <c r="F32" s="28"/>
      <c r="G32" s="28"/>
      <c r="H32" s="28"/>
      <c r="I32" s="391" t="s">
        <v>207</v>
      </c>
      <c r="J32" s="391"/>
      <c r="K32" s="391"/>
      <c r="L32" s="391"/>
      <c r="M32" s="391"/>
      <c r="N32" s="391"/>
      <c r="O32" s="391"/>
      <c r="P32" s="391"/>
      <c r="Q32" s="391"/>
      <c r="R32" s="391"/>
      <c r="S32" s="391"/>
      <c r="T32" s="391"/>
      <c r="U32" s="391"/>
      <c r="V32" s="391"/>
      <c r="W32" s="391"/>
      <c r="X32" s="391"/>
      <c r="Y32" s="391"/>
      <c r="Z32" s="391"/>
      <c r="AA32" s="391"/>
      <c r="AB32" s="391"/>
      <c r="AC32" s="21" t="s">
        <v>208</v>
      </c>
    </row>
    <row r="33" spans="1:29" ht="38.25" x14ac:dyDescent="0.2">
      <c r="A33" s="18" t="s">
        <v>203</v>
      </c>
      <c r="B33" s="183" t="s">
        <v>150</v>
      </c>
      <c r="C33" s="183" t="s">
        <v>17</v>
      </c>
      <c r="D33" s="184" t="s">
        <v>151</v>
      </c>
      <c r="E33" s="184" t="s">
        <v>152</v>
      </c>
      <c r="F33" s="184" t="s">
        <v>153</v>
      </c>
      <c r="G33" s="184" t="s">
        <v>154</v>
      </c>
      <c r="H33" s="185" t="s">
        <v>155</v>
      </c>
      <c r="I33" s="142">
        <v>200</v>
      </c>
      <c r="J33" s="142">
        <v>220</v>
      </c>
      <c r="K33" s="142">
        <v>240</v>
      </c>
      <c r="L33" s="142">
        <v>260</v>
      </c>
      <c r="M33" s="142">
        <v>280</v>
      </c>
      <c r="N33" s="143">
        <v>290</v>
      </c>
      <c r="O33" s="143">
        <v>320</v>
      </c>
      <c r="P33" s="143">
        <v>340</v>
      </c>
      <c r="Q33" s="143">
        <v>350</v>
      </c>
      <c r="R33" s="143">
        <v>360</v>
      </c>
      <c r="S33" s="143">
        <v>365</v>
      </c>
      <c r="T33" s="143">
        <v>365</v>
      </c>
      <c r="U33" s="143">
        <v>365</v>
      </c>
      <c r="V33" s="143">
        <v>360</v>
      </c>
      <c r="W33" s="143">
        <v>310</v>
      </c>
      <c r="X33" s="143">
        <v>280</v>
      </c>
      <c r="Y33" s="143">
        <v>250</v>
      </c>
      <c r="Z33" s="143">
        <v>240</v>
      </c>
      <c r="AA33" s="143">
        <v>230</v>
      </c>
      <c r="AB33" s="143">
        <v>220</v>
      </c>
      <c r="AC33" s="142">
        <f>SUM(I33:AB33)</f>
        <v>5845</v>
      </c>
    </row>
    <row r="34" spans="1:29" hidden="1" x14ac:dyDescent="0.2">
      <c r="A34" s="27" t="str">
        <f t="shared" ref="A34:A65" si="18">B34&amp;" - "&amp;C34</f>
        <v>Alder Mutual Light Co, Inc - WA</v>
      </c>
      <c r="B34" s="11" t="s">
        <v>20</v>
      </c>
      <c r="C34" s="11" t="s">
        <v>14</v>
      </c>
      <c r="D34" s="12">
        <f>VLOOKUP($A34,'EIA Soure Data'!$A$5:$X$156,'EIA Soure Data'!F$1,0)</f>
        <v>3842</v>
      </c>
      <c r="E34" s="12">
        <f>VLOOKUP($A34,'EIA Soure Data'!$A$5:$X$156,'EIA Soure Data'!J$1,0)</f>
        <v>378</v>
      </c>
      <c r="F34" s="12">
        <f>VLOOKUP($A34,'EIA Soure Data'!$A$5:$X$156,'EIA Soure Data'!N$1,0)</f>
        <v>0</v>
      </c>
      <c r="G34" s="12">
        <f>VLOOKUP($A34,'EIA Soure Data'!$A$5:$X$156,'EIA Soure Data'!V$1,0)</f>
        <v>4220</v>
      </c>
      <c r="H34" s="13">
        <f t="shared" ref="H34:H64" si="19">G34/PNWSales_Total</f>
        <v>2.7217073191304377E-5</v>
      </c>
      <c r="I34" s="14">
        <f t="shared" ref="I34:AB47" si="20">$H34*I$33</f>
        <v>5.4434146382608753E-3</v>
      </c>
      <c r="J34" s="14">
        <f t="shared" si="20"/>
        <v>5.9877561020869625E-3</v>
      </c>
      <c r="K34" s="14">
        <f t="shared" si="20"/>
        <v>6.5320975659130505E-3</v>
      </c>
      <c r="L34" s="14">
        <f t="shared" si="20"/>
        <v>7.0764390297391377E-3</v>
      </c>
      <c r="M34" s="14">
        <f t="shared" si="20"/>
        <v>7.6207804935652258E-3</v>
      </c>
      <c r="N34" s="14">
        <f t="shared" si="20"/>
        <v>7.8929512254782685E-3</v>
      </c>
      <c r="O34" s="14">
        <f t="shared" si="20"/>
        <v>8.7094634212174001E-3</v>
      </c>
      <c r="P34" s="14">
        <f t="shared" si="20"/>
        <v>9.2538048850434873E-3</v>
      </c>
      <c r="Q34" s="14">
        <f t="shared" si="20"/>
        <v>9.5259756169565318E-3</v>
      </c>
      <c r="R34" s="14">
        <f t="shared" si="20"/>
        <v>9.7981463488695762E-3</v>
      </c>
      <c r="S34" s="14">
        <f t="shared" si="20"/>
        <v>9.9342317148260976E-3</v>
      </c>
      <c r="T34" s="14">
        <f t="shared" si="20"/>
        <v>9.9342317148260976E-3</v>
      </c>
      <c r="U34" s="14">
        <f t="shared" si="20"/>
        <v>9.9342317148260976E-3</v>
      </c>
      <c r="V34" s="14">
        <f t="shared" si="20"/>
        <v>9.7981463488695762E-3</v>
      </c>
      <c r="W34" s="14">
        <f t="shared" si="20"/>
        <v>8.4372926893043574E-3</v>
      </c>
      <c r="X34" s="14">
        <f t="shared" si="20"/>
        <v>7.6207804935652258E-3</v>
      </c>
      <c r="Y34" s="14">
        <f t="shared" si="20"/>
        <v>6.8042682978260941E-3</v>
      </c>
      <c r="Z34" s="14">
        <f t="shared" si="20"/>
        <v>6.5320975659130505E-3</v>
      </c>
      <c r="AA34" s="14">
        <f t="shared" si="20"/>
        <v>6.2599268340000069E-3</v>
      </c>
      <c r="AB34" s="14">
        <f t="shared" si="20"/>
        <v>5.9877561020869625E-3</v>
      </c>
      <c r="AC34" s="14">
        <f t="shared" ref="AC34:AC64" si="21">$H34*AC$33</f>
        <v>0.15908379280317408</v>
      </c>
    </row>
    <row r="35" spans="1:29" hidden="1" x14ac:dyDescent="0.2">
      <c r="A35" s="27" t="str">
        <f t="shared" si="18"/>
        <v>Avista Corp - ID</v>
      </c>
      <c r="B35" s="11" t="s">
        <v>136</v>
      </c>
      <c r="C35" s="11" t="s">
        <v>19</v>
      </c>
      <c r="D35" s="12">
        <f>VLOOKUP($A35,'EIA Soure Data'!$A$5:$X$156,'EIA Soure Data'!F$1,0)</f>
        <v>1179482</v>
      </c>
      <c r="E35" s="12">
        <f>VLOOKUP($A35,'EIA Soure Data'!$A$5:$X$156,'EIA Soure Data'!J$1,0)</f>
        <v>998465</v>
      </c>
      <c r="F35" s="12">
        <f>VLOOKUP($A35,'EIA Soure Data'!$A$5:$X$156,'EIA Soure Data'!N$1,0)</f>
        <v>1210786</v>
      </c>
      <c r="G35" s="12">
        <f>VLOOKUP($A35,'EIA Soure Data'!$A$5:$X$156,'EIA Soure Data'!V$1,0)</f>
        <v>3388733</v>
      </c>
      <c r="H35" s="13">
        <f t="shared" si="19"/>
        <v>2.1855780589286361E-2</v>
      </c>
      <c r="I35" s="14">
        <f t="shared" ref="I35:Q42" si="22">$H35*I$33</f>
        <v>4.3711561178572724</v>
      </c>
      <c r="J35" s="14">
        <f t="shared" si="22"/>
        <v>4.8082717296429998</v>
      </c>
      <c r="K35" s="14">
        <f t="shared" si="22"/>
        <v>5.2453873414287262</v>
      </c>
      <c r="L35" s="14">
        <f t="shared" si="22"/>
        <v>5.6825029532144535</v>
      </c>
      <c r="M35" s="14">
        <f t="shared" si="22"/>
        <v>6.1196185650001809</v>
      </c>
      <c r="N35" s="14">
        <f t="shared" si="22"/>
        <v>6.338176370893045</v>
      </c>
      <c r="O35" s="14">
        <f t="shared" si="22"/>
        <v>6.9938497885716355</v>
      </c>
      <c r="P35" s="14">
        <f t="shared" si="22"/>
        <v>7.4309654003573629</v>
      </c>
      <c r="Q35" s="14">
        <f t="shared" si="22"/>
        <v>7.6495232062502261</v>
      </c>
      <c r="R35" s="14">
        <f t="shared" ref="R35:R65" si="23">$H35*R$33</f>
        <v>7.8680810121430902</v>
      </c>
      <c r="S35" s="14">
        <f t="shared" si="20"/>
        <v>7.9773599150895214</v>
      </c>
      <c r="T35" s="14">
        <f t="shared" si="20"/>
        <v>7.9773599150895214</v>
      </c>
      <c r="U35" s="14">
        <f t="shared" si="20"/>
        <v>7.9773599150895214</v>
      </c>
      <c r="V35" s="14">
        <f t="shared" si="20"/>
        <v>7.8680810121430902</v>
      </c>
      <c r="W35" s="14">
        <f t="shared" si="20"/>
        <v>6.7752919826787723</v>
      </c>
      <c r="X35" s="14">
        <f t="shared" si="20"/>
        <v>6.1196185650001809</v>
      </c>
      <c r="Y35" s="14">
        <f t="shared" si="20"/>
        <v>5.4639451473215903</v>
      </c>
      <c r="Z35" s="14">
        <f t="shared" si="20"/>
        <v>5.2453873414287262</v>
      </c>
      <c r="AA35" s="14">
        <f t="shared" si="20"/>
        <v>5.026829535535863</v>
      </c>
      <c r="AB35" s="14">
        <f t="shared" si="20"/>
        <v>4.8082717296429998</v>
      </c>
      <c r="AC35" s="14">
        <f t="shared" si="21"/>
        <v>127.74703754437878</v>
      </c>
    </row>
    <row r="36" spans="1:29" hidden="1" x14ac:dyDescent="0.2">
      <c r="A36" s="27" t="str">
        <f t="shared" si="18"/>
        <v>Avista Corp - MT</v>
      </c>
      <c r="B36" s="11" t="s">
        <v>136</v>
      </c>
      <c r="C36" s="11" t="s">
        <v>56</v>
      </c>
      <c r="D36" s="12">
        <f>VLOOKUP($A36,'EIA Soure Data'!$A$5:$X$156,'EIA Soure Data'!F$1,0)</f>
        <v>133</v>
      </c>
      <c r="E36" s="12">
        <f>VLOOKUP($A36,'EIA Soure Data'!$A$5:$X$156,'EIA Soure Data'!J$1,0)</f>
        <v>348</v>
      </c>
      <c r="F36" s="12">
        <f>VLOOKUP($A36,'EIA Soure Data'!$A$5:$X$156,'EIA Soure Data'!N$1,0)</f>
        <v>0</v>
      </c>
      <c r="G36" s="12">
        <f>VLOOKUP($A36,'EIA Soure Data'!$A$5:$X$156,'EIA Soure Data'!V$1,0)</f>
        <v>481</v>
      </c>
      <c r="H36" s="13">
        <f t="shared" si="19"/>
        <v>3.102230380335878E-6</v>
      </c>
      <c r="I36" s="14">
        <f t="shared" si="22"/>
        <v>6.2044607606717565E-4</v>
      </c>
      <c r="J36" s="14">
        <f t="shared" si="22"/>
        <v>6.8249068367389311E-4</v>
      </c>
      <c r="K36" s="14">
        <f t="shared" si="22"/>
        <v>7.4453529128061069E-4</v>
      </c>
      <c r="L36" s="14">
        <f t="shared" si="22"/>
        <v>8.0657989888732826E-4</v>
      </c>
      <c r="M36" s="14">
        <f t="shared" si="22"/>
        <v>8.6862450649404584E-4</v>
      </c>
      <c r="N36" s="14">
        <f t="shared" si="22"/>
        <v>8.9964681029740463E-4</v>
      </c>
      <c r="O36" s="14">
        <f t="shared" si="22"/>
        <v>9.9271372170748099E-4</v>
      </c>
      <c r="P36" s="14">
        <f t="shared" si="22"/>
        <v>1.0547583293141986E-3</v>
      </c>
      <c r="Q36" s="14">
        <f t="shared" si="22"/>
        <v>1.0857806331175572E-3</v>
      </c>
      <c r="R36" s="14">
        <f t="shared" si="23"/>
        <v>1.1168029369209161E-3</v>
      </c>
      <c r="S36" s="14">
        <f t="shared" si="20"/>
        <v>1.1323140888225955E-3</v>
      </c>
      <c r="T36" s="14">
        <f t="shared" si="20"/>
        <v>1.1323140888225955E-3</v>
      </c>
      <c r="U36" s="14">
        <f t="shared" si="20"/>
        <v>1.1323140888225955E-3</v>
      </c>
      <c r="V36" s="14">
        <f t="shared" si="20"/>
        <v>1.1168029369209161E-3</v>
      </c>
      <c r="W36" s="14">
        <f t="shared" si="20"/>
        <v>9.616914179041222E-4</v>
      </c>
      <c r="X36" s="14">
        <f t="shared" si="20"/>
        <v>8.6862450649404584E-4</v>
      </c>
      <c r="Y36" s="14">
        <f t="shared" si="20"/>
        <v>7.7555759508396948E-4</v>
      </c>
      <c r="Z36" s="14">
        <f t="shared" si="20"/>
        <v>7.4453529128061069E-4</v>
      </c>
      <c r="AA36" s="14">
        <f t="shared" si="20"/>
        <v>7.135129874772519E-4</v>
      </c>
      <c r="AB36" s="14">
        <f t="shared" si="20"/>
        <v>6.8249068367389311E-4</v>
      </c>
      <c r="AC36" s="14">
        <f t="shared" si="21"/>
        <v>1.8132536573063206E-2</v>
      </c>
    </row>
    <row r="37" spans="1:29" hidden="1" x14ac:dyDescent="0.2">
      <c r="A37" s="27" t="str">
        <f t="shared" si="18"/>
        <v>Avista Corp - WA</v>
      </c>
      <c r="B37" s="11" t="s">
        <v>136</v>
      </c>
      <c r="C37" s="11" t="s">
        <v>14</v>
      </c>
      <c r="D37" s="12">
        <f>VLOOKUP($A37,'EIA Soure Data'!$A$5:$X$156,'EIA Soure Data'!F$1,0)</f>
        <v>2438713</v>
      </c>
      <c r="E37" s="12">
        <f>VLOOKUP($A37,'EIA Soure Data'!$A$5:$X$156,'EIA Soure Data'!J$1,0)</f>
        <v>2139915</v>
      </c>
      <c r="F37" s="12">
        <f>VLOOKUP($A37,'EIA Soure Data'!$A$5:$X$156,'EIA Soure Data'!N$1,0)</f>
        <v>888547</v>
      </c>
      <c r="G37" s="12">
        <f>VLOOKUP($A37,'EIA Soure Data'!$A$5:$X$156,'EIA Soure Data'!V$1,0)</f>
        <v>5467175</v>
      </c>
      <c r="H37" s="13">
        <f t="shared" si="19"/>
        <v>3.5260782493997514E-2</v>
      </c>
      <c r="I37" s="14">
        <f t="shared" si="22"/>
        <v>7.0521564987995031</v>
      </c>
      <c r="J37" s="14">
        <f t="shared" si="22"/>
        <v>7.7573721486794529</v>
      </c>
      <c r="K37" s="14">
        <f t="shared" si="22"/>
        <v>8.4625877985594027</v>
      </c>
      <c r="L37" s="14">
        <f t="shared" si="22"/>
        <v>9.1678034484393542</v>
      </c>
      <c r="M37" s="14">
        <f t="shared" si="22"/>
        <v>9.873019098319304</v>
      </c>
      <c r="N37" s="14">
        <f t="shared" si="22"/>
        <v>10.225626923259279</v>
      </c>
      <c r="O37" s="14">
        <f t="shared" si="22"/>
        <v>11.283450398079204</v>
      </c>
      <c r="P37" s="14">
        <f t="shared" si="22"/>
        <v>11.988666047959155</v>
      </c>
      <c r="Q37" s="14">
        <f t="shared" si="22"/>
        <v>12.34127387289913</v>
      </c>
      <c r="R37" s="14">
        <f t="shared" si="23"/>
        <v>12.693881697839105</v>
      </c>
      <c r="S37" s="14">
        <f t="shared" si="20"/>
        <v>12.870185610309093</v>
      </c>
      <c r="T37" s="14">
        <f t="shared" si="20"/>
        <v>12.870185610309093</v>
      </c>
      <c r="U37" s="14">
        <f t="shared" si="20"/>
        <v>12.870185610309093</v>
      </c>
      <c r="V37" s="14">
        <f t="shared" si="20"/>
        <v>12.693881697839105</v>
      </c>
      <c r="W37" s="14">
        <f t="shared" si="20"/>
        <v>10.930842573139229</v>
      </c>
      <c r="X37" s="14">
        <f t="shared" si="20"/>
        <v>9.873019098319304</v>
      </c>
      <c r="Y37" s="14">
        <f t="shared" si="20"/>
        <v>8.8151956234993794</v>
      </c>
      <c r="Z37" s="14">
        <f t="shared" si="20"/>
        <v>8.4625877985594027</v>
      </c>
      <c r="AA37" s="14">
        <f t="shared" si="20"/>
        <v>8.1099799736194278</v>
      </c>
      <c r="AB37" s="14">
        <f t="shared" si="20"/>
        <v>7.7573721486794529</v>
      </c>
      <c r="AC37" s="14">
        <f t="shared" si="21"/>
        <v>206.09927367741548</v>
      </c>
    </row>
    <row r="38" spans="1:29" hidden="1" x14ac:dyDescent="0.2">
      <c r="A38" s="27" t="str">
        <f t="shared" si="18"/>
        <v>Benton Rural Electric Assn - WA</v>
      </c>
      <c r="B38" s="11" t="s">
        <v>25</v>
      </c>
      <c r="C38" s="11" t="s">
        <v>14</v>
      </c>
      <c r="D38" s="12">
        <f>VLOOKUP($A38,'EIA Soure Data'!$A$5:$X$156,'EIA Soure Data'!F$1,0)</f>
        <v>218313</v>
      </c>
      <c r="E38" s="12">
        <f>VLOOKUP($A38,'EIA Soure Data'!$A$5:$X$156,'EIA Soure Data'!J$1,0)</f>
        <v>111267</v>
      </c>
      <c r="F38" s="12">
        <f>VLOOKUP($A38,'EIA Soure Data'!$A$5:$X$156,'EIA Soure Data'!N$1,0)</f>
        <v>201062</v>
      </c>
      <c r="G38" s="12">
        <f>VLOOKUP($A38,'EIA Soure Data'!$A$5:$X$156,'EIA Soure Data'!V$1,0)</f>
        <v>530642</v>
      </c>
      <c r="H38" s="13">
        <f t="shared" si="19"/>
        <v>3.4223986143080893E-3</v>
      </c>
      <c r="I38" s="14">
        <f t="shared" si="22"/>
        <v>0.68447972286161785</v>
      </c>
      <c r="J38" s="14">
        <f t="shared" si="22"/>
        <v>0.75292769514777969</v>
      </c>
      <c r="K38" s="14">
        <f t="shared" si="22"/>
        <v>0.82137566743394141</v>
      </c>
      <c r="L38" s="14">
        <f t="shared" si="22"/>
        <v>0.88982363972010325</v>
      </c>
      <c r="M38" s="14">
        <f t="shared" si="22"/>
        <v>0.95827161200626498</v>
      </c>
      <c r="N38" s="14">
        <f t="shared" si="22"/>
        <v>0.99249559814934585</v>
      </c>
      <c r="O38" s="14">
        <f t="shared" si="22"/>
        <v>1.0951675565785886</v>
      </c>
      <c r="P38" s="14">
        <f t="shared" si="22"/>
        <v>1.1636155288647503</v>
      </c>
      <c r="Q38" s="14">
        <f t="shared" si="22"/>
        <v>1.1978395150078314</v>
      </c>
      <c r="R38" s="14">
        <f t="shared" si="23"/>
        <v>1.2320635011509122</v>
      </c>
      <c r="S38" s="14">
        <f t="shared" si="20"/>
        <v>1.2491754942224527</v>
      </c>
      <c r="T38" s="14">
        <f t="shared" si="20"/>
        <v>1.2491754942224527</v>
      </c>
      <c r="U38" s="14">
        <f t="shared" si="20"/>
        <v>1.2491754942224527</v>
      </c>
      <c r="V38" s="14">
        <f t="shared" si="20"/>
        <v>1.2320635011509122</v>
      </c>
      <c r="W38" s="14">
        <f t="shared" si="20"/>
        <v>1.0609435704355077</v>
      </c>
      <c r="X38" s="14">
        <f t="shared" si="20"/>
        <v>0.95827161200626498</v>
      </c>
      <c r="Y38" s="14">
        <f t="shared" si="20"/>
        <v>0.85559965357702228</v>
      </c>
      <c r="Z38" s="14">
        <f t="shared" si="20"/>
        <v>0.82137566743394141</v>
      </c>
      <c r="AA38" s="14">
        <f t="shared" si="20"/>
        <v>0.78715168129086055</v>
      </c>
      <c r="AB38" s="14">
        <f t="shared" si="20"/>
        <v>0.75292769514777969</v>
      </c>
      <c r="AC38" s="14">
        <f t="shared" si="21"/>
        <v>20.00391990063078</v>
      </c>
    </row>
    <row r="39" spans="1:29" hidden="1" x14ac:dyDescent="0.2">
      <c r="A39" s="27" t="str">
        <f t="shared" si="18"/>
        <v>Big Bend Electric Coop, Inc - WA</v>
      </c>
      <c r="B39" s="11" t="s">
        <v>26</v>
      </c>
      <c r="C39" s="11" t="s">
        <v>14</v>
      </c>
      <c r="D39" s="12">
        <f>VLOOKUP($A39,'EIA Soure Data'!$A$5:$X$156,'EIA Soure Data'!F$1,0)</f>
        <v>94865</v>
      </c>
      <c r="E39" s="12">
        <f>VLOOKUP($A39,'EIA Soure Data'!$A$5:$X$156,'EIA Soure Data'!J$1,0)</f>
        <v>377622</v>
      </c>
      <c r="F39" s="12">
        <f>VLOOKUP($A39,'EIA Soure Data'!$A$5:$X$156,'EIA Soure Data'!N$1,0)</f>
        <v>0</v>
      </c>
      <c r="G39" s="12">
        <f>VLOOKUP($A39,'EIA Soure Data'!$A$5:$X$156,'EIA Soure Data'!V$1,0)</f>
        <v>472487</v>
      </c>
      <c r="H39" s="13">
        <f t="shared" si="19"/>
        <v>3.04732541728432E-3</v>
      </c>
      <c r="I39" s="14">
        <f t="shared" si="22"/>
        <v>0.60946508345686401</v>
      </c>
      <c r="J39" s="14">
        <f t="shared" si="22"/>
        <v>0.67041159180255039</v>
      </c>
      <c r="K39" s="14">
        <f t="shared" si="22"/>
        <v>0.73135810014823677</v>
      </c>
      <c r="L39" s="14">
        <f t="shared" si="22"/>
        <v>0.79230460849392315</v>
      </c>
      <c r="M39" s="14">
        <f t="shared" si="22"/>
        <v>0.85325111683960964</v>
      </c>
      <c r="N39" s="14">
        <f t="shared" si="22"/>
        <v>0.88372437101245283</v>
      </c>
      <c r="O39" s="14">
        <f t="shared" si="22"/>
        <v>0.97514413353098239</v>
      </c>
      <c r="P39" s="14">
        <f t="shared" si="22"/>
        <v>1.0360906418766689</v>
      </c>
      <c r="Q39" s="14">
        <f t="shared" si="22"/>
        <v>1.0665638960495121</v>
      </c>
      <c r="R39" s="14">
        <f t="shared" si="23"/>
        <v>1.0970371502223553</v>
      </c>
      <c r="S39" s="14">
        <f t="shared" si="20"/>
        <v>1.1122737773087767</v>
      </c>
      <c r="T39" s="14">
        <f t="shared" si="20"/>
        <v>1.1122737773087767</v>
      </c>
      <c r="U39" s="14">
        <f t="shared" si="20"/>
        <v>1.1122737773087767</v>
      </c>
      <c r="V39" s="14">
        <f t="shared" si="20"/>
        <v>1.0970371502223553</v>
      </c>
      <c r="W39" s="14">
        <f t="shared" si="20"/>
        <v>0.9446708793581392</v>
      </c>
      <c r="X39" s="14">
        <f t="shared" si="20"/>
        <v>0.85325111683960964</v>
      </c>
      <c r="Y39" s="14">
        <f t="shared" si="20"/>
        <v>0.76183135432107996</v>
      </c>
      <c r="Z39" s="14">
        <f t="shared" si="20"/>
        <v>0.73135810014823677</v>
      </c>
      <c r="AA39" s="14">
        <f t="shared" si="20"/>
        <v>0.70088484597539358</v>
      </c>
      <c r="AB39" s="14">
        <f t="shared" si="20"/>
        <v>0.67041159180255039</v>
      </c>
      <c r="AC39" s="14">
        <f t="shared" si="21"/>
        <v>17.811617064026851</v>
      </c>
    </row>
    <row r="40" spans="1:29" hidden="1" x14ac:dyDescent="0.2">
      <c r="A40" s="27" t="str">
        <f t="shared" si="18"/>
        <v>Blachly-Lane Cnty Coop El Assn - OR</v>
      </c>
      <c r="B40" s="11" t="s">
        <v>204</v>
      </c>
      <c r="C40" s="11" t="s">
        <v>22</v>
      </c>
      <c r="D40" s="12">
        <f>VLOOKUP($A40,'EIA Soure Data'!$A$5:$X$156,'EIA Soure Data'!F$1,0)</f>
        <v>51282</v>
      </c>
      <c r="E40" s="12">
        <f>VLOOKUP($A40,'EIA Soure Data'!$A$5:$X$156,'EIA Soure Data'!J$1,0)</f>
        <v>39724</v>
      </c>
      <c r="F40" s="12">
        <f>VLOOKUP($A40,'EIA Soure Data'!$A$5:$X$156,'EIA Soure Data'!N$1,0)</f>
        <v>42789</v>
      </c>
      <c r="G40" s="12">
        <f>VLOOKUP($A40,'EIA Soure Data'!$A$5:$X$156,'EIA Soure Data'!V$1,0)</f>
        <v>133795</v>
      </c>
      <c r="H40" s="13">
        <f t="shared" si="19"/>
        <v>8.6291666057596418E-4</v>
      </c>
      <c r="I40" s="14">
        <f t="shared" si="22"/>
        <v>0.17258333211519283</v>
      </c>
      <c r="J40" s="14">
        <f t="shared" si="22"/>
        <v>0.18984166532671212</v>
      </c>
      <c r="K40" s="14">
        <f t="shared" si="22"/>
        <v>0.20709999853823141</v>
      </c>
      <c r="L40" s="14">
        <f t="shared" si="22"/>
        <v>0.2243583317497507</v>
      </c>
      <c r="M40" s="14">
        <f t="shared" si="22"/>
        <v>0.24161666496126996</v>
      </c>
      <c r="N40" s="14">
        <f t="shared" si="22"/>
        <v>0.25024583156702962</v>
      </c>
      <c r="O40" s="14">
        <f t="shared" si="22"/>
        <v>0.27613333138430851</v>
      </c>
      <c r="P40" s="14">
        <f t="shared" si="22"/>
        <v>0.29339166459582783</v>
      </c>
      <c r="Q40" s="14">
        <f t="shared" si="22"/>
        <v>0.30202083120158746</v>
      </c>
      <c r="R40" s="14">
        <f t="shared" si="23"/>
        <v>0.31064999780734709</v>
      </c>
      <c r="S40" s="14">
        <f t="shared" si="20"/>
        <v>0.3149645811102269</v>
      </c>
      <c r="T40" s="14">
        <f t="shared" si="20"/>
        <v>0.3149645811102269</v>
      </c>
      <c r="U40" s="14">
        <f t="shared" si="20"/>
        <v>0.3149645811102269</v>
      </c>
      <c r="V40" s="14">
        <f t="shared" si="20"/>
        <v>0.31064999780734709</v>
      </c>
      <c r="W40" s="14">
        <f t="shared" si="20"/>
        <v>0.26750416477854888</v>
      </c>
      <c r="X40" s="14">
        <f t="shared" si="20"/>
        <v>0.24161666496126996</v>
      </c>
      <c r="Y40" s="14">
        <f t="shared" si="20"/>
        <v>0.21572916514399104</v>
      </c>
      <c r="Z40" s="14">
        <f t="shared" si="20"/>
        <v>0.20709999853823141</v>
      </c>
      <c r="AA40" s="14">
        <f t="shared" si="20"/>
        <v>0.19847083193247175</v>
      </c>
      <c r="AB40" s="14">
        <f t="shared" si="20"/>
        <v>0.18984166532671212</v>
      </c>
      <c r="AC40" s="14">
        <f t="shared" si="21"/>
        <v>5.0437478810665111</v>
      </c>
    </row>
    <row r="41" spans="1:29" hidden="1" x14ac:dyDescent="0.2">
      <c r="A41" s="27" t="str">
        <f t="shared" si="18"/>
        <v>Canby Utility Board - OR</v>
      </c>
      <c r="B41" s="11" t="s">
        <v>205</v>
      </c>
      <c r="C41" s="11" t="s">
        <v>22</v>
      </c>
      <c r="D41" s="12">
        <f>VLOOKUP($A41,'EIA Soure Data'!$A$5:$X$156,'EIA Soure Data'!F$1,0)</f>
        <v>75941</v>
      </c>
      <c r="E41" s="12">
        <f>VLOOKUP($A41,'EIA Soure Data'!$A$5:$X$156,'EIA Soure Data'!J$1,0)</f>
        <v>55833</v>
      </c>
      <c r="F41" s="12">
        <f>VLOOKUP($A41,'EIA Soure Data'!$A$5:$X$156,'EIA Soure Data'!N$1,0)</f>
        <v>33214</v>
      </c>
      <c r="G41" s="12">
        <f>VLOOKUP($A41,'EIA Soure Data'!$A$5:$X$156,'EIA Soure Data'!V$1,0)</f>
        <v>164988</v>
      </c>
      <c r="H41" s="13">
        <f t="shared" si="19"/>
        <v>1.0640972681722574E-3</v>
      </c>
      <c r="I41" s="14">
        <f t="shared" si="22"/>
        <v>0.21281945363445148</v>
      </c>
      <c r="J41" s="14">
        <f t="shared" si="22"/>
        <v>0.23410139899789661</v>
      </c>
      <c r="K41" s="14">
        <f t="shared" si="22"/>
        <v>0.25538334436134175</v>
      </c>
      <c r="L41" s="14">
        <f t="shared" si="22"/>
        <v>0.27666528972478693</v>
      </c>
      <c r="M41" s="14">
        <f t="shared" si="22"/>
        <v>0.29794723508823207</v>
      </c>
      <c r="N41" s="14">
        <f t="shared" si="22"/>
        <v>0.30858820776995466</v>
      </c>
      <c r="O41" s="14">
        <f t="shared" si="22"/>
        <v>0.34051112581512233</v>
      </c>
      <c r="P41" s="14">
        <f t="shared" si="22"/>
        <v>0.36179307117856752</v>
      </c>
      <c r="Q41" s="14">
        <f t="shared" si="22"/>
        <v>0.37243404386029005</v>
      </c>
      <c r="R41" s="14">
        <f t="shared" si="23"/>
        <v>0.38307501654201265</v>
      </c>
      <c r="S41" s="14">
        <f t="shared" si="20"/>
        <v>0.38839550288287394</v>
      </c>
      <c r="T41" s="14">
        <f t="shared" si="20"/>
        <v>0.38839550288287394</v>
      </c>
      <c r="U41" s="14">
        <f t="shared" si="20"/>
        <v>0.38839550288287394</v>
      </c>
      <c r="V41" s="14">
        <f t="shared" si="20"/>
        <v>0.38307501654201265</v>
      </c>
      <c r="W41" s="14">
        <f t="shared" si="20"/>
        <v>0.32987015313339979</v>
      </c>
      <c r="X41" s="14">
        <f t="shared" si="20"/>
        <v>0.29794723508823207</v>
      </c>
      <c r="Y41" s="14">
        <f t="shared" si="20"/>
        <v>0.26602431704306434</v>
      </c>
      <c r="Z41" s="14">
        <f t="shared" si="20"/>
        <v>0.25538334436134175</v>
      </c>
      <c r="AA41" s="14">
        <f t="shared" si="20"/>
        <v>0.24474237167961918</v>
      </c>
      <c r="AB41" s="14">
        <f t="shared" si="20"/>
        <v>0.23410139899789661</v>
      </c>
      <c r="AC41" s="14">
        <f t="shared" si="21"/>
        <v>6.2196485324668442</v>
      </c>
    </row>
    <row r="42" spans="1:29" hidden="1" x14ac:dyDescent="0.2">
      <c r="A42" s="27" t="str">
        <f t="shared" si="18"/>
        <v>Central Electric Coop Inc - OR</v>
      </c>
      <c r="B42" s="11" t="s">
        <v>206</v>
      </c>
      <c r="C42" s="11" t="s">
        <v>22</v>
      </c>
      <c r="D42" s="12">
        <f>VLOOKUP($A42,'EIA Soure Data'!$A$5:$X$156,'EIA Soure Data'!F$1,0)</f>
        <v>445832</v>
      </c>
      <c r="E42" s="12">
        <f>VLOOKUP($A42,'EIA Soure Data'!$A$5:$X$156,'EIA Soure Data'!J$1,0)</f>
        <v>96469</v>
      </c>
      <c r="F42" s="12">
        <f>VLOOKUP($A42,'EIA Soure Data'!$A$5:$X$156,'EIA Soure Data'!N$1,0)</f>
        <v>101654</v>
      </c>
      <c r="G42" s="12">
        <f>VLOOKUP($A42,'EIA Soure Data'!$A$5:$X$156,'EIA Soure Data'!V$1,0)</f>
        <v>643955</v>
      </c>
      <c r="H42" s="13">
        <f t="shared" si="19"/>
        <v>4.1532157267550728E-3</v>
      </c>
      <c r="I42" s="14">
        <f t="shared" si="22"/>
        <v>0.83064314535101458</v>
      </c>
      <c r="J42" s="14">
        <f t="shared" si="22"/>
        <v>0.91370745988611601</v>
      </c>
      <c r="K42" s="14">
        <f t="shared" si="22"/>
        <v>0.99677177442121745</v>
      </c>
      <c r="L42" s="14">
        <f t="shared" si="22"/>
        <v>1.079836088956319</v>
      </c>
      <c r="M42" s="14">
        <f t="shared" si="22"/>
        <v>1.1629004034914203</v>
      </c>
      <c r="N42" s="14">
        <f t="shared" si="22"/>
        <v>1.2044325607589712</v>
      </c>
      <c r="O42" s="14">
        <f t="shared" si="22"/>
        <v>1.3290290325616234</v>
      </c>
      <c r="P42" s="14">
        <f t="shared" si="22"/>
        <v>1.4120933470967247</v>
      </c>
      <c r="Q42" s="14">
        <f t="shared" si="22"/>
        <v>1.4536255043642754</v>
      </c>
      <c r="R42" s="14">
        <f t="shared" si="23"/>
        <v>1.4951576616318263</v>
      </c>
      <c r="S42" s="14">
        <f t="shared" si="20"/>
        <v>1.5159237402656016</v>
      </c>
      <c r="T42" s="14">
        <f t="shared" si="20"/>
        <v>1.5159237402656016</v>
      </c>
      <c r="U42" s="14">
        <f t="shared" si="20"/>
        <v>1.5159237402656016</v>
      </c>
      <c r="V42" s="14">
        <f t="shared" si="20"/>
        <v>1.4951576616318263</v>
      </c>
      <c r="W42" s="14">
        <f t="shared" si="20"/>
        <v>1.2874968752940725</v>
      </c>
      <c r="X42" s="14">
        <f t="shared" si="20"/>
        <v>1.1629004034914203</v>
      </c>
      <c r="Y42" s="14">
        <f t="shared" si="20"/>
        <v>1.0383039316887681</v>
      </c>
      <c r="Z42" s="14">
        <f t="shared" si="20"/>
        <v>0.99677177442121745</v>
      </c>
      <c r="AA42" s="14">
        <f t="shared" si="20"/>
        <v>0.95523961715366679</v>
      </c>
      <c r="AB42" s="14">
        <f t="shared" si="20"/>
        <v>0.91370745988611601</v>
      </c>
      <c r="AC42" s="14">
        <f t="shared" si="21"/>
        <v>24.275545922883399</v>
      </c>
    </row>
    <row r="43" spans="1:29" hidden="1" x14ac:dyDescent="0.2">
      <c r="A43" s="27" t="str">
        <f t="shared" si="18"/>
        <v>Central Lincoln People's Ut Dt - OR</v>
      </c>
      <c r="B43" s="11" t="s">
        <v>31</v>
      </c>
      <c r="C43" s="11" t="s">
        <v>22</v>
      </c>
      <c r="D43" s="12">
        <f>VLOOKUP($A43,'EIA Soure Data'!$A$5:$X$156,'EIA Soure Data'!F$1,0)</f>
        <v>420380</v>
      </c>
      <c r="E43" s="12">
        <f>VLOOKUP($A43,'EIA Soure Data'!$A$5:$X$156,'EIA Soure Data'!J$1,0)</f>
        <v>190561</v>
      </c>
      <c r="F43" s="12">
        <f>VLOOKUP($A43,'EIA Soure Data'!$A$5:$X$156,'EIA Soure Data'!N$1,0)</f>
        <v>601910</v>
      </c>
      <c r="G43" s="12">
        <f>VLOOKUP($A43,'EIA Soure Data'!$A$5:$X$156,'EIA Soure Data'!V$1,0)</f>
        <v>1212851</v>
      </c>
      <c r="H43" s="13">
        <f t="shared" si="19"/>
        <v>7.8223351746793141E-3</v>
      </c>
      <c r="I43" s="14">
        <f t="shared" ref="I43:Q51" si="24">$H43*I$33</f>
        <v>1.5644670349358629</v>
      </c>
      <c r="J43" s="14">
        <f t="shared" si="24"/>
        <v>1.7209137384294491</v>
      </c>
      <c r="K43" s="14">
        <f t="shared" si="24"/>
        <v>1.8773604419230354</v>
      </c>
      <c r="L43" s="14">
        <f t="shared" si="24"/>
        <v>2.0338071454166218</v>
      </c>
      <c r="M43" s="14">
        <f t="shared" si="24"/>
        <v>2.1902538489102081</v>
      </c>
      <c r="N43" s="14">
        <f t="shared" si="24"/>
        <v>2.2684772006570011</v>
      </c>
      <c r="O43" s="14">
        <f t="shared" si="24"/>
        <v>2.5031472558973804</v>
      </c>
      <c r="P43" s="14">
        <f t="shared" si="24"/>
        <v>2.6595939593909668</v>
      </c>
      <c r="Q43" s="14">
        <f t="shared" si="24"/>
        <v>2.7378173111377597</v>
      </c>
      <c r="R43" s="14">
        <f t="shared" si="23"/>
        <v>2.8160406628845531</v>
      </c>
      <c r="S43" s="14">
        <f t="shared" si="20"/>
        <v>2.8551523387579496</v>
      </c>
      <c r="T43" s="14">
        <f t="shared" si="20"/>
        <v>2.8551523387579496</v>
      </c>
      <c r="U43" s="14">
        <f t="shared" si="20"/>
        <v>2.8551523387579496</v>
      </c>
      <c r="V43" s="14">
        <f t="shared" si="20"/>
        <v>2.8160406628845531</v>
      </c>
      <c r="W43" s="14">
        <f t="shared" si="20"/>
        <v>2.4249239041505875</v>
      </c>
      <c r="X43" s="14">
        <f t="shared" si="20"/>
        <v>2.1902538489102081</v>
      </c>
      <c r="Y43" s="14">
        <f t="shared" si="20"/>
        <v>1.9555837936698286</v>
      </c>
      <c r="Z43" s="14">
        <f t="shared" si="20"/>
        <v>1.8773604419230354</v>
      </c>
      <c r="AA43" s="14">
        <f t="shared" si="20"/>
        <v>1.7991370901762422</v>
      </c>
      <c r="AB43" s="14">
        <f t="shared" si="20"/>
        <v>1.7209137384294491</v>
      </c>
      <c r="AC43" s="14">
        <f t="shared" si="21"/>
        <v>45.721549096000594</v>
      </c>
    </row>
    <row r="44" spans="1:29" hidden="1" x14ac:dyDescent="0.2">
      <c r="A44" s="27" t="str">
        <f t="shared" si="18"/>
        <v>City of Albion - ID</v>
      </c>
      <c r="B44" s="11" t="s">
        <v>18</v>
      </c>
      <c r="C44" s="11" t="s">
        <v>19</v>
      </c>
      <c r="D44" s="12">
        <f>VLOOKUP($A44,'EIA Soure Data'!$A$5:$X$156,'EIA Soure Data'!F$1,0)</f>
        <v>2192</v>
      </c>
      <c r="E44" s="12">
        <f>VLOOKUP($A44,'EIA Soure Data'!$A$5:$X$156,'EIA Soure Data'!J$1,0)</f>
        <v>965</v>
      </c>
      <c r="F44" s="12">
        <f>VLOOKUP($A44,'EIA Soure Data'!$A$5:$X$156,'EIA Soure Data'!N$1,0)</f>
        <v>0</v>
      </c>
      <c r="G44" s="12">
        <f>VLOOKUP($A44,'EIA Soure Data'!$A$5:$X$156,'EIA Soure Data'!V$1,0)</f>
        <v>3157</v>
      </c>
      <c r="H44" s="13">
        <f t="shared" si="19"/>
        <v>2.0361208546196188E-5</v>
      </c>
      <c r="I44" s="14">
        <f t="shared" si="24"/>
        <v>4.0722417092392375E-3</v>
      </c>
      <c r="J44" s="14">
        <f t="shared" si="24"/>
        <v>4.4794658801631613E-3</v>
      </c>
      <c r="K44" s="14">
        <f t="shared" si="24"/>
        <v>4.886690051087085E-3</v>
      </c>
      <c r="L44" s="14">
        <f t="shared" si="24"/>
        <v>5.2939142220110088E-3</v>
      </c>
      <c r="M44" s="14">
        <f t="shared" si="24"/>
        <v>5.7011383929349325E-3</v>
      </c>
      <c r="N44" s="14">
        <f t="shared" si="24"/>
        <v>5.9047504783968944E-3</v>
      </c>
      <c r="O44" s="14">
        <f t="shared" si="24"/>
        <v>6.5155867347827801E-3</v>
      </c>
      <c r="P44" s="14">
        <f t="shared" si="24"/>
        <v>6.9228109057067038E-3</v>
      </c>
      <c r="Q44" s="14">
        <f t="shared" si="24"/>
        <v>7.1264229911686657E-3</v>
      </c>
      <c r="R44" s="14">
        <f t="shared" si="23"/>
        <v>7.3300350766306276E-3</v>
      </c>
      <c r="S44" s="14">
        <f t="shared" si="20"/>
        <v>7.4318411193616089E-3</v>
      </c>
      <c r="T44" s="14">
        <f t="shared" si="20"/>
        <v>7.4318411193616089E-3</v>
      </c>
      <c r="U44" s="14">
        <f t="shared" si="20"/>
        <v>7.4318411193616089E-3</v>
      </c>
      <c r="V44" s="14">
        <f t="shared" si="20"/>
        <v>7.3300350766306276E-3</v>
      </c>
      <c r="W44" s="14">
        <f t="shared" si="20"/>
        <v>6.3119746493208182E-3</v>
      </c>
      <c r="X44" s="14">
        <f t="shared" si="20"/>
        <v>5.7011383929349325E-3</v>
      </c>
      <c r="Y44" s="14">
        <f t="shared" si="20"/>
        <v>5.0903021365490469E-3</v>
      </c>
      <c r="Z44" s="14">
        <f t="shared" si="20"/>
        <v>4.886690051087085E-3</v>
      </c>
      <c r="AA44" s="14">
        <f t="shared" si="20"/>
        <v>4.6830779656251232E-3</v>
      </c>
      <c r="AB44" s="14">
        <f t="shared" si="20"/>
        <v>4.4794658801631613E-3</v>
      </c>
      <c r="AC44" s="14">
        <f t="shared" si="21"/>
        <v>0.11901126395251672</v>
      </c>
    </row>
    <row r="45" spans="1:29" hidden="1" x14ac:dyDescent="0.2">
      <c r="A45" s="27" t="str">
        <f t="shared" si="18"/>
        <v>City of Ashland - OR</v>
      </c>
      <c r="B45" s="11" t="s">
        <v>21</v>
      </c>
      <c r="C45" s="11" t="s">
        <v>22</v>
      </c>
      <c r="D45" s="12">
        <f>VLOOKUP($A45,'EIA Soure Data'!$A$5:$X$156,'EIA Soure Data'!F$1,0)</f>
        <v>91219</v>
      </c>
      <c r="E45" s="12">
        <f>VLOOKUP($A45,'EIA Soure Data'!$A$5:$X$156,'EIA Soure Data'!J$1,0)</f>
        <v>81803</v>
      </c>
      <c r="F45" s="12">
        <f>VLOOKUP($A45,'EIA Soure Data'!$A$5:$X$156,'EIA Soure Data'!N$1,0)</f>
        <v>0</v>
      </c>
      <c r="G45" s="12">
        <f>VLOOKUP($A45,'EIA Soure Data'!$A$5:$X$156,'EIA Soure Data'!V$1,0)</f>
        <v>173022</v>
      </c>
      <c r="H45" s="13">
        <f t="shared" si="19"/>
        <v>1.1159128999302999E-3</v>
      </c>
      <c r="I45" s="14">
        <f t="shared" si="24"/>
        <v>0.22318257998605998</v>
      </c>
      <c r="J45" s="14">
        <f t="shared" si="24"/>
        <v>0.24550083798466599</v>
      </c>
      <c r="K45" s="14">
        <f t="shared" si="24"/>
        <v>0.26781909598327197</v>
      </c>
      <c r="L45" s="14">
        <f t="shared" si="24"/>
        <v>0.29013735398187795</v>
      </c>
      <c r="M45" s="14">
        <f t="shared" si="24"/>
        <v>0.31245561198048399</v>
      </c>
      <c r="N45" s="14">
        <f t="shared" si="24"/>
        <v>0.32361474097978699</v>
      </c>
      <c r="O45" s="14">
        <f t="shared" si="24"/>
        <v>0.35709212797769596</v>
      </c>
      <c r="P45" s="14">
        <f t="shared" si="24"/>
        <v>0.379410385976302</v>
      </c>
      <c r="Q45" s="14">
        <f t="shared" si="24"/>
        <v>0.39056951497560499</v>
      </c>
      <c r="R45" s="14">
        <f t="shared" si="23"/>
        <v>0.40172864397490798</v>
      </c>
      <c r="S45" s="14">
        <f t="shared" si="20"/>
        <v>0.40730820847455945</v>
      </c>
      <c r="T45" s="14">
        <f t="shared" si="20"/>
        <v>0.40730820847455945</v>
      </c>
      <c r="U45" s="14">
        <f t="shared" si="20"/>
        <v>0.40730820847455945</v>
      </c>
      <c r="V45" s="14">
        <f t="shared" si="20"/>
        <v>0.40172864397490798</v>
      </c>
      <c r="W45" s="14">
        <f t="shared" si="20"/>
        <v>0.34593299897839297</v>
      </c>
      <c r="X45" s="14">
        <f t="shared" si="20"/>
        <v>0.31245561198048399</v>
      </c>
      <c r="Y45" s="14">
        <f t="shared" si="20"/>
        <v>0.27897822498257496</v>
      </c>
      <c r="Z45" s="14">
        <f t="shared" si="20"/>
        <v>0.26781909598327197</v>
      </c>
      <c r="AA45" s="14">
        <f t="shared" si="20"/>
        <v>0.25665996698396898</v>
      </c>
      <c r="AB45" s="14">
        <f t="shared" si="20"/>
        <v>0.24550083798466599</v>
      </c>
      <c r="AC45" s="14">
        <f t="shared" si="21"/>
        <v>6.5225109000926027</v>
      </c>
    </row>
    <row r="46" spans="1:29" hidden="1" x14ac:dyDescent="0.2">
      <c r="A46" s="27" t="str">
        <f t="shared" si="18"/>
        <v>City of Bandon - OR</v>
      </c>
      <c r="B46" s="11" t="s">
        <v>23</v>
      </c>
      <c r="C46" s="11" t="s">
        <v>22</v>
      </c>
      <c r="D46" s="12">
        <f>VLOOKUP($A46,'EIA Soure Data'!$A$5:$X$156,'EIA Soure Data'!F$1,0)</f>
        <v>33339</v>
      </c>
      <c r="E46" s="12">
        <f>VLOOKUP($A46,'EIA Soure Data'!$A$5:$X$156,'EIA Soure Data'!J$1,0)</f>
        <v>27473</v>
      </c>
      <c r="F46" s="12">
        <f>VLOOKUP($A46,'EIA Soure Data'!$A$5:$X$156,'EIA Soure Data'!N$1,0)</f>
        <v>1145</v>
      </c>
      <c r="G46" s="12">
        <f>VLOOKUP($A46,'EIA Soure Data'!$A$5:$X$156,'EIA Soure Data'!V$1,0)</f>
        <v>61957</v>
      </c>
      <c r="H46" s="13">
        <f t="shared" si="19"/>
        <v>3.9959436106958419E-4</v>
      </c>
      <c r="I46" s="14">
        <f t="shared" si="24"/>
        <v>7.9918872213916844E-2</v>
      </c>
      <c r="J46" s="14">
        <f t="shared" si="24"/>
        <v>8.7910759435308516E-2</v>
      </c>
      <c r="K46" s="14">
        <f t="shared" si="24"/>
        <v>9.5902646656700202E-2</v>
      </c>
      <c r="L46" s="14">
        <f t="shared" si="24"/>
        <v>0.10389453387809189</v>
      </c>
      <c r="M46" s="14">
        <f t="shared" si="24"/>
        <v>0.11188642109948357</v>
      </c>
      <c r="N46" s="14">
        <f t="shared" si="24"/>
        <v>0.11588236471017942</v>
      </c>
      <c r="O46" s="14">
        <f t="shared" si="24"/>
        <v>0.12787019554226695</v>
      </c>
      <c r="P46" s="14">
        <f t="shared" si="24"/>
        <v>0.13586208276365863</v>
      </c>
      <c r="Q46" s="14">
        <f t="shared" si="24"/>
        <v>0.13985802637435446</v>
      </c>
      <c r="R46" s="14">
        <f t="shared" si="23"/>
        <v>0.14385396998505032</v>
      </c>
      <c r="S46" s="14">
        <f t="shared" si="20"/>
        <v>0.14585194179039823</v>
      </c>
      <c r="T46" s="14">
        <f t="shared" si="20"/>
        <v>0.14585194179039823</v>
      </c>
      <c r="U46" s="14">
        <f t="shared" si="20"/>
        <v>0.14585194179039823</v>
      </c>
      <c r="V46" s="14">
        <f t="shared" si="20"/>
        <v>0.14385396998505032</v>
      </c>
      <c r="W46" s="14">
        <f t="shared" si="20"/>
        <v>0.1238742519315711</v>
      </c>
      <c r="X46" s="14">
        <f t="shared" si="20"/>
        <v>0.11188642109948357</v>
      </c>
      <c r="Y46" s="14">
        <f t="shared" si="20"/>
        <v>9.9898590267396045E-2</v>
      </c>
      <c r="Z46" s="14">
        <f t="shared" si="20"/>
        <v>9.5902646656700202E-2</v>
      </c>
      <c r="AA46" s="14">
        <f t="shared" si="20"/>
        <v>9.1906703046004359E-2</v>
      </c>
      <c r="AB46" s="14">
        <f t="shared" si="20"/>
        <v>8.7910759435308516E-2</v>
      </c>
      <c r="AC46" s="14">
        <f t="shared" si="21"/>
        <v>2.3356290404517197</v>
      </c>
    </row>
    <row r="47" spans="1:29" hidden="1" x14ac:dyDescent="0.2">
      <c r="A47" s="27" t="str">
        <f t="shared" si="18"/>
        <v>City of Blaine - WA</v>
      </c>
      <c r="B47" s="11" t="s">
        <v>27</v>
      </c>
      <c r="C47" s="11" t="s">
        <v>14</v>
      </c>
      <c r="D47" s="12">
        <f>VLOOKUP($A47,'EIA Soure Data'!$A$5:$X$156,'EIA Soure Data'!F$1,0)</f>
        <v>23078</v>
      </c>
      <c r="E47" s="12">
        <f>VLOOKUP($A47,'EIA Soure Data'!$A$5:$X$156,'EIA Soure Data'!J$1,0)</f>
        <v>37945</v>
      </c>
      <c r="F47" s="12">
        <f>VLOOKUP($A47,'EIA Soure Data'!$A$5:$X$156,'EIA Soure Data'!N$1,0)</f>
        <v>9098</v>
      </c>
      <c r="G47" s="12">
        <f>VLOOKUP($A47,'EIA Soure Data'!$A$5:$X$156,'EIA Soure Data'!V$1,0)</f>
        <v>70121</v>
      </c>
      <c r="H47" s="13">
        <f t="shared" si="19"/>
        <v>4.5224843347096072E-4</v>
      </c>
      <c r="I47" s="14">
        <f t="shared" si="24"/>
        <v>9.044968669419215E-2</v>
      </c>
      <c r="J47" s="14">
        <f t="shared" si="24"/>
        <v>9.9494655363611351E-2</v>
      </c>
      <c r="K47" s="14">
        <f t="shared" si="24"/>
        <v>0.10853962403303057</v>
      </c>
      <c r="L47" s="14">
        <f t="shared" si="24"/>
        <v>0.11758459270244978</v>
      </c>
      <c r="M47" s="14">
        <f t="shared" si="24"/>
        <v>0.12662956137186901</v>
      </c>
      <c r="N47" s="14">
        <f t="shared" si="24"/>
        <v>0.1311520457065786</v>
      </c>
      <c r="O47" s="14">
        <f t="shared" si="24"/>
        <v>0.14471949871070744</v>
      </c>
      <c r="P47" s="14">
        <f t="shared" si="24"/>
        <v>0.15376446738012664</v>
      </c>
      <c r="Q47" s="14">
        <f t="shared" si="24"/>
        <v>0.15828695171483625</v>
      </c>
      <c r="R47" s="14">
        <f t="shared" si="23"/>
        <v>0.16280943604954587</v>
      </c>
      <c r="S47" s="14">
        <f t="shared" si="20"/>
        <v>0.16507067821690066</v>
      </c>
      <c r="T47" s="14">
        <f t="shared" si="20"/>
        <v>0.16507067821690066</v>
      </c>
      <c r="U47" s="14">
        <f t="shared" si="20"/>
        <v>0.16507067821690066</v>
      </c>
      <c r="V47" s="14">
        <f t="shared" si="20"/>
        <v>0.16280943604954587</v>
      </c>
      <c r="W47" s="14">
        <f t="shared" si="20"/>
        <v>0.14019701437599782</v>
      </c>
      <c r="X47" s="14">
        <f t="shared" si="20"/>
        <v>0.12662956137186901</v>
      </c>
      <c r="Y47" s="14">
        <f t="shared" si="20"/>
        <v>0.11306210836774018</v>
      </c>
      <c r="Z47" s="14">
        <f t="shared" si="20"/>
        <v>0.10853962403303057</v>
      </c>
      <c r="AA47" s="14">
        <f t="shared" si="20"/>
        <v>0.10401713969832097</v>
      </c>
      <c r="AB47" s="14">
        <f t="shared" si="20"/>
        <v>9.9494655363611351E-2</v>
      </c>
      <c r="AC47" s="14">
        <f t="shared" si="21"/>
        <v>2.6433920936377655</v>
      </c>
    </row>
    <row r="48" spans="1:29" hidden="1" x14ac:dyDescent="0.2">
      <c r="A48" s="27" t="str">
        <f t="shared" si="18"/>
        <v>City of Bonners Ferry - ID</v>
      </c>
      <c r="B48" s="11" t="s">
        <v>28</v>
      </c>
      <c r="C48" s="11" t="s">
        <v>19</v>
      </c>
      <c r="D48" s="12">
        <f>VLOOKUP($A48,'EIA Soure Data'!$A$5:$X$156,'EIA Soure Data'!F$1,0)</f>
        <v>23529</v>
      </c>
      <c r="E48" s="12">
        <f>VLOOKUP($A48,'EIA Soure Data'!$A$5:$X$156,'EIA Soure Data'!J$1,0)</f>
        <v>22537</v>
      </c>
      <c r="F48" s="12">
        <f>VLOOKUP($A48,'EIA Soure Data'!$A$5:$X$156,'EIA Soure Data'!N$1,0)</f>
        <v>18974</v>
      </c>
      <c r="G48" s="12">
        <f>VLOOKUP($A48,'EIA Soure Data'!$A$5:$X$156,'EIA Soure Data'!V$1,0)</f>
        <v>65040</v>
      </c>
      <c r="H48" s="13">
        <f t="shared" si="19"/>
        <v>4.1947830340342097E-4</v>
      </c>
      <c r="I48" s="14">
        <f t="shared" si="24"/>
        <v>8.38956606806842E-2</v>
      </c>
      <c r="J48" s="14">
        <f t="shared" si="24"/>
        <v>9.2285226748752613E-2</v>
      </c>
      <c r="K48" s="14">
        <f t="shared" si="24"/>
        <v>0.10067479281682103</v>
      </c>
      <c r="L48" s="14">
        <f t="shared" si="24"/>
        <v>0.10906435888488945</v>
      </c>
      <c r="M48" s="14">
        <f t="shared" si="24"/>
        <v>0.11745392495295787</v>
      </c>
      <c r="N48" s="14">
        <f t="shared" si="24"/>
        <v>0.12164870798699208</v>
      </c>
      <c r="O48" s="14">
        <f t="shared" si="24"/>
        <v>0.13423305708909472</v>
      </c>
      <c r="P48" s="14">
        <f t="shared" si="24"/>
        <v>0.14262262315716312</v>
      </c>
      <c r="Q48" s="14">
        <f t="shared" si="24"/>
        <v>0.14681740619119735</v>
      </c>
      <c r="R48" s="14">
        <f t="shared" si="23"/>
        <v>0.15101218922523155</v>
      </c>
      <c r="S48" s="14">
        <f t="shared" ref="S48:AB56" si="25">$H48*S$33</f>
        <v>0.15310958074224865</v>
      </c>
      <c r="T48" s="14">
        <f t="shared" si="25"/>
        <v>0.15310958074224865</v>
      </c>
      <c r="U48" s="14">
        <f t="shared" si="25"/>
        <v>0.15310958074224865</v>
      </c>
      <c r="V48" s="14">
        <f t="shared" si="25"/>
        <v>0.15101218922523155</v>
      </c>
      <c r="W48" s="14">
        <f t="shared" si="25"/>
        <v>0.13003827405506049</v>
      </c>
      <c r="X48" s="14">
        <f t="shared" si="25"/>
        <v>0.11745392495295787</v>
      </c>
      <c r="Y48" s="14">
        <f t="shared" si="25"/>
        <v>0.10486957585085524</v>
      </c>
      <c r="Z48" s="14">
        <f t="shared" si="25"/>
        <v>0.10067479281682103</v>
      </c>
      <c r="AA48" s="14">
        <f t="shared" si="25"/>
        <v>9.6480009782786827E-2</v>
      </c>
      <c r="AB48" s="14">
        <f t="shared" si="25"/>
        <v>9.2285226748752613E-2</v>
      </c>
      <c r="AC48" s="14">
        <f t="shared" si="21"/>
        <v>2.4518506833929954</v>
      </c>
    </row>
    <row r="49" spans="1:29" hidden="1" x14ac:dyDescent="0.2">
      <c r="A49" s="27" t="str">
        <f t="shared" si="18"/>
        <v>City of Burley - ID</v>
      </c>
      <c r="B49" s="11" t="s">
        <v>29</v>
      </c>
      <c r="C49" s="11" t="s">
        <v>19</v>
      </c>
      <c r="D49" s="12">
        <f>VLOOKUP($A49,'EIA Soure Data'!$A$5:$X$156,'EIA Soure Data'!F$1,0)</f>
        <v>47326</v>
      </c>
      <c r="E49" s="12">
        <f>VLOOKUP($A49,'EIA Soure Data'!$A$5:$X$156,'EIA Soure Data'!J$1,0)</f>
        <v>66210</v>
      </c>
      <c r="F49" s="12">
        <f>VLOOKUP($A49,'EIA Soure Data'!$A$5:$X$156,'EIA Soure Data'!N$1,0)</f>
        <v>0</v>
      </c>
      <c r="G49" s="12">
        <f>VLOOKUP($A49,'EIA Soure Data'!$A$5:$X$156,'EIA Soure Data'!V$1,0)</f>
        <v>113536</v>
      </c>
      <c r="H49" s="13">
        <f t="shared" si="19"/>
        <v>7.3225536062747245E-4</v>
      </c>
      <c r="I49" s="14">
        <f t="shared" si="24"/>
        <v>0.14645107212549449</v>
      </c>
      <c r="J49" s="14">
        <f t="shared" si="24"/>
        <v>0.16109617933804393</v>
      </c>
      <c r="K49" s="14">
        <f t="shared" si="24"/>
        <v>0.1757412865505934</v>
      </c>
      <c r="L49" s="14">
        <f t="shared" si="24"/>
        <v>0.19038639376314284</v>
      </c>
      <c r="M49" s="14">
        <f t="shared" si="24"/>
        <v>0.20503150097569228</v>
      </c>
      <c r="N49" s="14">
        <f t="shared" si="24"/>
        <v>0.21235405458196702</v>
      </c>
      <c r="O49" s="14">
        <f t="shared" si="24"/>
        <v>0.23432171540079119</v>
      </c>
      <c r="P49" s="14">
        <f t="shared" si="24"/>
        <v>0.24896682261334063</v>
      </c>
      <c r="Q49" s="14">
        <f t="shared" si="24"/>
        <v>0.25628937621961534</v>
      </c>
      <c r="R49" s="14">
        <f t="shared" si="23"/>
        <v>0.2636119298258901</v>
      </c>
      <c r="S49" s="14">
        <f t="shared" si="25"/>
        <v>0.26727320662902743</v>
      </c>
      <c r="T49" s="14">
        <f t="shared" si="25"/>
        <v>0.26727320662902743</v>
      </c>
      <c r="U49" s="14">
        <f t="shared" si="25"/>
        <v>0.26727320662902743</v>
      </c>
      <c r="V49" s="14">
        <f t="shared" si="25"/>
        <v>0.2636119298258901</v>
      </c>
      <c r="W49" s="14">
        <f t="shared" si="25"/>
        <v>0.22699916179451646</v>
      </c>
      <c r="X49" s="14">
        <f t="shared" si="25"/>
        <v>0.20503150097569228</v>
      </c>
      <c r="Y49" s="14">
        <f t="shared" si="25"/>
        <v>0.18306384015686811</v>
      </c>
      <c r="Z49" s="14">
        <f t="shared" si="25"/>
        <v>0.1757412865505934</v>
      </c>
      <c r="AA49" s="14">
        <f t="shared" si="25"/>
        <v>0.16841873294431867</v>
      </c>
      <c r="AB49" s="14">
        <f t="shared" si="25"/>
        <v>0.16109617933804393</v>
      </c>
      <c r="AC49" s="14">
        <f t="shared" si="21"/>
        <v>4.2800325828675767</v>
      </c>
    </row>
    <row r="50" spans="1:29" hidden="1" x14ac:dyDescent="0.2">
      <c r="A50" s="27" t="str">
        <f t="shared" si="18"/>
        <v>City of Cascade Locks - OR</v>
      </c>
      <c r="B50" s="11" t="s">
        <v>30</v>
      </c>
      <c r="C50" s="11" t="s">
        <v>22</v>
      </c>
      <c r="D50" s="12">
        <f>VLOOKUP($A50,'EIA Soure Data'!$A$5:$X$156,'EIA Soure Data'!F$1,0)</f>
        <v>9010</v>
      </c>
      <c r="E50" s="12">
        <f>VLOOKUP($A50,'EIA Soure Data'!$A$5:$X$156,'EIA Soure Data'!J$1,0)</f>
        <v>10000</v>
      </c>
      <c r="F50" s="12">
        <f>VLOOKUP($A50,'EIA Soure Data'!$A$5:$X$156,'EIA Soure Data'!N$1,0)</f>
        <v>0</v>
      </c>
      <c r="G50" s="12">
        <f>VLOOKUP($A50,'EIA Soure Data'!$A$5:$X$156,'EIA Soure Data'!V$1,0)</f>
        <v>19010</v>
      </c>
      <c r="H50" s="13">
        <f t="shared" si="19"/>
        <v>1.2260582022907492E-4</v>
      </c>
      <c r="I50" s="14">
        <f t="shared" si="24"/>
        <v>2.4521164045814985E-2</v>
      </c>
      <c r="J50" s="14">
        <f t="shared" si="24"/>
        <v>2.6973280450396483E-2</v>
      </c>
      <c r="K50" s="14">
        <f t="shared" si="24"/>
        <v>2.942539685497798E-2</v>
      </c>
      <c r="L50" s="14">
        <f t="shared" si="24"/>
        <v>3.1877513259559481E-2</v>
      </c>
      <c r="M50" s="14">
        <f t="shared" si="24"/>
        <v>3.4329629664140979E-2</v>
      </c>
      <c r="N50" s="14">
        <f t="shared" si="24"/>
        <v>3.5555687866431727E-2</v>
      </c>
      <c r="O50" s="14">
        <f t="shared" si="24"/>
        <v>3.9233862473303974E-2</v>
      </c>
      <c r="P50" s="14">
        <f t="shared" si="24"/>
        <v>4.1685978877885471E-2</v>
      </c>
      <c r="Q50" s="14">
        <f t="shared" si="24"/>
        <v>4.291203708017622E-2</v>
      </c>
      <c r="R50" s="14">
        <f t="shared" si="23"/>
        <v>4.4138095282466976E-2</v>
      </c>
      <c r="S50" s="14">
        <f t="shared" si="25"/>
        <v>4.4751124383612347E-2</v>
      </c>
      <c r="T50" s="14">
        <f t="shared" si="25"/>
        <v>4.4751124383612347E-2</v>
      </c>
      <c r="U50" s="14">
        <f t="shared" si="25"/>
        <v>4.4751124383612347E-2</v>
      </c>
      <c r="V50" s="14">
        <f t="shared" si="25"/>
        <v>4.4138095282466976E-2</v>
      </c>
      <c r="W50" s="14">
        <f t="shared" si="25"/>
        <v>3.8007804271013225E-2</v>
      </c>
      <c r="X50" s="14">
        <f t="shared" si="25"/>
        <v>3.4329629664140979E-2</v>
      </c>
      <c r="Y50" s="14">
        <f t="shared" si="25"/>
        <v>3.0651455057268732E-2</v>
      </c>
      <c r="Z50" s="14">
        <f t="shared" si="25"/>
        <v>2.942539685497798E-2</v>
      </c>
      <c r="AA50" s="14">
        <f t="shared" si="25"/>
        <v>2.8199338652687232E-2</v>
      </c>
      <c r="AB50" s="14">
        <f t="shared" si="25"/>
        <v>2.6973280450396483E-2</v>
      </c>
      <c r="AC50" s="14">
        <f t="shared" si="21"/>
        <v>0.7166310192389429</v>
      </c>
    </row>
    <row r="51" spans="1:29" hidden="1" x14ac:dyDescent="0.2">
      <c r="A51" s="27" t="str">
        <f t="shared" si="18"/>
        <v>City of Centralia - WA</v>
      </c>
      <c r="B51" s="11" t="s">
        <v>32</v>
      </c>
      <c r="C51" s="11" t="s">
        <v>14</v>
      </c>
      <c r="D51" s="12">
        <f>VLOOKUP($A51,'EIA Soure Data'!$A$5:$X$156,'EIA Soure Data'!F$1,0)</f>
        <v>114952</v>
      </c>
      <c r="E51" s="12">
        <f>VLOOKUP($A51,'EIA Soure Data'!$A$5:$X$156,'EIA Soure Data'!J$1,0)</f>
        <v>34614</v>
      </c>
      <c r="F51" s="12">
        <f>VLOOKUP($A51,'EIA Soure Data'!$A$5:$X$156,'EIA Soure Data'!N$1,0)</f>
        <v>110214</v>
      </c>
      <c r="G51" s="12">
        <f>VLOOKUP($A51,'EIA Soure Data'!$A$5:$X$156,'EIA Soure Data'!V$1,0)</f>
        <v>259780</v>
      </c>
      <c r="H51" s="13">
        <f t="shared" si="19"/>
        <v>1.6754623871177846E-3</v>
      </c>
      <c r="I51" s="14">
        <f t="shared" si="24"/>
        <v>0.33509247742355691</v>
      </c>
      <c r="J51" s="14">
        <f t="shared" si="24"/>
        <v>0.36860172516591261</v>
      </c>
      <c r="K51" s="14">
        <f t="shared" si="24"/>
        <v>0.4021109729082683</v>
      </c>
      <c r="L51" s="14">
        <f t="shared" si="24"/>
        <v>0.435620220650624</v>
      </c>
      <c r="M51" s="14">
        <f t="shared" si="24"/>
        <v>0.4691294683929797</v>
      </c>
      <c r="N51" s="14">
        <f t="shared" si="24"/>
        <v>0.48588409226415752</v>
      </c>
      <c r="O51" s="14">
        <f t="shared" si="24"/>
        <v>0.53614796387769104</v>
      </c>
      <c r="P51" s="14">
        <f t="shared" si="24"/>
        <v>0.56965721162004679</v>
      </c>
      <c r="Q51" s="14">
        <f t="shared" si="24"/>
        <v>0.58641183549122466</v>
      </c>
      <c r="R51" s="14">
        <f t="shared" si="23"/>
        <v>0.60316645936240243</v>
      </c>
      <c r="S51" s="14">
        <f t="shared" si="25"/>
        <v>0.61154377129799142</v>
      </c>
      <c r="T51" s="14">
        <f t="shared" si="25"/>
        <v>0.61154377129799142</v>
      </c>
      <c r="U51" s="14">
        <f t="shared" si="25"/>
        <v>0.61154377129799142</v>
      </c>
      <c r="V51" s="14">
        <f t="shared" si="25"/>
        <v>0.60316645936240243</v>
      </c>
      <c r="W51" s="14">
        <f t="shared" si="25"/>
        <v>0.51939334000651327</v>
      </c>
      <c r="X51" s="14">
        <f t="shared" si="25"/>
        <v>0.4691294683929797</v>
      </c>
      <c r="Y51" s="14">
        <f t="shared" si="25"/>
        <v>0.41886559677944618</v>
      </c>
      <c r="Z51" s="14">
        <f t="shared" si="25"/>
        <v>0.4021109729082683</v>
      </c>
      <c r="AA51" s="14">
        <f t="shared" si="25"/>
        <v>0.38535634903709048</v>
      </c>
      <c r="AB51" s="14">
        <f t="shared" si="25"/>
        <v>0.36860172516591261</v>
      </c>
      <c r="AC51" s="14">
        <f t="shared" si="21"/>
        <v>9.7930776527034507</v>
      </c>
    </row>
    <row r="52" spans="1:29" hidden="1" x14ac:dyDescent="0.2">
      <c r="A52" s="27" t="str">
        <f t="shared" si="18"/>
        <v>City of Cheney - WA</v>
      </c>
      <c r="B52" s="11" t="s">
        <v>34</v>
      </c>
      <c r="C52" s="11" t="s">
        <v>14</v>
      </c>
      <c r="D52" s="12">
        <f>VLOOKUP($A52,'EIA Soure Data'!$A$5:$X$156,'EIA Soure Data'!F$1,0)</f>
        <v>50532</v>
      </c>
      <c r="E52" s="12">
        <f>VLOOKUP($A52,'EIA Soure Data'!$A$5:$X$156,'EIA Soure Data'!J$1,0)</f>
        <v>69328</v>
      </c>
      <c r="F52" s="12">
        <f>VLOOKUP($A52,'EIA Soure Data'!$A$5:$X$156,'EIA Soure Data'!N$1,0)</f>
        <v>9792</v>
      </c>
      <c r="G52" s="12">
        <f>VLOOKUP($A52,'EIA Soure Data'!$A$5:$X$156,'EIA Soure Data'!V$1,0)</f>
        <v>129652</v>
      </c>
      <c r="H52" s="13">
        <f t="shared" si="19"/>
        <v>8.3619620222725002E-4</v>
      </c>
      <c r="I52" s="14">
        <f t="shared" ref="I52:Q61" si="26">$H52*I$33</f>
        <v>0.16723924044544999</v>
      </c>
      <c r="J52" s="14">
        <f t="shared" si="26"/>
        <v>0.183963164489995</v>
      </c>
      <c r="K52" s="14">
        <f t="shared" si="26"/>
        <v>0.20068708853454001</v>
      </c>
      <c r="L52" s="14">
        <f t="shared" si="26"/>
        <v>0.21741101257908502</v>
      </c>
      <c r="M52" s="14">
        <f t="shared" si="26"/>
        <v>0.23413493662363</v>
      </c>
      <c r="N52" s="14">
        <f t="shared" si="26"/>
        <v>0.24249689864590251</v>
      </c>
      <c r="O52" s="14">
        <f t="shared" si="26"/>
        <v>0.26758278471272001</v>
      </c>
      <c r="P52" s="14">
        <f t="shared" si="26"/>
        <v>0.28430670875726499</v>
      </c>
      <c r="Q52" s="14">
        <f t="shared" si="26"/>
        <v>0.29266867077953751</v>
      </c>
      <c r="R52" s="14">
        <f t="shared" si="23"/>
        <v>0.30103063280181003</v>
      </c>
      <c r="S52" s="14">
        <f t="shared" si="25"/>
        <v>0.30521161381294626</v>
      </c>
      <c r="T52" s="14">
        <f t="shared" si="25"/>
        <v>0.30521161381294626</v>
      </c>
      <c r="U52" s="14">
        <f t="shared" si="25"/>
        <v>0.30521161381294626</v>
      </c>
      <c r="V52" s="14">
        <f t="shared" si="25"/>
        <v>0.30103063280181003</v>
      </c>
      <c r="W52" s="14">
        <f t="shared" si="25"/>
        <v>0.25922082269044749</v>
      </c>
      <c r="X52" s="14">
        <f t="shared" si="25"/>
        <v>0.23413493662363</v>
      </c>
      <c r="Y52" s="14">
        <f t="shared" si="25"/>
        <v>0.2090490505568125</v>
      </c>
      <c r="Z52" s="14">
        <f t="shared" si="25"/>
        <v>0.20068708853454001</v>
      </c>
      <c r="AA52" s="14">
        <f t="shared" si="25"/>
        <v>0.19232512651226749</v>
      </c>
      <c r="AB52" s="14">
        <f t="shared" si="25"/>
        <v>0.183963164489995</v>
      </c>
      <c r="AC52" s="14">
        <f t="shared" si="21"/>
        <v>4.8875668020182763</v>
      </c>
    </row>
    <row r="53" spans="1:29" hidden="1" x14ac:dyDescent="0.2">
      <c r="A53" s="27" t="str">
        <f t="shared" si="18"/>
        <v>City of Chewelah - WA</v>
      </c>
      <c r="B53" s="11" t="s">
        <v>35</v>
      </c>
      <c r="C53" s="11" t="s">
        <v>14</v>
      </c>
      <c r="D53" s="12">
        <f>VLOOKUP($A53,'EIA Soure Data'!$A$5:$X$156,'EIA Soure Data'!F$1,0)</f>
        <v>12345</v>
      </c>
      <c r="E53" s="12">
        <f>VLOOKUP($A53,'EIA Soure Data'!$A$5:$X$156,'EIA Soure Data'!J$1,0)</f>
        <v>9795</v>
      </c>
      <c r="F53" s="12">
        <f>VLOOKUP($A53,'EIA Soure Data'!$A$5:$X$156,'EIA Soure Data'!N$1,0)</f>
        <v>0</v>
      </c>
      <c r="G53" s="12">
        <f>VLOOKUP($A53,'EIA Soure Data'!$A$5:$X$156,'EIA Soure Data'!V$1,0)</f>
        <v>22140</v>
      </c>
      <c r="H53" s="13">
        <f t="shared" si="19"/>
        <v>1.4279289110319404E-4</v>
      </c>
      <c r="I53" s="14">
        <f t="shared" si="26"/>
        <v>2.8558578220638807E-2</v>
      </c>
      <c r="J53" s="14">
        <f t="shared" si="26"/>
        <v>3.1414436042702686E-2</v>
      </c>
      <c r="K53" s="14">
        <f t="shared" si="26"/>
        <v>3.4270293864766571E-2</v>
      </c>
      <c r="L53" s="14">
        <f t="shared" si="26"/>
        <v>3.712615168683045E-2</v>
      </c>
      <c r="M53" s="14">
        <f t="shared" si="26"/>
        <v>3.9982009508894328E-2</v>
      </c>
      <c r="N53" s="14">
        <f t="shared" si="26"/>
        <v>4.1409938419926275E-2</v>
      </c>
      <c r="O53" s="14">
        <f t="shared" si="26"/>
        <v>4.5693725153022093E-2</v>
      </c>
      <c r="P53" s="14">
        <f t="shared" si="26"/>
        <v>4.8549582975085971E-2</v>
      </c>
      <c r="Q53" s="14">
        <f t="shared" si="26"/>
        <v>4.997751188611791E-2</v>
      </c>
      <c r="R53" s="14">
        <f t="shared" si="23"/>
        <v>5.1405440797149857E-2</v>
      </c>
      <c r="S53" s="14">
        <f t="shared" si="25"/>
        <v>5.2119405252665826E-2</v>
      </c>
      <c r="T53" s="14">
        <f t="shared" si="25"/>
        <v>5.2119405252665826E-2</v>
      </c>
      <c r="U53" s="14">
        <f t="shared" si="25"/>
        <v>5.2119405252665826E-2</v>
      </c>
      <c r="V53" s="14">
        <f t="shared" si="25"/>
        <v>5.1405440797149857E-2</v>
      </c>
      <c r="W53" s="14">
        <f t="shared" si="25"/>
        <v>4.4265796241990153E-2</v>
      </c>
      <c r="X53" s="14">
        <f t="shared" si="25"/>
        <v>3.9982009508894328E-2</v>
      </c>
      <c r="Y53" s="14">
        <f t="shared" si="25"/>
        <v>3.569822277579851E-2</v>
      </c>
      <c r="Z53" s="14">
        <f t="shared" si="25"/>
        <v>3.4270293864766571E-2</v>
      </c>
      <c r="AA53" s="14">
        <f t="shared" si="25"/>
        <v>3.2842364953734632E-2</v>
      </c>
      <c r="AB53" s="14">
        <f t="shared" si="25"/>
        <v>3.1414436042702686E-2</v>
      </c>
      <c r="AC53" s="14">
        <f t="shared" si="21"/>
        <v>0.83462444849816919</v>
      </c>
    </row>
    <row r="54" spans="1:29" hidden="1" x14ac:dyDescent="0.2">
      <c r="A54" s="27" t="str">
        <f t="shared" si="18"/>
        <v>City of Coulee Dam - WA</v>
      </c>
      <c r="B54" s="11" t="s">
        <v>43</v>
      </c>
      <c r="C54" s="11" t="s">
        <v>14</v>
      </c>
      <c r="D54" s="12">
        <f>VLOOKUP($A54,'EIA Soure Data'!$A$5:$X$156,'EIA Soure Data'!F$1,0)</f>
        <v>9249</v>
      </c>
      <c r="E54" s="12">
        <f>VLOOKUP($A54,'EIA Soure Data'!$A$5:$X$156,'EIA Soure Data'!J$1,0)</f>
        <v>7241</v>
      </c>
      <c r="F54" s="12">
        <f>VLOOKUP($A54,'EIA Soure Data'!$A$5:$X$156,'EIA Soure Data'!N$1,0)</f>
        <v>0</v>
      </c>
      <c r="G54" s="12">
        <f>VLOOKUP($A54,'EIA Soure Data'!$A$5:$X$156,'EIA Soure Data'!V$1,0)</f>
        <v>16490</v>
      </c>
      <c r="H54" s="13">
        <f t="shared" si="19"/>
        <v>1.0635297083521544E-4</v>
      </c>
      <c r="I54" s="14">
        <f t="shared" si="26"/>
        <v>2.1270594167043088E-2</v>
      </c>
      <c r="J54" s="14">
        <f t="shared" si="26"/>
        <v>2.3397653583747399E-2</v>
      </c>
      <c r="K54" s="14">
        <f t="shared" si="26"/>
        <v>2.5524713000451706E-2</v>
      </c>
      <c r="L54" s="14">
        <f t="shared" si="26"/>
        <v>2.7651772417156016E-2</v>
      </c>
      <c r="M54" s="14">
        <f t="shared" si="26"/>
        <v>2.9778831833860323E-2</v>
      </c>
      <c r="N54" s="14">
        <f t="shared" si="26"/>
        <v>3.0842361542212478E-2</v>
      </c>
      <c r="O54" s="14">
        <f t="shared" si="26"/>
        <v>3.4032950667268941E-2</v>
      </c>
      <c r="P54" s="14">
        <f t="shared" si="26"/>
        <v>3.6160010083973251E-2</v>
      </c>
      <c r="Q54" s="14">
        <f t="shared" si="26"/>
        <v>3.7223539792325407E-2</v>
      </c>
      <c r="R54" s="14">
        <f t="shared" si="23"/>
        <v>3.8287069500677562E-2</v>
      </c>
      <c r="S54" s="14">
        <f t="shared" si="25"/>
        <v>3.8818834354853636E-2</v>
      </c>
      <c r="T54" s="14">
        <f t="shared" si="25"/>
        <v>3.8818834354853636E-2</v>
      </c>
      <c r="U54" s="14">
        <f t="shared" si="25"/>
        <v>3.8818834354853636E-2</v>
      </c>
      <c r="V54" s="14">
        <f t="shared" si="25"/>
        <v>3.8287069500677562E-2</v>
      </c>
      <c r="W54" s="14">
        <f t="shared" si="25"/>
        <v>3.2969420958916786E-2</v>
      </c>
      <c r="X54" s="14">
        <f t="shared" si="25"/>
        <v>2.9778831833860323E-2</v>
      </c>
      <c r="Y54" s="14">
        <f t="shared" si="25"/>
        <v>2.6588242708803861E-2</v>
      </c>
      <c r="Z54" s="14">
        <f t="shared" si="25"/>
        <v>2.5524713000451706E-2</v>
      </c>
      <c r="AA54" s="14">
        <f t="shared" si="25"/>
        <v>2.446118329209955E-2</v>
      </c>
      <c r="AB54" s="14">
        <f t="shared" si="25"/>
        <v>2.3397653583747399E-2</v>
      </c>
      <c r="AC54" s="14">
        <f t="shared" si="21"/>
        <v>0.62163311453183423</v>
      </c>
    </row>
    <row r="55" spans="1:29" hidden="1" x14ac:dyDescent="0.2">
      <c r="A55" s="27" t="str">
        <f t="shared" si="18"/>
        <v>City of Declo - ID</v>
      </c>
      <c r="B55" s="11" t="s">
        <v>62</v>
      </c>
      <c r="C55" s="11" t="s">
        <v>19</v>
      </c>
      <c r="D55" s="12">
        <f>VLOOKUP($A55,'EIA Soure Data'!$A$5:$X$156,'EIA Soure Data'!F$1,0)</f>
        <v>1392</v>
      </c>
      <c r="E55" s="12">
        <f>VLOOKUP($A55,'EIA Soure Data'!$A$5:$X$156,'EIA Soure Data'!J$1,0)</f>
        <v>862</v>
      </c>
      <c r="F55" s="12">
        <f>VLOOKUP($A55,'EIA Soure Data'!$A$5:$X$156,'EIA Soure Data'!N$1,0)</f>
        <v>2425</v>
      </c>
      <c r="G55" s="12">
        <f>VLOOKUP($A55,'EIA Soure Data'!$A$5:$X$156,'EIA Soure Data'!V$1,0)</f>
        <v>4679</v>
      </c>
      <c r="H55" s="13">
        <f t="shared" si="19"/>
        <v>3.0177413616614496E-5</v>
      </c>
      <c r="I55" s="14">
        <f t="shared" si="26"/>
        <v>6.035482723322899E-3</v>
      </c>
      <c r="J55" s="14">
        <f t="shared" si="26"/>
        <v>6.6390309956551891E-3</v>
      </c>
      <c r="K55" s="14">
        <f t="shared" si="26"/>
        <v>7.2425792679874793E-3</v>
      </c>
      <c r="L55" s="14">
        <f t="shared" si="26"/>
        <v>7.8461275403197694E-3</v>
      </c>
      <c r="M55" s="14">
        <f t="shared" si="26"/>
        <v>8.4496758126520587E-3</v>
      </c>
      <c r="N55" s="14">
        <f t="shared" si="26"/>
        <v>8.7514499488182042E-3</v>
      </c>
      <c r="O55" s="14">
        <f t="shared" si="26"/>
        <v>9.656772357316639E-3</v>
      </c>
      <c r="P55" s="14">
        <f t="shared" si="26"/>
        <v>1.0260320629648928E-2</v>
      </c>
      <c r="Q55" s="14">
        <f t="shared" si="26"/>
        <v>1.0562094765815074E-2</v>
      </c>
      <c r="R55" s="14">
        <f t="shared" si="23"/>
        <v>1.0863868901981218E-2</v>
      </c>
      <c r="S55" s="14">
        <f t="shared" si="25"/>
        <v>1.101475597006429E-2</v>
      </c>
      <c r="T55" s="14">
        <f t="shared" si="25"/>
        <v>1.101475597006429E-2</v>
      </c>
      <c r="U55" s="14">
        <f t="shared" si="25"/>
        <v>1.101475597006429E-2</v>
      </c>
      <c r="V55" s="14">
        <f t="shared" si="25"/>
        <v>1.0863868901981218E-2</v>
      </c>
      <c r="W55" s="14">
        <f t="shared" si="25"/>
        <v>9.3549982211504935E-3</v>
      </c>
      <c r="X55" s="14">
        <f t="shared" si="25"/>
        <v>8.4496758126520587E-3</v>
      </c>
      <c r="Y55" s="14">
        <f t="shared" si="25"/>
        <v>7.5443534041536239E-3</v>
      </c>
      <c r="Z55" s="14">
        <f t="shared" si="25"/>
        <v>7.2425792679874793E-3</v>
      </c>
      <c r="AA55" s="14">
        <f t="shared" si="25"/>
        <v>6.9408051318213338E-3</v>
      </c>
      <c r="AB55" s="14">
        <f t="shared" si="25"/>
        <v>6.6390309956551891E-3</v>
      </c>
      <c r="AC55" s="14">
        <f t="shared" si="21"/>
        <v>0.17638698258911173</v>
      </c>
    </row>
    <row r="56" spans="1:29" hidden="1" x14ac:dyDescent="0.2">
      <c r="A56" s="27" t="str">
        <f t="shared" si="18"/>
        <v>City of Drain - OR</v>
      </c>
      <c r="B56" s="11" t="s">
        <v>48</v>
      </c>
      <c r="C56" s="11" t="s">
        <v>22</v>
      </c>
      <c r="D56" s="12">
        <f>VLOOKUP($A56,'EIA Soure Data'!$A$5:$X$156,'EIA Soure Data'!F$1,0)</f>
        <v>7504</v>
      </c>
      <c r="E56" s="12">
        <f>VLOOKUP($A56,'EIA Soure Data'!$A$5:$X$156,'EIA Soure Data'!J$1,0)</f>
        <v>3557</v>
      </c>
      <c r="F56" s="12">
        <f>VLOOKUP($A56,'EIA Soure Data'!$A$5:$X$156,'EIA Soure Data'!N$1,0)</f>
        <v>3769</v>
      </c>
      <c r="G56" s="12">
        <f>VLOOKUP($A56,'EIA Soure Data'!$A$5:$X$156,'EIA Soure Data'!V$1,0)</f>
        <v>14830</v>
      </c>
      <c r="H56" s="13">
        <f t="shared" si="19"/>
        <v>9.5646728774181016E-5</v>
      </c>
      <c r="I56" s="14">
        <f t="shared" si="26"/>
        <v>1.9129345754836203E-2</v>
      </c>
      <c r="J56" s="14">
        <f t="shared" si="26"/>
        <v>2.1042280330319824E-2</v>
      </c>
      <c r="K56" s="14">
        <f t="shared" si="26"/>
        <v>2.2955214905803444E-2</v>
      </c>
      <c r="L56" s="14">
        <f t="shared" si="26"/>
        <v>2.4868149481287065E-2</v>
      </c>
      <c r="M56" s="14">
        <f t="shared" si="26"/>
        <v>2.6781084056770686E-2</v>
      </c>
      <c r="N56" s="14">
        <f t="shared" si="26"/>
        <v>2.7737551344512494E-2</v>
      </c>
      <c r="O56" s="14">
        <f t="shared" si="26"/>
        <v>3.0606953207737923E-2</v>
      </c>
      <c r="P56" s="14">
        <f t="shared" si="26"/>
        <v>3.2519887783221547E-2</v>
      </c>
      <c r="Q56" s="14">
        <f t="shared" si="26"/>
        <v>3.3476355070963353E-2</v>
      </c>
      <c r="R56" s="14">
        <f t="shared" si="23"/>
        <v>3.4432822358705165E-2</v>
      </c>
      <c r="S56" s="14">
        <f t="shared" si="25"/>
        <v>3.4911056002576074E-2</v>
      </c>
      <c r="T56" s="14">
        <f t="shared" si="25"/>
        <v>3.4911056002576074E-2</v>
      </c>
      <c r="U56" s="14">
        <f t="shared" si="25"/>
        <v>3.4911056002576074E-2</v>
      </c>
      <c r="V56" s="14">
        <f t="shared" si="25"/>
        <v>3.4432822358705165E-2</v>
      </c>
      <c r="W56" s="14">
        <f t="shared" si="25"/>
        <v>2.9650485919996115E-2</v>
      </c>
      <c r="X56" s="14">
        <f t="shared" si="25"/>
        <v>2.6781084056770686E-2</v>
      </c>
      <c r="Y56" s="14">
        <f t="shared" si="25"/>
        <v>2.3911682193545253E-2</v>
      </c>
      <c r="Z56" s="14">
        <f t="shared" si="25"/>
        <v>2.2955214905803444E-2</v>
      </c>
      <c r="AA56" s="14">
        <f t="shared" si="25"/>
        <v>2.1998747618061632E-2</v>
      </c>
      <c r="AB56" s="14">
        <f t="shared" si="25"/>
        <v>2.1042280330319824E-2</v>
      </c>
      <c r="AC56" s="14">
        <f t="shared" si="21"/>
        <v>0.55905512968508808</v>
      </c>
    </row>
    <row r="57" spans="1:29" hidden="1" x14ac:dyDescent="0.2">
      <c r="A57" s="27" t="str">
        <f t="shared" si="18"/>
        <v>City of Ellensburg - WA</v>
      </c>
      <c r="B57" s="11" t="s">
        <v>53</v>
      </c>
      <c r="C57" s="11" t="s">
        <v>14</v>
      </c>
      <c r="D57" s="12">
        <f>VLOOKUP($A57,'EIA Soure Data'!$A$5:$X$156,'EIA Soure Data'!F$1,0)</f>
        <v>70943</v>
      </c>
      <c r="E57" s="12">
        <f>VLOOKUP($A57,'EIA Soure Data'!$A$5:$X$156,'EIA Soure Data'!J$1,0)</f>
        <v>115143</v>
      </c>
      <c r="F57" s="12">
        <f>VLOOKUP($A57,'EIA Soure Data'!$A$5:$X$156,'EIA Soure Data'!N$1,0)</f>
        <v>8229</v>
      </c>
      <c r="G57" s="12">
        <f>VLOOKUP($A57,'EIA Soure Data'!$A$5:$X$156,'EIA Soure Data'!V$1,0)</f>
        <v>194315</v>
      </c>
      <c r="H57" s="13">
        <f t="shared" si="19"/>
        <v>1.2532430277650023E-3</v>
      </c>
      <c r="I57" s="14">
        <f t="shared" si="26"/>
        <v>0.25064860555300045</v>
      </c>
      <c r="J57" s="14">
        <f t="shared" si="26"/>
        <v>0.2757134661083005</v>
      </c>
      <c r="K57" s="14">
        <f t="shared" si="26"/>
        <v>0.30077832666360055</v>
      </c>
      <c r="L57" s="14">
        <f t="shared" si="26"/>
        <v>0.3258431872189006</v>
      </c>
      <c r="M57" s="14">
        <f t="shared" si="26"/>
        <v>0.35090804777420065</v>
      </c>
      <c r="N57" s="14">
        <f t="shared" si="26"/>
        <v>0.3634404780518507</v>
      </c>
      <c r="O57" s="14">
        <f t="shared" si="26"/>
        <v>0.40103776888480075</v>
      </c>
      <c r="P57" s="14">
        <f t="shared" si="26"/>
        <v>0.4261026294401008</v>
      </c>
      <c r="Q57" s="14">
        <f t="shared" si="26"/>
        <v>0.4386350597177508</v>
      </c>
      <c r="R57" s="14">
        <f t="shared" si="23"/>
        <v>0.45116748999540085</v>
      </c>
      <c r="S57" s="14">
        <f t="shared" ref="S57:AB65" si="27">$H57*S$33</f>
        <v>0.45743370513422588</v>
      </c>
      <c r="T57" s="14">
        <f t="shared" si="27"/>
        <v>0.45743370513422588</v>
      </c>
      <c r="U57" s="14">
        <f t="shared" si="27"/>
        <v>0.45743370513422588</v>
      </c>
      <c r="V57" s="14">
        <f t="shared" si="27"/>
        <v>0.45116748999540085</v>
      </c>
      <c r="W57" s="14">
        <f t="shared" si="27"/>
        <v>0.38850533860715075</v>
      </c>
      <c r="X57" s="14">
        <f t="shared" si="27"/>
        <v>0.35090804777420065</v>
      </c>
      <c r="Y57" s="14">
        <f t="shared" si="27"/>
        <v>0.3133107569412506</v>
      </c>
      <c r="Z57" s="14">
        <f t="shared" si="27"/>
        <v>0.30077832666360055</v>
      </c>
      <c r="AA57" s="14">
        <f t="shared" si="27"/>
        <v>0.28824589638595055</v>
      </c>
      <c r="AB57" s="14">
        <f t="shared" si="27"/>
        <v>0.2757134661083005</v>
      </c>
      <c r="AC57" s="14">
        <f t="shared" si="21"/>
        <v>7.3252054972864391</v>
      </c>
    </row>
    <row r="58" spans="1:29" hidden="1" x14ac:dyDescent="0.2">
      <c r="A58" s="27" t="str">
        <f t="shared" si="18"/>
        <v>City of Eugene - OR</v>
      </c>
      <c r="B58" s="11" t="s">
        <v>52</v>
      </c>
      <c r="C58" s="11" t="s">
        <v>22</v>
      </c>
      <c r="D58" s="12">
        <f>VLOOKUP($A58,'EIA Soure Data'!$A$5:$X$156,'EIA Soure Data'!F$1,0)</f>
        <v>957844</v>
      </c>
      <c r="E58" s="12">
        <f>VLOOKUP($A58,'EIA Soure Data'!$A$5:$X$156,'EIA Soure Data'!J$1,0)</f>
        <v>868286</v>
      </c>
      <c r="F58" s="12">
        <f>VLOOKUP($A58,'EIA Soure Data'!$A$5:$X$156,'EIA Soure Data'!N$1,0)</f>
        <v>573671</v>
      </c>
      <c r="G58" s="12">
        <f>VLOOKUP($A58,'EIA Soure Data'!$A$5:$X$156,'EIA Soure Data'!V$1,0)</f>
        <v>2399801</v>
      </c>
      <c r="H58" s="13">
        <f t="shared" si="19"/>
        <v>1.5477620725489439E-2</v>
      </c>
      <c r="I58" s="14">
        <f t="shared" si="26"/>
        <v>3.0955241450978876</v>
      </c>
      <c r="J58" s="14">
        <f t="shared" si="26"/>
        <v>3.4050765596076764</v>
      </c>
      <c r="K58" s="14">
        <f t="shared" si="26"/>
        <v>3.7146289741174652</v>
      </c>
      <c r="L58" s="14">
        <f t="shared" si="26"/>
        <v>4.0241813886272544</v>
      </c>
      <c r="M58" s="14">
        <f t="shared" si="26"/>
        <v>4.3337338031370427</v>
      </c>
      <c r="N58" s="14">
        <f t="shared" si="26"/>
        <v>4.4885100103919369</v>
      </c>
      <c r="O58" s="14">
        <f t="shared" si="26"/>
        <v>4.9528386321566202</v>
      </c>
      <c r="P58" s="14">
        <f t="shared" si="26"/>
        <v>5.2623910466664094</v>
      </c>
      <c r="Q58" s="14">
        <f t="shared" si="26"/>
        <v>5.4171672539213036</v>
      </c>
      <c r="R58" s="14">
        <f t="shared" si="23"/>
        <v>5.5719434611761978</v>
      </c>
      <c r="S58" s="14">
        <f t="shared" si="27"/>
        <v>5.6493315648036448</v>
      </c>
      <c r="T58" s="14">
        <f t="shared" si="27"/>
        <v>5.6493315648036448</v>
      </c>
      <c r="U58" s="14">
        <f t="shared" si="27"/>
        <v>5.6493315648036448</v>
      </c>
      <c r="V58" s="14">
        <f t="shared" si="27"/>
        <v>5.5719434611761978</v>
      </c>
      <c r="W58" s="14">
        <f t="shared" si="27"/>
        <v>4.7980624249017261</v>
      </c>
      <c r="X58" s="14">
        <f t="shared" si="27"/>
        <v>4.3337338031370427</v>
      </c>
      <c r="Y58" s="14">
        <f t="shared" si="27"/>
        <v>3.8694051813723598</v>
      </c>
      <c r="Z58" s="14">
        <f t="shared" si="27"/>
        <v>3.7146289741174652</v>
      </c>
      <c r="AA58" s="14">
        <f t="shared" si="27"/>
        <v>3.559852766862571</v>
      </c>
      <c r="AB58" s="14">
        <f t="shared" si="27"/>
        <v>3.4050765596076764</v>
      </c>
      <c r="AC58" s="14">
        <f t="shared" si="21"/>
        <v>90.466693140485773</v>
      </c>
    </row>
    <row r="59" spans="1:29" hidden="1" x14ac:dyDescent="0.2">
      <c r="A59" s="27" t="str">
        <f t="shared" si="18"/>
        <v>City of Forest Grove - OR</v>
      </c>
      <c r="B59" s="11" t="s">
        <v>60</v>
      </c>
      <c r="C59" s="11" t="s">
        <v>22</v>
      </c>
      <c r="D59" s="12">
        <f>VLOOKUP($A59,'EIA Soure Data'!$A$5:$X$156,'EIA Soure Data'!F$1,0)</f>
        <v>107730</v>
      </c>
      <c r="E59" s="12">
        <f>VLOOKUP($A59,'EIA Soure Data'!$A$5:$X$156,'EIA Soure Data'!J$1,0)</f>
        <v>41078</v>
      </c>
      <c r="F59" s="12">
        <f>VLOOKUP($A59,'EIA Soure Data'!$A$5:$X$156,'EIA Soure Data'!N$1,0)</f>
        <v>81335</v>
      </c>
      <c r="G59" s="12">
        <f>VLOOKUP($A59,'EIA Soure Data'!$A$5:$X$156,'EIA Soure Data'!V$1,0)</f>
        <v>230143</v>
      </c>
      <c r="H59" s="13">
        <f t="shared" si="19"/>
        <v>1.4843172690678585E-3</v>
      </c>
      <c r="I59" s="14">
        <f t="shared" si="26"/>
        <v>0.29686345381357171</v>
      </c>
      <c r="J59" s="14">
        <f t="shared" si="26"/>
        <v>0.32654979919492888</v>
      </c>
      <c r="K59" s="14">
        <f t="shared" si="26"/>
        <v>0.35623614457628605</v>
      </c>
      <c r="L59" s="14">
        <f t="shared" si="26"/>
        <v>0.38592248995764322</v>
      </c>
      <c r="M59" s="14">
        <f t="shared" si="26"/>
        <v>0.41560883533900039</v>
      </c>
      <c r="N59" s="14">
        <f t="shared" si="26"/>
        <v>0.43045200802967898</v>
      </c>
      <c r="O59" s="14">
        <f t="shared" si="26"/>
        <v>0.47498152610171473</v>
      </c>
      <c r="P59" s="14">
        <f t="shared" si="26"/>
        <v>0.50466787148307191</v>
      </c>
      <c r="Q59" s="14">
        <f t="shared" si="26"/>
        <v>0.51951104417375049</v>
      </c>
      <c r="R59" s="14">
        <f t="shared" si="23"/>
        <v>0.53435421686442908</v>
      </c>
      <c r="S59" s="14">
        <f t="shared" si="27"/>
        <v>0.54177580320976837</v>
      </c>
      <c r="T59" s="14">
        <f t="shared" si="27"/>
        <v>0.54177580320976837</v>
      </c>
      <c r="U59" s="14">
        <f t="shared" si="27"/>
        <v>0.54177580320976837</v>
      </c>
      <c r="V59" s="14">
        <f t="shared" si="27"/>
        <v>0.53435421686442908</v>
      </c>
      <c r="W59" s="14">
        <f t="shared" si="27"/>
        <v>0.46013835341103615</v>
      </c>
      <c r="X59" s="14">
        <f t="shared" si="27"/>
        <v>0.41560883533900039</v>
      </c>
      <c r="Y59" s="14">
        <f t="shared" si="27"/>
        <v>0.37107931726696464</v>
      </c>
      <c r="Z59" s="14">
        <f t="shared" si="27"/>
        <v>0.35623614457628605</v>
      </c>
      <c r="AA59" s="14">
        <f t="shared" si="27"/>
        <v>0.34139297188560747</v>
      </c>
      <c r="AB59" s="14">
        <f t="shared" si="27"/>
        <v>0.32654979919492888</v>
      </c>
      <c r="AC59" s="14">
        <f t="shared" si="21"/>
        <v>8.6758344377016332</v>
      </c>
    </row>
    <row r="60" spans="1:29" hidden="1" x14ac:dyDescent="0.2">
      <c r="A60" s="27" t="str">
        <f t="shared" si="18"/>
        <v>City of Hermiston - OR</v>
      </c>
      <c r="B60" s="181" t="s">
        <v>65</v>
      </c>
      <c r="C60" s="11" t="s">
        <v>22</v>
      </c>
      <c r="D60" s="12">
        <f>VLOOKUP($A60,'EIA Soure Data'!$A$5:$X$156,'EIA Soure Data'!F$1,0)</f>
        <v>49967</v>
      </c>
      <c r="E60" s="12">
        <f>VLOOKUP($A60,'EIA Soure Data'!$A$5:$X$156,'EIA Soure Data'!J$1,0)</f>
        <v>55674</v>
      </c>
      <c r="F60" s="12">
        <f>VLOOKUP($A60,'EIA Soure Data'!$A$5:$X$156,'EIA Soure Data'!N$1,0)</f>
        <v>0</v>
      </c>
      <c r="G60" s="12">
        <f>VLOOKUP($A60,'EIA Soure Data'!$A$5:$X$156,'EIA Soure Data'!V$1,0)</f>
        <v>105641</v>
      </c>
      <c r="H60" s="13">
        <f t="shared" si="19"/>
        <v>6.813362154034563E-4</v>
      </c>
      <c r="I60" s="14">
        <f t="shared" si="26"/>
        <v>0.13626724308069127</v>
      </c>
      <c r="J60" s="14">
        <f t="shared" si="26"/>
        <v>0.14989396738876037</v>
      </c>
      <c r="K60" s="14">
        <f t="shared" si="26"/>
        <v>0.16352069169682951</v>
      </c>
      <c r="L60" s="14">
        <f t="shared" si="26"/>
        <v>0.17714741600489864</v>
      </c>
      <c r="M60" s="14">
        <f t="shared" si="26"/>
        <v>0.19077414031296777</v>
      </c>
      <c r="N60" s="14">
        <f t="shared" si="26"/>
        <v>0.19758750246700232</v>
      </c>
      <c r="O60" s="14">
        <f t="shared" si="26"/>
        <v>0.21802758892910601</v>
      </c>
      <c r="P60" s="14">
        <f t="shared" si="26"/>
        <v>0.23165431323717514</v>
      </c>
      <c r="Q60" s="14">
        <f t="shared" si="26"/>
        <v>0.23846767539120969</v>
      </c>
      <c r="R60" s="14">
        <f t="shared" si="23"/>
        <v>0.24528103754524427</v>
      </c>
      <c r="S60" s="14">
        <f t="shared" si="27"/>
        <v>0.24868771862226155</v>
      </c>
      <c r="T60" s="14">
        <f t="shared" si="27"/>
        <v>0.24868771862226155</v>
      </c>
      <c r="U60" s="14">
        <f t="shared" si="27"/>
        <v>0.24868771862226155</v>
      </c>
      <c r="V60" s="14">
        <f t="shared" si="27"/>
        <v>0.24528103754524427</v>
      </c>
      <c r="W60" s="14">
        <f t="shared" si="27"/>
        <v>0.21121422677507146</v>
      </c>
      <c r="X60" s="14">
        <f t="shared" si="27"/>
        <v>0.19077414031296777</v>
      </c>
      <c r="Y60" s="14">
        <f t="shared" si="27"/>
        <v>0.17033405385086409</v>
      </c>
      <c r="Z60" s="14">
        <f t="shared" si="27"/>
        <v>0.16352069169682951</v>
      </c>
      <c r="AA60" s="14">
        <f t="shared" si="27"/>
        <v>0.15670732954279495</v>
      </c>
      <c r="AB60" s="14">
        <f t="shared" si="27"/>
        <v>0.14989396738876037</v>
      </c>
      <c r="AC60" s="14">
        <f t="shared" si="21"/>
        <v>3.9824101790332023</v>
      </c>
    </row>
    <row r="61" spans="1:29" hidden="1" x14ac:dyDescent="0.2">
      <c r="A61" s="27" t="str">
        <f t="shared" si="18"/>
        <v>City of Heyburn - ID</v>
      </c>
      <c r="B61" s="11" t="s">
        <v>66</v>
      </c>
      <c r="C61" s="11" t="s">
        <v>19</v>
      </c>
      <c r="D61" s="12">
        <f>VLOOKUP($A61,'EIA Soure Data'!$A$5:$X$156,'EIA Soure Data'!F$1,0)</f>
        <v>18446</v>
      </c>
      <c r="E61" s="12">
        <f>VLOOKUP($A61,'EIA Soure Data'!$A$5:$X$156,'EIA Soure Data'!J$1,0)</f>
        <v>6978</v>
      </c>
      <c r="F61" s="12">
        <f>VLOOKUP($A61,'EIA Soure Data'!$A$5:$X$156,'EIA Soure Data'!N$1,0)</f>
        <v>13143</v>
      </c>
      <c r="G61" s="12">
        <f>VLOOKUP($A61,'EIA Soure Data'!$A$5:$X$156,'EIA Soure Data'!V$1,0)</f>
        <v>38567</v>
      </c>
      <c r="H61" s="13">
        <f t="shared" si="19"/>
        <v>2.4873954070356302E-4</v>
      </c>
      <c r="I61" s="14">
        <f t="shared" si="26"/>
        <v>4.9747908140712602E-2</v>
      </c>
      <c r="J61" s="14">
        <f t="shared" si="26"/>
        <v>5.4722698954783863E-2</v>
      </c>
      <c r="K61" s="14">
        <f t="shared" si="26"/>
        <v>5.9697489768855125E-2</v>
      </c>
      <c r="L61" s="14">
        <f t="shared" si="26"/>
        <v>6.4672280582926386E-2</v>
      </c>
      <c r="M61" s="14">
        <f t="shared" si="26"/>
        <v>6.9647071396997648E-2</v>
      </c>
      <c r="N61" s="14">
        <f t="shared" si="26"/>
        <v>7.2134466804033279E-2</v>
      </c>
      <c r="O61" s="14">
        <f t="shared" si="26"/>
        <v>7.9596653025140171E-2</v>
      </c>
      <c r="P61" s="14">
        <f t="shared" si="26"/>
        <v>8.4571443839211433E-2</v>
      </c>
      <c r="Q61" s="14">
        <f t="shared" si="26"/>
        <v>8.7058839246247063E-2</v>
      </c>
      <c r="R61" s="14">
        <f t="shared" si="23"/>
        <v>8.9546234653282694E-2</v>
      </c>
      <c r="S61" s="14">
        <f t="shared" si="27"/>
        <v>9.078993235680051E-2</v>
      </c>
      <c r="T61" s="14">
        <f t="shared" si="27"/>
        <v>9.078993235680051E-2</v>
      </c>
      <c r="U61" s="14">
        <f t="shared" si="27"/>
        <v>9.078993235680051E-2</v>
      </c>
      <c r="V61" s="14">
        <f t="shared" si="27"/>
        <v>8.9546234653282694E-2</v>
      </c>
      <c r="W61" s="14">
        <f t="shared" si="27"/>
        <v>7.710925761810454E-2</v>
      </c>
      <c r="X61" s="14">
        <f t="shared" si="27"/>
        <v>6.9647071396997648E-2</v>
      </c>
      <c r="Y61" s="14">
        <f t="shared" si="27"/>
        <v>6.2184885175890756E-2</v>
      </c>
      <c r="Z61" s="14">
        <f t="shared" si="27"/>
        <v>5.9697489768855125E-2</v>
      </c>
      <c r="AA61" s="14">
        <f t="shared" si="27"/>
        <v>5.7210094361819494E-2</v>
      </c>
      <c r="AB61" s="14">
        <f t="shared" si="27"/>
        <v>5.4722698954783863E-2</v>
      </c>
      <c r="AC61" s="14">
        <f t="shared" si="21"/>
        <v>1.4538826154123259</v>
      </c>
    </row>
    <row r="62" spans="1:29" hidden="1" x14ac:dyDescent="0.2">
      <c r="A62" s="27" t="str">
        <f t="shared" si="18"/>
        <v>City of Idaho Falls - ID</v>
      </c>
      <c r="B62" s="11" t="s">
        <v>70</v>
      </c>
      <c r="C62" s="11" t="s">
        <v>19</v>
      </c>
      <c r="D62" s="12">
        <f>VLOOKUP($A62,'EIA Soure Data'!$A$5:$X$156,'EIA Soure Data'!F$1,0)</f>
        <v>296989</v>
      </c>
      <c r="E62" s="12">
        <f>VLOOKUP($A62,'EIA Soure Data'!$A$5:$X$156,'EIA Soure Data'!J$1,0)</f>
        <v>310392</v>
      </c>
      <c r="F62" s="12">
        <f>VLOOKUP($A62,'EIA Soure Data'!$A$5:$X$156,'EIA Soure Data'!N$1,0)</f>
        <v>87933</v>
      </c>
      <c r="G62" s="12">
        <f>VLOOKUP($A62,'EIA Soure Data'!$A$5:$X$156,'EIA Soure Data'!V$1,0)</f>
        <v>695314</v>
      </c>
      <c r="H62" s="13">
        <f t="shared" si="19"/>
        <v>4.4844578267627042E-3</v>
      </c>
      <c r="I62" s="14">
        <f t="shared" ref="I62:Q71" si="28">$H62*I$33</f>
        <v>0.89689156535254089</v>
      </c>
      <c r="J62" s="14">
        <f t="shared" si="28"/>
        <v>0.98658072188779489</v>
      </c>
      <c r="K62" s="14">
        <f t="shared" si="28"/>
        <v>1.0762698784230489</v>
      </c>
      <c r="L62" s="14">
        <f t="shared" si="28"/>
        <v>1.1659590349583031</v>
      </c>
      <c r="M62" s="14">
        <f t="shared" si="28"/>
        <v>1.2556481914935571</v>
      </c>
      <c r="N62" s="14">
        <f t="shared" si="28"/>
        <v>1.3004927697611841</v>
      </c>
      <c r="O62" s="14">
        <f t="shared" si="28"/>
        <v>1.4350265045640653</v>
      </c>
      <c r="P62" s="14">
        <f t="shared" si="28"/>
        <v>1.5247156610993193</v>
      </c>
      <c r="Q62" s="14">
        <f t="shared" si="28"/>
        <v>1.5695602393669466</v>
      </c>
      <c r="R62" s="14">
        <f t="shared" si="23"/>
        <v>1.6144048176345736</v>
      </c>
      <c r="S62" s="14">
        <f t="shared" si="27"/>
        <v>1.6368271067683871</v>
      </c>
      <c r="T62" s="14">
        <f t="shared" si="27"/>
        <v>1.6368271067683871</v>
      </c>
      <c r="U62" s="14">
        <f t="shared" si="27"/>
        <v>1.6368271067683871</v>
      </c>
      <c r="V62" s="14">
        <f t="shared" si="27"/>
        <v>1.6144048176345736</v>
      </c>
      <c r="W62" s="14">
        <f t="shared" si="27"/>
        <v>1.3901819262964383</v>
      </c>
      <c r="X62" s="14">
        <f t="shared" si="27"/>
        <v>1.2556481914935571</v>
      </c>
      <c r="Y62" s="14">
        <f t="shared" si="27"/>
        <v>1.1211144566906761</v>
      </c>
      <c r="Z62" s="14">
        <f t="shared" si="27"/>
        <v>1.0762698784230489</v>
      </c>
      <c r="AA62" s="14">
        <f t="shared" si="27"/>
        <v>1.0314253001554219</v>
      </c>
      <c r="AB62" s="14">
        <f t="shared" si="27"/>
        <v>0.98658072188779489</v>
      </c>
      <c r="AC62" s="14">
        <f t="shared" si="21"/>
        <v>26.211655997428007</v>
      </c>
    </row>
    <row r="63" spans="1:29" hidden="1" x14ac:dyDescent="0.2">
      <c r="A63" s="27" t="str">
        <f t="shared" si="18"/>
        <v>City of McCleary - WA</v>
      </c>
      <c r="B63" s="11" t="s">
        <v>83</v>
      </c>
      <c r="C63" s="11" t="s">
        <v>14</v>
      </c>
      <c r="D63" s="12">
        <f>VLOOKUP($A63,'EIA Soure Data'!$A$5:$X$156,'EIA Soure Data'!F$1,0)</f>
        <v>16490</v>
      </c>
      <c r="E63" s="12">
        <f>VLOOKUP($A63,'EIA Soure Data'!$A$5:$X$156,'EIA Soure Data'!J$1,0)</f>
        <v>2505</v>
      </c>
      <c r="F63" s="12">
        <f>VLOOKUP($A63,'EIA Soure Data'!$A$5:$X$156,'EIA Soure Data'!N$1,0)</f>
        <v>11838</v>
      </c>
      <c r="G63" s="12">
        <f>VLOOKUP($A63,'EIA Soure Data'!$A$5:$X$156,'EIA Soure Data'!V$1,0)</f>
        <v>30833</v>
      </c>
      <c r="H63" s="13">
        <f t="shared" si="19"/>
        <v>1.9885877196859902E-4</v>
      </c>
      <c r="I63" s="14">
        <f t="shared" si="28"/>
        <v>3.9771754393719806E-2</v>
      </c>
      <c r="J63" s="14">
        <f t="shared" si="28"/>
        <v>4.3748929833091782E-2</v>
      </c>
      <c r="K63" s="14">
        <f t="shared" si="28"/>
        <v>4.7726105272463765E-2</v>
      </c>
      <c r="L63" s="14">
        <f t="shared" si="28"/>
        <v>5.1703280711835747E-2</v>
      </c>
      <c r="M63" s="14">
        <f t="shared" si="28"/>
        <v>5.5680456151207723E-2</v>
      </c>
      <c r="N63" s="14">
        <f t="shared" si="28"/>
        <v>5.7669043870893714E-2</v>
      </c>
      <c r="O63" s="14">
        <f t="shared" si="28"/>
        <v>6.3634807029951682E-2</v>
      </c>
      <c r="P63" s="14">
        <f t="shared" si="28"/>
        <v>6.7611982469323664E-2</v>
      </c>
      <c r="Q63" s="14">
        <f t="shared" si="28"/>
        <v>6.9600570189009656E-2</v>
      </c>
      <c r="R63" s="14">
        <f t="shared" si="23"/>
        <v>7.1589157908695647E-2</v>
      </c>
      <c r="S63" s="14">
        <f t="shared" si="27"/>
        <v>7.2583451768538643E-2</v>
      </c>
      <c r="T63" s="14">
        <f t="shared" si="27"/>
        <v>7.2583451768538643E-2</v>
      </c>
      <c r="U63" s="14">
        <f t="shared" si="27"/>
        <v>7.2583451768538643E-2</v>
      </c>
      <c r="V63" s="14">
        <f t="shared" si="27"/>
        <v>7.1589157908695647E-2</v>
      </c>
      <c r="W63" s="14">
        <f t="shared" si="27"/>
        <v>6.1646219310265697E-2</v>
      </c>
      <c r="X63" s="14">
        <f t="shared" si="27"/>
        <v>5.5680456151207723E-2</v>
      </c>
      <c r="Y63" s="14">
        <f t="shared" si="27"/>
        <v>4.9714692992149756E-2</v>
      </c>
      <c r="Z63" s="14">
        <f t="shared" si="27"/>
        <v>4.7726105272463765E-2</v>
      </c>
      <c r="AA63" s="14">
        <f t="shared" si="27"/>
        <v>4.5737517552777773E-2</v>
      </c>
      <c r="AB63" s="14">
        <f t="shared" si="27"/>
        <v>4.3748929833091782E-2</v>
      </c>
      <c r="AC63" s="14">
        <f t="shared" si="21"/>
        <v>1.1623295221564613</v>
      </c>
    </row>
    <row r="64" spans="1:29" hidden="1" x14ac:dyDescent="0.2">
      <c r="A64" s="27" t="str">
        <f t="shared" si="18"/>
        <v>City of McMinnville - OR</v>
      </c>
      <c r="B64" s="11" t="s">
        <v>84</v>
      </c>
      <c r="C64" s="11" t="s">
        <v>22</v>
      </c>
      <c r="D64" s="12">
        <f>VLOOKUP($A64,'EIA Soure Data'!$A$5:$X$156,'EIA Soure Data'!F$1,0)</f>
        <v>201283</v>
      </c>
      <c r="E64" s="12">
        <f>VLOOKUP($A64,'EIA Soure Data'!$A$5:$X$156,'EIA Soure Data'!J$1,0)</f>
        <v>172938</v>
      </c>
      <c r="F64" s="12">
        <f>VLOOKUP($A64,'EIA Soure Data'!$A$5:$X$156,'EIA Soure Data'!N$1,0)</f>
        <v>351004</v>
      </c>
      <c r="G64" s="12">
        <f>VLOOKUP($A64,'EIA Soure Data'!$A$5:$X$156,'EIA Soure Data'!V$1,0)</f>
        <v>725225</v>
      </c>
      <c r="H64" s="13">
        <f t="shared" si="19"/>
        <v>4.6773701197070413E-3</v>
      </c>
      <c r="I64" s="14">
        <f t="shared" si="28"/>
        <v>0.93547402394140822</v>
      </c>
      <c r="J64" s="14">
        <f t="shared" si="28"/>
        <v>1.029021426335549</v>
      </c>
      <c r="K64" s="14">
        <f t="shared" si="28"/>
        <v>1.12256882872969</v>
      </c>
      <c r="L64" s="14">
        <f t="shared" si="28"/>
        <v>1.2161162311238307</v>
      </c>
      <c r="M64" s="14">
        <f t="shared" si="28"/>
        <v>1.3096636335179717</v>
      </c>
      <c r="N64" s="14">
        <f t="shared" si="28"/>
        <v>1.356437334715042</v>
      </c>
      <c r="O64" s="14">
        <f t="shared" si="28"/>
        <v>1.4967584383062533</v>
      </c>
      <c r="P64" s="14">
        <f t="shared" si="28"/>
        <v>1.590305840700394</v>
      </c>
      <c r="Q64" s="14">
        <f t="shared" si="28"/>
        <v>1.6370795418974644</v>
      </c>
      <c r="R64" s="14">
        <f t="shared" si="23"/>
        <v>1.6838532430945348</v>
      </c>
      <c r="S64" s="14">
        <f t="shared" si="27"/>
        <v>1.7072400936930701</v>
      </c>
      <c r="T64" s="14">
        <f t="shared" si="27"/>
        <v>1.7072400936930701</v>
      </c>
      <c r="U64" s="14">
        <f t="shared" si="27"/>
        <v>1.7072400936930701</v>
      </c>
      <c r="V64" s="14">
        <f t="shared" si="27"/>
        <v>1.6838532430945348</v>
      </c>
      <c r="W64" s="14">
        <f t="shared" si="27"/>
        <v>1.4499847371091827</v>
      </c>
      <c r="X64" s="14">
        <f t="shared" si="27"/>
        <v>1.3096636335179717</v>
      </c>
      <c r="Y64" s="14">
        <f t="shared" si="27"/>
        <v>1.1693425299267604</v>
      </c>
      <c r="Z64" s="14">
        <f t="shared" si="27"/>
        <v>1.12256882872969</v>
      </c>
      <c r="AA64" s="14">
        <f t="shared" si="27"/>
        <v>1.0757951275326194</v>
      </c>
      <c r="AB64" s="14">
        <f t="shared" si="27"/>
        <v>1.029021426335549</v>
      </c>
      <c r="AC64" s="14">
        <f t="shared" si="21"/>
        <v>27.339228349687655</v>
      </c>
    </row>
    <row r="65" spans="1:29" hidden="1" x14ac:dyDescent="0.2">
      <c r="A65" s="27" t="str">
        <f t="shared" si="18"/>
        <v>City of Milton - WA</v>
      </c>
      <c r="B65" s="11" t="s">
        <v>88</v>
      </c>
      <c r="C65" s="11" t="s">
        <v>14</v>
      </c>
      <c r="D65" s="12">
        <f>VLOOKUP($A65,'EIA Soure Data'!$A$5:$X$156,'EIA Soure Data'!F$1,0)</f>
        <v>41174</v>
      </c>
      <c r="E65" s="12">
        <f>VLOOKUP($A65,'EIA Soure Data'!$A$5:$X$156,'EIA Soure Data'!J$1,0)</f>
        <v>19077</v>
      </c>
      <c r="F65" s="12">
        <f>VLOOKUP($A65,'EIA Soure Data'!$A$5:$X$156,'EIA Soure Data'!N$1,0)</f>
        <v>0</v>
      </c>
      <c r="G65" s="12">
        <f>VLOOKUP($A65,'EIA Soure Data'!$A$5:$X$156,'EIA Soure Data'!V$1,0)</f>
        <v>60251</v>
      </c>
      <c r="H65" s="13">
        <f t="shared" ref="H65:H96" si="29">G65/PNWSales_Total</f>
        <v>3.8859144001167768E-4</v>
      </c>
      <c r="I65" s="14">
        <f t="shared" si="28"/>
        <v>7.7718288002335531E-2</v>
      </c>
      <c r="J65" s="14">
        <f t="shared" si="28"/>
        <v>8.5490116802569086E-2</v>
      </c>
      <c r="K65" s="14">
        <f t="shared" si="28"/>
        <v>9.326194560280264E-2</v>
      </c>
      <c r="L65" s="14">
        <f t="shared" si="28"/>
        <v>0.10103377440303619</v>
      </c>
      <c r="M65" s="14">
        <f t="shared" si="28"/>
        <v>0.10880560320326975</v>
      </c>
      <c r="N65" s="14">
        <f t="shared" si="28"/>
        <v>0.11269151760338653</v>
      </c>
      <c r="O65" s="14">
        <f t="shared" si="28"/>
        <v>0.12434926080373686</v>
      </c>
      <c r="P65" s="14">
        <f t="shared" si="28"/>
        <v>0.1321210896039704</v>
      </c>
      <c r="Q65" s="14">
        <f t="shared" si="28"/>
        <v>0.13600700400408719</v>
      </c>
      <c r="R65" s="14">
        <f t="shared" si="23"/>
        <v>0.13989291840420395</v>
      </c>
      <c r="S65" s="14">
        <f t="shared" si="27"/>
        <v>0.14183587560426236</v>
      </c>
      <c r="T65" s="14">
        <f t="shared" si="27"/>
        <v>0.14183587560426236</v>
      </c>
      <c r="U65" s="14">
        <f t="shared" si="27"/>
        <v>0.14183587560426236</v>
      </c>
      <c r="V65" s="14">
        <f t="shared" si="27"/>
        <v>0.13989291840420395</v>
      </c>
      <c r="W65" s="14">
        <f t="shared" si="27"/>
        <v>0.12046334640362008</v>
      </c>
      <c r="X65" s="14">
        <f t="shared" si="27"/>
        <v>0.10880560320326975</v>
      </c>
      <c r="Y65" s="14">
        <f t="shared" si="27"/>
        <v>9.7147860002919417E-2</v>
      </c>
      <c r="Z65" s="14">
        <f t="shared" si="27"/>
        <v>9.326194560280264E-2</v>
      </c>
      <c r="AA65" s="14">
        <f t="shared" si="27"/>
        <v>8.9376031202685863E-2</v>
      </c>
      <c r="AB65" s="14">
        <f t="shared" si="27"/>
        <v>8.5490116802569086E-2</v>
      </c>
      <c r="AC65" s="14">
        <f t="shared" ref="AC65:AC96" si="30">$H65*AC$33</f>
        <v>2.2713169668682562</v>
      </c>
    </row>
    <row r="66" spans="1:29" hidden="1" x14ac:dyDescent="0.2">
      <c r="A66" s="27" t="str">
        <f t="shared" ref="A66:A97" si="31">B66&amp;" - "&amp;C66</f>
        <v>City of Milton-Freewater - OR</v>
      </c>
      <c r="B66" s="11" t="s">
        <v>87</v>
      </c>
      <c r="C66" s="11" t="s">
        <v>22</v>
      </c>
      <c r="D66" s="12">
        <f>VLOOKUP($A66,'EIA Soure Data'!$A$5:$X$156,'EIA Soure Data'!F$1,0)</f>
        <v>60045</v>
      </c>
      <c r="E66" s="12">
        <f>VLOOKUP($A66,'EIA Soure Data'!$A$5:$X$156,'EIA Soure Data'!J$1,0)</f>
        <v>15086</v>
      </c>
      <c r="F66" s="12">
        <f>VLOOKUP($A66,'EIA Soure Data'!$A$5:$X$156,'EIA Soure Data'!N$1,0)</f>
        <v>28571</v>
      </c>
      <c r="G66" s="12">
        <f>VLOOKUP($A66,'EIA Soure Data'!$A$5:$X$156,'EIA Soure Data'!V$1,0)</f>
        <v>103702</v>
      </c>
      <c r="H66" s="13">
        <f t="shared" si="29"/>
        <v>6.6883055073095881E-4</v>
      </c>
      <c r="I66" s="14">
        <f t="shared" si="28"/>
        <v>0.13376611014619177</v>
      </c>
      <c r="J66" s="14">
        <f t="shared" si="28"/>
        <v>0.14714272116081092</v>
      </c>
      <c r="K66" s="14">
        <f t="shared" si="28"/>
        <v>0.1605193321754301</v>
      </c>
      <c r="L66" s="14">
        <f t="shared" si="28"/>
        <v>0.17389594319004928</v>
      </c>
      <c r="M66" s="14">
        <f t="shared" si="28"/>
        <v>0.18727255420466846</v>
      </c>
      <c r="N66" s="14">
        <f t="shared" si="28"/>
        <v>0.19396085971197805</v>
      </c>
      <c r="O66" s="14">
        <f t="shared" si="28"/>
        <v>0.21402577623390681</v>
      </c>
      <c r="P66" s="14">
        <f t="shared" si="28"/>
        <v>0.22740238724852599</v>
      </c>
      <c r="Q66" s="14">
        <f t="shared" si="28"/>
        <v>0.23409069275583558</v>
      </c>
      <c r="R66" s="14">
        <f t="shared" ref="R66:R95" si="32">$H66*R$33</f>
        <v>0.24077899826314517</v>
      </c>
      <c r="S66" s="14">
        <f>$H66*S$33</f>
        <v>0.24412315101679996</v>
      </c>
      <c r="T66" s="14">
        <f t="shared" ref="S66:AB91" si="33">$H66*T$33</f>
        <v>0.24412315101679996</v>
      </c>
      <c r="U66" s="14">
        <f t="shared" si="33"/>
        <v>0.24412315101679996</v>
      </c>
      <c r="V66" s="14">
        <f t="shared" si="33"/>
        <v>0.24077899826314517</v>
      </c>
      <c r="W66" s="14">
        <f t="shared" si="33"/>
        <v>0.20733747072659722</v>
      </c>
      <c r="X66" s="14">
        <f t="shared" si="33"/>
        <v>0.18727255420466846</v>
      </c>
      <c r="Y66" s="14">
        <f t="shared" si="33"/>
        <v>0.16720763768273969</v>
      </c>
      <c r="Z66" s="14">
        <f t="shared" si="33"/>
        <v>0.1605193321754301</v>
      </c>
      <c r="AA66" s="14">
        <f t="shared" si="33"/>
        <v>0.15383102666812051</v>
      </c>
      <c r="AB66" s="14">
        <f t="shared" si="33"/>
        <v>0.14714272116081092</v>
      </c>
      <c r="AC66" s="14">
        <f t="shared" si="30"/>
        <v>3.9093145690224542</v>
      </c>
    </row>
    <row r="67" spans="1:29" hidden="1" x14ac:dyDescent="0.2">
      <c r="A67" s="27" t="str">
        <f t="shared" si="31"/>
        <v>City of Minidoka - ID</v>
      </c>
      <c r="B67" s="11" t="s">
        <v>86</v>
      </c>
      <c r="C67" s="11" t="s">
        <v>19</v>
      </c>
      <c r="D67" s="12">
        <f>VLOOKUP($A67,'EIA Soure Data'!$A$5:$X$156,'EIA Soure Data'!F$1,0)</f>
        <v>772</v>
      </c>
      <c r="E67" s="12">
        <f>VLOOKUP($A67,'EIA Soure Data'!$A$5:$X$156,'EIA Soure Data'!J$1,0)</f>
        <v>24</v>
      </c>
      <c r="F67" s="12">
        <f>VLOOKUP($A67,'EIA Soure Data'!$A$5:$X$156,'EIA Soure Data'!N$1,0)</f>
        <v>0</v>
      </c>
      <c r="G67" s="12">
        <f>VLOOKUP($A67,'EIA Soure Data'!$A$5:$X$156,'EIA Soure Data'!V$1,0)</f>
        <v>796</v>
      </c>
      <c r="H67" s="13">
        <f t="shared" si="29"/>
        <v>5.1338365545683135E-6</v>
      </c>
      <c r="I67" s="14">
        <f t="shared" si="28"/>
        <v>1.0267673109136627E-3</v>
      </c>
      <c r="J67" s="14">
        <f t="shared" si="28"/>
        <v>1.1294440420050291E-3</v>
      </c>
      <c r="K67" s="14">
        <f t="shared" si="28"/>
        <v>1.2321207730963952E-3</v>
      </c>
      <c r="L67" s="14">
        <f t="shared" si="28"/>
        <v>1.3347975041877614E-3</v>
      </c>
      <c r="M67" s="14">
        <f t="shared" si="28"/>
        <v>1.4374742352791278E-3</v>
      </c>
      <c r="N67" s="14">
        <f t="shared" si="28"/>
        <v>1.4888126008248109E-3</v>
      </c>
      <c r="O67" s="14">
        <f t="shared" si="28"/>
        <v>1.6428276974618603E-3</v>
      </c>
      <c r="P67" s="14">
        <f t="shared" si="28"/>
        <v>1.7455044285532265E-3</v>
      </c>
      <c r="Q67" s="14">
        <f t="shared" si="28"/>
        <v>1.7968427940989098E-3</v>
      </c>
      <c r="R67" s="14">
        <f t="shared" si="32"/>
        <v>1.8481811596445929E-3</v>
      </c>
      <c r="S67" s="14">
        <f t="shared" si="33"/>
        <v>1.8738503424174345E-3</v>
      </c>
      <c r="T67" s="14">
        <f t="shared" si="33"/>
        <v>1.8738503424174345E-3</v>
      </c>
      <c r="U67" s="14">
        <f t="shared" si="33"/>
        <v>1.8738503424174345E-3</v>
      </c>
      <c r="V67" s="14">
        <f t="shared" si="33"/>
        <v>1.8481811596445929E-3</v>
      </c>
      <c r="W67" s="14">
        <f t="shared" si="33"/>
        <v>1.5914893319161772E-3</v>
      </c>
      <c r="X67" s="14">
        <f t="shared" si="33"/>
        <v>1.4374742352791278E-3</v>
      </c>
      <c r="Y67" s="14">
        <f t="shared" si="33"/>
        <v>1.2834591386420783E-3</v>
      </c>
      <c r="Z67" s="14">
        <f t="shared" si="33"/>
        <v>1.2321207730963952E-3</v>
      </c>
      <c r="AA67" s="14">
        <f t="shared" si="33"/>
        <v>1.1807824075507122E-3</v>
      </c>
      <c r="AB67" s="14">
        <f t="shared" si="33"/>
        <v>1.1294440420050291E-3</v>
      </c>
      <c r="AC67" s="14">
        <f t="shared" si="30"/>
        <v>3.0007274661451793E-2</v>
      </c>
    </row>
    <row r="68" spans="1:29" hidden="1" x14ac:dyDescent="0.2">
      <c r="A68" s="27" t="str">
        <f t="shared" si="31"/>
        <v>City of Monmouth - OR</v>
      </c>
      <c r="B68" s="11" t="s">
        <v>91</v>
      </c>
      <c r="C68" s="11" t="s">
        <v>22</v>
      </c>
      <c r="D68" s="12">
        <f>VLOOKUP($A68,'EIA Soure Data'!$A$5:$X$156,'EIA Soure Data'!F$1,0)</f>
        <v>43126</v>
      </c>
      <c r="E68" s="12">
        <f>VLOOKUP($A68,'EIA Soure Data'!$A$5:$X$156,'EIA Soure Data'!J$1,0)</f>
        <v>3849</v>
      </c>
      <c r="F68" s="12">
        <f>VLOOKUP($A68,'EIA Soure Data'!$A$5:$X$156,'EIA Soure Data'!N$1,0)</f>
        <v>21266</v>
      </c>
      <c r="G68" s="12">
        <f>VLOOKUP($A68,'EIA Soure Data'!$A$5:$X$156,'EIA Soure Data'!V$1,0)</f>
        <v>68241</v>
      </c>
      <c r="H68" s="13">
        <f t="shared" si="29"/>
        <v>4.401232918596687E-4</v>
      </c>
      <c r="I68" s="14">
        <f t="shared" si="28"/>
        <v>8.8024658371933739E-2</v>
      </c>
      <c r="J68" s="14">
        <f t="shared" si="28"/>
        <v>9.6827124209127119E-2</v>
      </c>
      <c r="K68" s="14">
        <f t="shared" si="28"/>
        <v>0.10562959004632048</v>
      </c>
      <c r="L68" s="14">
        <f t="shared" si="28"/>
        <v>0.11443205588351386</v>
      </c>
      <c r="M68" s="14">
        <f t="shared" si="28"/>
        <v>0.12323452172070724</v>
      </c>
      <c r="N68" s="14">
        <f t="shared" si="28"/>
        <v>0.12763575463930393</v>
      </c>
      <c r="O68" s="14">
        <f t="shared" si="28"/>
        <v>0.14083945339509399</v>
      </c>
      <c r="P68" s="14">
        <f t="shared" si="28"/>
        <v>0.14964191923228737</v>
      </c>
      <c r="Q68" s="14">
        <f t="shared" si="28"/>
        <v>0.15404315215088404</v>
      </c>
      <c r="R68" s="14">
        <f t="shared" si="32"/>
        <v>0.15844438506948072</v>
      </c>
      <c r="S68" s="14">
        <f t="shared" si="33"/>
        <v>0.16064500152877909</v>
      </c>
      <c r="T68" s="14">
        <f t="shared" si="33"/>
        <v>0.16064500152877909</v>
      </c>
      <c r="U68" s="14">
        <f t="shared" si="33"/>
        <v>0.16064500152877909</v>
      </c>
      <c r="V68" s="14">
        <f t="shared" si="33"/>
        <v>0.15844438506948072</v>
      </c>
      <c r="W68" s="14">
        <f t="shared" si="33"/>
        <v>0.13643822047649729</v>
      </c>
      <c r="X68" s="14">
        <f t="shared" si="33"/>
        <v>0.12323452172070724</v>
      </c>
      <c r="Y68" s="14">
        <f t="shared" si="33"/>
        <v>0.11003082296491717</v>
      </c>
      <c r="Z68" s="14">
        <f t="shared" si="33"/>
        <v>0.10562959004632048</v>
      </c>
      <c r="AA68" s="14">
        <f t="shared" si="33"/>
        <v>0.10122835712772381</v>
      </c>
      <c r="AB68" s="14">
        <f t="shared" si="33"/>
        <v>9.6827124209127119E-2</v>
      </c>
      <c r="AC68" s="14">
        <f t="shared" si="30"/>
        <v>2.5725206409197634</v>
      </c>
    </row>
    <row r="69" spans="1:29" hidden="1" x14ac:dyDescent="0.2">
      <c r="A69" s="27" t="str">
        <f t="shared" si="31"/>
        <v>City of Plummer - ID</v>
      </c>
      <c r="B69" s="11" t="s">
        <v>110</v>
      </c>
      <c r="C69" s="11" t="s">
        <v>19</v>
      </c>
      <c r="D69" s="12">
        <f>VLOOKUP($A69,'EIA Soure Data'!$A$5:$X$156,'EIA Soure Data'!F$1,0)</f>
        <v>9370</v>
      </c>
      <c r="E69" s="12">
        <f>VLOOKUP($A69,'EIA Soure Data'!$A$5:$X$156,'EIA Soure Data'!J$1,0)</f>
        <v>7514</v>
      </c>
      <c r="F69" s="12">
        <f>VLOOKUP($A69,'EIA Soure Data'!$A$5:$X$156,'EIA Soure Data'!N$1,0)</f>
        <v>14400</v>
      </c>
      <c r="G69" s="12">
        <f>VLOOKUP($A69,'EIA Soure Data'!$A$5:$X$156,'EIA Soure Data'!V$1,0)</f>
        <v>31284</v>
      </c>
      <c r="H69" s="13">
        <f t="shared" si="29"/>
        <v>2.0176751604662703E-4</v>
      </c>
      <c r="I69" s="14">
        <f t="shared" si="28"/>
        <v>4.0353503209325403E-2</v>
      </c>
      <c r="J69" s="14">
        <f t="shared" si="28"/>
        <v>4.4388853530257948E-2</v>
      </c>
      <c r="K69" s="14">
        <f t="shared" si="28"/>
        <v>4.8424203851190485E-2</v>
      </c>
      <c r="L69" s="14">
        <f t="shared" si="28"/>
        <v>5.245955417212303E-2</v>
      </c>
      <c r="M69" s="14">
        <f t="shared" si="28"/>
        <v>5.6494904493055567E-2</v>
      </c>
      <c r="N69" s="14">
        <f t="shared" si="28"/>
        <v>5.8512579653521836E-2</v>
      </c>
      <c r="O69" s="14">
        <f t="shared" si="28"/>
        <v>6.4565605134920656E-2</v>
      </c>
      <c r="P69" s="14">
        <f t="shared" si="28"/>
        <v>6.8600955455853194E-2</v>
      </c>
      <c r="Q69" s="14">
        <f t="shared" si="28"/>
        <v>7.0618630616319455E-2</v>
      </c>
      <c r="R69" s="14">
        <f t="shared" si="32"/>
        <v>7.2636305776785731E-2</v>
      </c>
      <c r="S69" s="14">
        <f t="shared" si="33"/>
        <v>7.3645143357018869E-2</v>
      </c>
      <c r="T69" s="14">
        <f t="shared" si="33"/>
        <v>7.3645143357018869E-2</v>
      </c>
      <c r="U69" s="14">
        <f t="shared" si="33"/>
        <v>7.3645143357018869E-2</v>
      </c>
      <c r="V69" s="14">
        <f t="shared" si="33"/>
        <v>7.2636305776785731E-2</v>
      </c>
      <c r="W69" s="14">
        <f t="shared" si="33"/>
        <v>6.254792997445438E-2</v>
      </c>
      <c r="X69" s="14">
        <f t="shared" si="33"/>
        <v>5.6494904493055567E-2</v>
      </c>
      <c r="Y69" s="14">
        <f t="shared" si="33"/>
        <v>5.0441879011656754E-2</v>
      </c>
      <c r="Z69" s="14">
        <f t="shared" si="33"/>
        <v>4.8424203851190485E-2</v>
      </c>
      <c r="AA69" s="14">
        <f t="shared" si="33"/>
        <v>4.6406528690724216E-2</v>
      </c>
      <c r="AB69" s="14">
        <f t="shared" si="33"/>
        <v>4.4388853530257948E-2</v>
      </c>
      <c r="AC69" s="14">
        <f t="shared" si="30"/>
        <v>1.179331131292535</v>
      </c>
    </row>
    <row r="70" spans="1:29" hidden="1" x14ac:dyDescent="0.2">
      <c r="A70" s="27" t="str">
        <f t="shared" si="31"/>
        <v>City of Port Angeles - WA</v>
      </c>
      <c r="B70" s="11" t="s">
        <v>108</v>
      </c>
      <c r="C70" s="11" t="s">
        <v>14</v>
      </c>
      <c r="D70" s="12">
        <f>VLOOKUP($A70,'EIA Soure Data'!$A$5:$X$156,'EIA Soure Data'!F$1,0)</f>
        <v>131455</v>
      </c>
      <c r="E70" s="12">
        <f>VLOOKUP($A70,'EIA Soure Data'!$A$5:$X$156,'EIA Soure Data'!J$1,0)</f>
        <v>107428</v>
      </c>
      <c r="F70" s="12">
        <f>VLOOKUP($A70,'EIA Soure Data'!$A$5:$X$156,'EIA Soure Data'!N$1,0)</f>
        <v>481029</v>
      </c>
      <c r="G70" s="12">
        <f>VLOOKUP($A70,'EIA Soure Data'!$A$5:$X$156,'EIA Soure Data'!V$1,0)</f>
        <v>719912</v>
      </c>
      <c r="H70" s="13">
        <f t="shared" si="29"/>
        <v>4.6431036955683208E-3</v>
      </c>
      <c r="I70" s="14">
        <f t="shared" si="28"/>
        <v>0.92862073911366416</v>
      </c>
      <c r="J70" s="14">
        <f t="shared" si="28"/>
        <v>1.0214828130250306</v>
      </c>
      <c r="K70" s="14">
        <f t="shared" si="28"/>
        <v>1.114344886936397</v>
      </c>
      <c r="L70" s="14">
        <f t="shared" si="28"/>
        <v>1.2072069608477634</v>
      </c>
      <c r="M70" s="14">
        <f t="shared" si="28"/>
        <v>1.3000690347591299</v>
      </c>
      <c r="N70" s="14">
        <f t="shared" si="28"/>
        <v>1.346500071714813</v>
      </c>
      <c r="O70" s="14">
        <f t="shared" si="28"/>
        <v>1.4857931825818627</v>
      </c>
      <c r="P70" s="14">
        <f t="shared" si="28"/>
        <v>1.578655256493229</v>
      </c>
      <c r="Q70" s="14">
        <f t="shared" si="28"/>
        <v>1.6250862934489123</v>
      </c>
      <c r="R70" s="14">
        <f t="shared" si="32"/>
        <v>1.6715173304045954</v>
      </c>
      <c r="S70" s="14">
        <f t="shared" si="33"/>
        <v>1.6947328488824371</v>
      </c>
      <c r="T70" s="14">
        <f t="shared" si="33"/>
        <v>1.6947328488824371</v>
      </c>
      <c r="U70" s="14">
        <f t="shared" si="33"/>
        <v>1.6947328488824371</v>
      </c>
      <c r="V70" s="14">
        <f t="shared" si="33"/>
        <v>1.6715173304045954</v>
      </c>
      <c r="W70" s="14">
        <f t="shared" si="33"/>
        <v>1.4393621456261794</v>
      </c>
      <c r="X70" s="14">
        <f t="shared" si="33"/>
        <v>1.3000690347591299</v>
      </c>
      <c r="Y70" s="14">
        <f t="shared" si="33"/>
        <v>1.1607759238920803</v>
      </c>
      <c r="Z70" s="14">
        <f t="shared" si="33"/>
        <v>1.114344886936397</v>
      </c>
      <c r="AA70" s="14">
        <f t="shared" si="33"/>
        <v>1.0679138499807137</v>
      </c>
      <c r="AB70" s="14">
        <f t="shared" si="33"/>
        <v>1.0214828130250306</v>
      </c>
      <c r="AC70" s="14">
        <f t="shared" si="30"/>
        <v>27.138941100596835</v>
      </c>
    </row>
    <row r="71" spans="1:29" hidden="1" x14ac:dyDescent="0.2">
      <c r="A71" s="27" t="str">
        <f t="shared" si="31"/>
        <v>City of Richland - WA</v>
      </c>
      <c r="B71" s="11" t="s">
        <v>113</v>
      </c>
      <c r="C71" s="11" t="s">
        <v>14</v>
      </c>
      <c r="D71" s="12">
        <f>VLOOKUP($A71,'EIA Soure Data'!$A$5:$X$156,'EIA Soure Data'!F$1,0)</f>
        <v>326038</v>
      </c>
      <c r="E71" s="12">
        <f>VLOOKUP($A71,'EIA Soure Data'!$A$5:$X$156,'EIA Soure Data'!J$1,0)</f>
        <v>342447</v>
      </c>
      <c r="F71" s="12">
        <f>VLOOKUP($A71,'EIA Soure Data'!$A$5:$X$156,'EIA Soure Data'!N$1,0)</f>
        <v>171129</v>
      </c>
      <c r="G71" s="12">
        <f>VLOOKUP($A71,'EIA Soure Data'!$A$5:$X$156,'EIA Soure Data'!V$1,0)</f>
        <v>839614</v>
      </c>
      <c r="H71" s="13">
        <f t="shared" si="29"/>
        <v>5.4151269408634671E-3</v>
      </c>
      <c r="I71" s="14">
        <f t="shared" si="28"/>
        <v>1.0830253881726934</v>
      </c>
      <c r="J71" s="14">
        <f t="shared" si="28"/>
        <v>1.1913279269899628</v>
      </c>
      <c r="K71" s="14">
        <f t="shared" si="28"/>
        <v>1.2996304658072322</v>
      </c>
      <c r="L71" s="14">
        <f t="shared" si="28"/>
        <v>1.4079330046245015</v>
      </c>
      <c r="M71" s="14">
        <f t="shared" si="28"/>
        <v>1.5162355434417707</v>
      </c>
      <c r="N71" s="14">
        <f t="shared" si="28"/>
        <v>1.5703868128504055</v>
      </c>
      <c r="O71" s="14">
        <f t="shared" si="28"/>
        <v>1.7328406210763094</v>
      </c>
      <c r="P71" s="14">
        <f t="shared" si="28"/>
        <v>1.8411431598935788</v>
      </c>
      <c r="Q71" s="14">
        <f t="shared" si="28"/>
        <v>1.8952944293022136</v>
      </c>
      <c r="R71" s="14">
        <f t="shared" si="32"/>
        <v>1.9494456987108482</v>
      </c>
      <c r="S71" s="14">
        <f t="shared" si="33"/>
        <v>1.9765213334151654</v>
      </c>
      <c r="T71" s="14">
        <f t="shared" si="33"/>
        <v>1.9765213334151654</v>
      </c>
      <c r="U71" s="14">
        <f t="shared" si="33"/>
        <v>1.9765213334151654</v>
      </c>
      <c r="V71" s="14">
        <f t="shared" si="33"/>
        <v>1.9494456987108482</v>
      </c>
      <c r="W71" s="14">
        <f t="shared" si="33"/>
        <v>1.6786893516676749</v>
      </c>
      <c r="X71" s="14">
        <f t="shared" si="33"/>
        <v>1.5162355434417707</v>
      </c>
      <c r="Y71" s="14">
        <f t="shared" si="33"/>
        <v>1.3537817352158668</v>
      </c>
      <c r="Z71" s="14">
        <f t="shared" si="33"/>
        <v>1.2996304658072322</v>
      </c>
      <c r="AA71" s="14">
        <f t="shared" si="33"/>
        <v>1.2454791963985974</v>
      </c>
      <c r="AB71" s="14">
        <f t="shared" si="33"/>
        <v>1.1913279269899628</v>
      </c>
      <c r="AC71" s="14">
        <f t="shared" si="30"/>
        <v>31.651416969346965</v>
      </c>
    </row>
    <row r="72" spans="1:29" hidden="1" x14ac:dyDescent="0.2">
      <c r="A72" s="27" t="str">
        <f t="shared" si="31"/>
        <v>City of Rupert - ID</v>
      </c>
      <c r="B72" s="11" t="s">
        <v>114</v>
      </c>
      <c r="C72" s="11" t="s">
        <v>19</v>
      </c>
      <c r="D72" s="12">
        <f>VLOOKUP($A72,'EIA Soure Data'!$A$5:$X$156,'EIA Soure Data'!F$1,0)</f>
        <v>35457</v>
      </c>
      <c r="E72" s="12">
        <f>VLOOKUP($A72,'EIA Soure Data'!$A$5:$X$156,'EIA Soure Data'!J$1,0)</f>
        <v>25980</v>
      </c>
      <c r="F72" s="12">
        <f>VLOOKUP($A72,'EIA Soure Data'!$A$5:$X$156,'EIA Soure Data'!N$1,0)</f>
        <v>10609</v>
      </c>
      <c r="G72" s="12">
        <f>VLOOKUP($A72,'EIA Soure Data'!$A$5:$X$156,'EIA Soure Data'!V$1,0)</f>
        <v>72046</v>
      </c>
      <c r="H72" s="13">
        <f t="shared" si="29"/>
        <v>4.6466380453571445E-4</v>
      </c>
      <c r="I72" s="14">
        <f t="shared" ref="I72:Q81" si="34">$H72*I$33</f>
        <v>9.2932760907142892E-2</v>
      </c>
      <c r="J72" s="14">
        <f t="shared" si="34"/>
        <v>0.10222603699785718</v>
      </c>
      <c r="K72" s="14">
        <f t="shared" si="34"/>
        <v>0.11151931308857146</v>
      </c>
      <c r="L72" s="14">
        <f t="shared" si="34"/>
        <v>0.12081258917928575</v>
      </c>
      <c r="M72" s="14">
        <f t="shared" si="34"/>
        <v>0.13010586527000004</v>
      </c>
      <c r="N72" s="14">
        <f t="shared" si="34"/>
        <v>0.13475250331535718</v>
      </c>
      <c r="O72" s="14">
        <f t="shared" si="34"/>
        <v>0.14869241745142864</v>
      </c>
      <c r="P72" s="14">
        <f t="shared" si="34"/>
        <v>0.15798569354214292</v>
      </c>
      <c r="Q72" s="14">
        <f t="shared" si="34"/>
        <v>0.16263233158750007</v>
      </c>
      <c r="R72" s="14">
        <f t="shared" si="32"/>
        <v>0.16727896963285721</v>
      </c>
      <c r="S72" s="14">
        <f t="shared" si="33"/>
        <v>0.16960228865553578</v>
      </c>
      <c r="T72" s="14">
        <f t="shared" si="33"/>
        <v>0.16960228865553578</v>
      </c>
      <c r="U72" s="14">
        <f t="shared" si="33"/>
        <v>0.16960228865553578</v>
      </c>
      <c r="V72" s="14">
        <f t="shared" si="33"/>
        <v>0.16727896963285721</v>
      </c>
      <c r="W72" s="14">
        <f t="shared" si="33"/>
        <v>0.14404577940607147</v>
      </c>
      <c r="X72" s="14">
        <f t="shared" si="33"/>
        <v>0.13010586527000004</v>
      </c>
      <c r="Y72" s="14">
        <f t="shared" si="33"/>
        <v>0.11616595113392861</v>
      </c>
      <c r="Z72" s="14">
        <f t="shared" si="33"/>
        <v>0.11151931308857146</v>
      </c>
      <c r="AA72" s="14">
        <f t="shared" si="33"/>
        <v>0.10687267504321432</v>
      </c>
      <c r="AB72" s="14">
        <f t="shared" si="33"/>
        <v>0.10222603699785718</v>
      </c>
      <c r="AC72" s="14">
        <f t="shared" si="30"/>
        <v>2.7159599375112511</v>
      </c>
    </row>
    <row r="73" spans="1:29" hidden="1" x14ac:dyDescent="0.2">
      <c r="A73" s="27" t="str">
        <f t="shared" si="31"/>
        <v>City of Salem - OR</v>
      </c>
      <c r="B73" s="11" t="s">
        <v>116</v>
      </c>
      <c r="C73" s="11" t="s">
        <v>22</v>
      </c>
      <c r="D73" s="12">
        <f>VLOOKUP($A73,'EIA Soure Data'!$A$5:$X$156,'EIA Soure Data'!F$1,0)</f>
        <v>182615</v>
      </c>
      <c r="E73" s="12">
        <f>VLOOKUP($A73,'EIA Soure Data'!$A$5:$X$156,'EIA Soure Data'!J$1,0)</f>
        <v>104642</v>
      </c>
      <c r="F73" s="12">
        <f>VLOOKUP($A73,'EIA Soure Data'!$A$5:$X$156,'EIA Soure Data'!N$1,0)</f>
        <v>22966</v>
      </c>
      <c r="G73" s="12">
        <f>VLOOKUP($A73,'EIA Soure Data'!$A$5:$X$156,'EIA Soure Data'!V$1,0)</f>
        <v>310223</v>
      </c>
      <c r="H73" s="13">
        <f t="shared" si="29"/>
        <v>2.0007967053616155E-3</v>
      </c>
      <c r="I73" s="14">
        <f t="shared" si="34"/>
        <v>0.40015934107232309</v>
      </c>
      <c r="J73" s="14">
        <f t="shared" si="34"/>
        <v>0.4401752751795554</v>
      </c>
      <c r="K73" s="14">
        <f t="shared" si="34"/>
        <v>0.48019120928678771</v>
      </c>
      <c r="L73" s="14">
        <f t="shared" si="34"/>
        <v>0.52020714339402008</v>
      </c>
      <c r="M73" s="14">
        <f t="shared" si="34"/>
        <v>0.56022307750125233</v>
      </c>
      <c r="N73" s="14">
        <f t="shared" si="34"/>
        <v>0.58023104455486851</v>
      </c>
      <c r="O73" s="14">
        <f t="shared" si="34"/>
        <v>0.64025494571571695</v>
      </c>
      <c r="P73" s="14">
        <f t="shared" si="34"/>
        <v>0.68027087982294931</v>
      </c>
      <c r="Q73" s="14">
        <f t="shared" si="34"/>
        <v>0.70027884687656539</v>
      </c>
      <c r="R73" s="14">
        <f t="shared" si="32"/>
        <v>0.72028681393018157</v>
      </c>
      <c r="S73" s="14">
        <f t="shared" si="33"/>
        <v>0.73029079745698966</v>
      </c>
      <c r="T73" s="14">
        <f t="shared" si="33"/>
        <v>0.73029079745698966</v>
      </c>
      <c r="U73" s="14">
        <f t="shared" si="33"/>
        <v>0.73029079745698966</v>
      </c>
      <c r="V73" s="14">
        <f t="shared" si="33"/>
        <v>0.72028681393018157</v>
      </c>
      <c r="W73" s="14">
        <f t="shared" si="33"/>
        <v>0.62024697866210077</v>
      </c>
      <c r="X73" s="14">
        <f t="shared" si="33"/>
        <v>0.56022307750125233</v>
      </c>
      <c r="Y73" s="14">
        <f t="shared" si="33"/>
        <v>0.50019917634040389</v>
      </c>
      <c r="Z73" s="14">
        <f t="shared" si="33"/>
        <v>0.48019120928678771</v>
      </c>
      <c r="AA73" s="14">
        <f t="shared" si="33"/>
        <v>0.46018324223317153</v>
      </c>
      <c r="AB73" s="14">
        <f t="shared" si="33"/>
        <v>0.4401752751795554</v>
      </c>
      <c r="AC73" s="14">
        <f t="shared" si="30"/>
        <v>11.694656742838642</v>
      </c>
    </row>
    <row r="74" spans="1:29" hidden="1" x14ac:dyDescent="0.2">
      <c r="A74" s="27" t="str">
        <f t="shared" si="31"/>
        <v>City of Seattle - WA</v>
      </c>
      <c r="B74" s="11" t="s">
        <v>118</v>
      </c>
      <c r="C74" s="11" t="s">
        <v>14</v>
      </c>
      <c r="D74" s="12">
        <f>VLOOKUP($A74,'EIA Soure Data'!$A$5:$X$156,'EIA Soure Data'!F$1,0)</f>
        <v>3094576</v>
      </c>
      <c r="E74" s="12">
        <f>VLOOKUP($A74,'EIA Soure Data'!$A$5:$X$156,'EIA Soure Data'!J$1,0)</f>
        <v>5084754</v>
      </c>
      <c r="F74" s="12">
        <f>VLOOKUP($A74,'EIA Soure Data'!$A$5:$X$156,'EIA Soure Data'!N$1,0)</f>
        <v>1204764</v>
      </c>
      <c r="G74" s="12">
        <f>VLOOKUP($A74,'EIA Soure Data'!$A$5:$X$156,'EIA Soure Data'!V$1,0)</f>
        <v>9384736</v>
      </c>
      <c r="H74" s="13">
        <f t="shared" si="29"/>
        <v>6.052726222584575E-2</v>
      </c>
      <c r="I74" s="14">
        <f t="shared" si="34"/>
        <v>12.105452445169149</v>
      </c>
      <c r="J74" s="14">
        <f t="shared" si="34"/>
        <v>13.315997689686066</v>
      </c>
      <c r="K74" s="14">
        <f t="shared" si="34"/>
        <v>14.526542934202981</v>
      </c>
      <c r="L74" s="14">
        <f t="shared" si="34"/>
        <v>15.737088178719896</v>
      </c>
      <c r="M74" s="14">
        <f t="shared" si="34"/>
        <v>16.947633423236809</v>
      </c>
      <c r="N74" s="14">
        <f t="shared" si="34"/>
        <v>17.552906045495266</v>
      </c>
      <c r="O74" s="14">
        <f t="shared" si="34"/>
        <v>19.368723912270639</v>
      </c>
      <c r="P74" s="14">
        <f t="shared" si="34"/>
        <v>20.579269156787554</v>
      </c>
      <c r="Q74" s="14">
        <f t="shared" si="34"/>
        <v>21.184541779046011</v>
      </c>
      <c r="R74" s="14">
        <f t="shared" si="32"/>
        <v>21.789814401304469</v>
      </c>
      <c r="S74" s="14">
        <f t="shared" si="33"/>
        <v>22.092450712433699</v>
      </c>
      <c r="T74" s="14">
        <f t="shared" si="33"/>
        <v>22.092450712433699</v>
      </c>
      <c r="U74" s="14">
        <f t="shared" si="33"/>
        <v>22.092450712433699</v>
      </c>
      <c r="V74" s="14">
        <f t="shared" si="33"/>
        <v>21.789814401304469</v>
      </c>
      <c r="W74" s="14">
        <f t="shared" si="33"/>
        <v>18.763451290012181</v>
      </c>
      <c r="X74" s="14">
        <f t="shared" si="33"/>
        <v>16.947633423236809</v>
      </c>
      <c r="Y74" s="14">
        <f t="shared" si="33"/>
        <v>15.131815556461438</v>
      </c>
      <c r="Z74" s="14">
        <f t="shared" si="33"/>
        <v>14.526542934202981</v>
      </c>
      <c r="AA74" s="14">
        <f t="shared" si="33"/>
        <v>13.921270311944523</v>
      </c>
      <c r="AB74" s="14">
        <f t="shared" si="33"/>
        <v>13.315997689686066</v>
      </c>
      <c r="AC74" s="14">
        <f t="shared" si="30"/>
        <v>353.7818477100684</v>
      </c>
    </row>
    <row r="75" spans="1:29" hidden="1" x14ac:dyDescent="0.2">
      <c r="A75" s="27" t="str">
        <f t="shared" si="31"/>
        <v>City of Soda Springs - ID</v>
      </c>
      <c r="B75" s="11" t="s">
        <v>121</v>
      </c>
      <c r="C75" s="11" t="s">
        <v>19</v>
      </c>
      <c r="D75" s="12">
        <f>VLOOKUP($A75,'EIA Soure Data'!$A$5:$X$156,'EIA Soure Data'!F$1,0)</f>
        <v>12286</v>
      </c>
      <c r="E75" s="12">
        <f>VLOOKUP($A75,'EIA Soure Data'!$A$5:$X$156,'EIA Soure Data'!J$1,0)</f>
        <v>11874</v>
      </c>
      <c r="F75" s="12">
        <f>VLOOKUP($A75,'EIA Soure Data'!$A$5:$X$156,'EIA Soure Data'!N$1,0)</f>
        <v>420</v>
      </c>
      <c r="G75" s="12">
        <f>VLOOKUP($A75,'EIA Soure Data'!$A$5:$X$156,'EIA Soure Data'!V$1,0)</f>
        <v>24580</v>
      </c>
      <c r="H75" s="13">
        <f t="shared" si="29"/>
        <v>1.5852977702423258E-4</v>
      </c>
      <c r="I75" s="14">
        <f t="shared" si="34"/>
        <v>3.1705955404846518E-2</v>
      </c>
      <c r="J75" s="14">
        <f t="shared" si="34"/>
        <v>3.4876550945331167E-2</v>
      </c>
      <c r="K75" s="14">
        <f t="shared" si="34"/>
        <v>3.8047146485815822E-2</v>
      </c>
      <c r="L75" s="14">
        <f t="shared" si="34"/>
        <v>4.121774202630047E-2</v>
      </c>
      <c r="M75" s="14">
        <f t="shared" si="34"/>
        <v>4.4388337566785126E-2</v>
      </c>
      <c r="N75" s="14">
        <f t="shared" si="34"/>
        <v>4.5973635337027446E-2</v>
      </c>
      <c r="O75" s="14">
        <f t="shared" si="34"/>
        <v>5.0729528647754429E-2</v>
      </c>
      <c r="P75" s="14">
        <f t="shared" si="34"/>
        <v>5.3900124188239078E-2</v>
      </c>
      <c r="Q75" s="14">
        <f t="shared" si="34"/>
        <v>5.5485421958481405E-2</v>
      </c>
      <c r="R75" s="14">
        <f t="shared" si="32"/>
        <v>5.7070719728723726E-2</v>
      </c>
      <c r="S75" s="14">
        <f t="shared" si="33"/>
        <v>5.786336861384489E-2</v>
      </c>
      <c r="T75" s="14">
        <f t="shared" si="33"/>
        <v>5.786336861384489E-2</v>
      </c>
      <c r="U75" s="14">
        <f t="shared" si="33"/>
        <v>5.786336861384489E-2</v>
      </c>
      <c r="V75" s="14">
        <f t="shared" si="33"/>
        <v>5.7070719728723726E-2</v>
      </c>
      <c r="W75" s="14">
        <f t="shared" si="33"/>
        <v>4.9144230877512102E-2</v>
      </c>
      <c r="X75" s="14">
        <f t="shared" si="33"/>
        <v>4.4388337566785126E-2</v>
      </c>
      <c r="Y75" s="14">
        <f t="shared" si="33"/>
        <v>3.9632444256058143E-2</v>
      </c>
      <c r="Z75" s="14">
        <f t="shared" si="33"/>
        <v>3.8047146485815822E-2</v>
      </c>
      <c r="AA75" s="14">
        <f t="shared" si="33"/>
        <v>3.6461848715573494E-2</v>
      </c>
      <c r="AB75" s="14">
        <f t="shared" si="33"/>
        <v>3.4876550945331167E-2</v>
      </c>
      <c r="AC75" s="14">
        <f t="shared" si="30"/>
        <v>0.92660654670663944</v>
      </c>
    </row>
    <row r="76" spans="1:29" hidden="1" x14ac:dyDescent="0.2">
      <c r="A76" s="27" t="str">
        <f t="shared" si="31"/>
        <v>City of Springfield - OR</v>
      </c>
      <c r="B76" s="11" t="s">
        <v>123</v>
      </c>
      <c r="C76" s="11" t="s">
        <v>22</v>
      </c>
      <c r="D76" s="12">
        <f>VLOOKUP($A76,'EIA Soure Data'!$A$5:$X$156,'EIA Soure Data'!F$1,0)</f>
        <v>385240</v>
      </c>
      <c r="E76" s="12">
        <f>VLOOKUP($A76,'EIA Soure Data'!$A$5:$X$156,'EIA Soure Data'!J$1,0)</f>
        <v>258683</v>
      </c>
      <c r="F76" s="12">
        <f>VLOOKUP($A76,'EIA Soure Data'!$A$5:$X$156,'EIA Soure Data'!N$1,0)</f>
        <v>164159</v>
      </c>
      <c r="G76" s="12">
        <f>VLOOKUP($A76,'EIA Soure Data'!$A$5:$X$156,'EIA Soure Data'!V$1,0)</f>
        <v>808082</v>
      </c>
      <c r="H76" s="13">
        <f t="shared" si="29"/>
        <v>5.211759938051095E-3</v>
      </c>
      <c r="I76" s="14">
        <f t="shared" si="34"/>
        <v>1.042351987610219</v>
      </c>
      <c r="J76" s="14">
        <f t="shared" si="34"/>
        <v>1.1465871863712409</v>
      </c>
      <c r="K76" s="14">
        <f t="shared" si="34"/>
        <v>1.2508223851322628</v>
      </c>
      <c r="L76" s="14">
        <f t="shared" si="34"/>
        <v>1.3550575838932848</v>
      </c>
      <c r="M76" s="14">
        <f t="shared" si="34"/>
        <v>1.4592927826543065</v>
      </c>
      <c r="N76" s="14">
        <f t="shared" si="34"/>
        <v>1.5114103820348175</v>
      </c>
      <c r="O76" s="14">
        <f t="shared" si="34"/>
        <v>1.6677631801763504</v>
      </c>
      <c r="P76" s="14">
        <f t="shared" si="34"/>
        <v>1.7719983789373723</v>
      </c>
      <c r="Q76" s="14">
        <f t="shared" si="34"/>
        <v>1.8241159783178833</v>
      </c>
      <c r="R76" s="14">
        <f t="shared" si="32"/>
        <v>1.8762335776983943</v>
      </c>
      <c r="S76" s="14">
        <f t="shared" si="33"/>
        <v>1.9022923773886498</v>
      </c>
      <c r="T76" s="14">
        <f t="shared" si="33"/>
        <v>1.9022923773886498</v>
      </c>
      <c r="U76" s="14">
        <f t="shared" si="33"/>
        <v>1.9022923773886498</v>
      </c>
      <c r="V76" s="14">
        <f t="shared" si="33"/>
        <v>1.8762335776983943</v>
      </c>
      <c r="W76" s="14">
        <f t="shared" si="33"/>
        <v>1.6156455807958394</v>
      </c>
      <c r="X76" s="14">
        <f t="shared" si="33"/>
        <v>1.4592927826543065</v>
      </c>
      <c r="Y76" s="14">
        <f t="shared" si="33"/>
        <v>1.3029399845127738</v>
      </c>
      <c r="Z76" s="14">
        <f t="shared" si="33"/>
        <v>1.2508223851322628</v>
      </c>
      <c r="AA76" s="14">
        <f t="shared" si="33"/>
        <v>1.1987047857517519</v>
      </c>
      <c r="AB76" s="14">
        <f t="shared" si="33"/>
        <v>1.1465871863712409</v>
      </c>
      <c r="AC76" s="14">
        <f t="shared" si="30"/>
        <v>30.462736837908651</v>
      </c>
    </row>
    <row r="77" spans="1:29" hidden="1" x14ac:dyDescent="0.2">
      <c r="A77" s="27" t="str">
        <f t="shared" si="31"/>
        <v>City of Sumas - WA</v>
      </c>
      <c r="B77" s="11" t="s">
        <v>126</v>
      </c>
      <c r="C77" s="11" t="s">
        <v>14</v>
      </c>
      <c r="D77" s="12">
        <f>VLOOKUP($A77,'EIA Soure Data'!$A$5:$X$156,'EIA Soure Data'!F$1,0)</f>
        <v>4846</v>
      </c>
      <c r="E77" s="12">
        <f>VLOOKUP($A77,'EIA Soure Data'!$A$5:$X$156,'EIA Soure Data'!J$1,0)</f>
        <v>5068</v>
      </c>
      <c r="F77" s="12">
        <f>VLOOKUP($A77,'EIA Soure Data'!$A$5:$X$156,'EIA Soure Data'!N$1,0)</f>
        <v>19939</v>
      </c>
      <c r="G77" s="12">
        <f>VLOOKUP($A77,'EIA Soure Data'!$A$5:$X$156,'EIA Soure Data'!V$1,0)</f>
        <v>29853</v>
      </c>
      <c r="H77" s="13">
        <f t="shared" si="29"/>
        <v>1.9253821942654255E-4</v>
      </c>
      <c r="I77" s="14">
        <f t="shared" si="34"/>
        <v>3.8507643885308508E-2</v>
      </c>
      <c r="J77" s="14">
        <f t="shared" si="34"/>
        <v>4.2358408273839361E-2</v>
      </c>
      <c r="K77" s="14">
        <f t="shared" si="34"/>
        <v>4.6209172662370214E-2</v>
      </c>
      <c r="L77" s="14">
        <f t="shared" si="34"/>
        <v>5.005993705090106E-2</v>
      </c>
      <c r="M77" s="14">
        <f t="shared" si="34"/>
        <v>5.3910701439431913E-2</v>
      </c>
      <c r="N77" s="14">
        <f t="shared" si="34"/>
        <v>5.5836083633697339E-2</v>
      </c>
      <c r="O77" s="14">
        <f t="shared" si="34"/>
        <v>6.1612230216493619E-2</v>
      </c>
      <c r="P77" s="14">
        <f t="shared" si="34"/>
        <v>6.5462994605024472E-2</v>
      </c>
      <c r="Q77" s="14">
        <f t="shared" si="34"/>
        <v>6.7388376799289898E-2</v>
      </c>
      <c r="R77" s="14">
        <f t="shared" si="32"/>
        <v>6.9313758993555311E-2</v>
      </c>
      <c r="S77" s="14">
        <f t="shared" si="33"/>
        <v>7.0276450090688031E-2</v>
      </c>
      <c r="T77" s="14">
        <f t="shared" si="33"/>
        <v>7.0276450090688031E-2</v>
      </c>
      <c r="U77" s="14">
        <f t="shared" si="33"/>
        <v>7.0276450090688031E-2</v>
      </c>
      <c r="V77" s="14">
        <f t="shared" si="33"/>
        <v>6.9313758993555311E-2</v>
      </c>
      <c r="W77" s="14">
        <f t="shared" si="33"/>
        <v>5.9686848022228192E-2</v>
      </c>
      <c r="X77" s="14">
        <f t="shared" si="33"/>
        <v>5.3910701439431913E-2</v>
      </c>
      <c r="Y77" s="14">
        <f t="shared" si="33"/>
        <v>4.8134554856635633E-2</v>
      </c>
      <c r="Z77" s="14">
        <f t="shared" si="33"/>
        <v>4.6209172662370214E-2</v>
      </c>
      <c r="AA77" s="14">
        <f t="shared" si="33"/>
        <v>4.4283790468104788E-2</v>
      </c>
      <c r="AB77" s="14">
        <f t="shared" si="33"/>
        <v>4.2358408273839361E-2</v>
      </c>
      <c r="AC77" s="14">
        <f t="shared" si="30"/>
        <v>1.1253858925481413</v>
      </c>
    </row>
    <row r="78" spans="1:29" hidden="1" x14ac:dyDescent="0.2">
      <c r="A78" s="27" t="str">
        <f t="shared" si="31"/>
        <v>City of Tacoma - WA</v>
      </c>
      <c r="B78" s="11" t="s">
        <v>127</v>
      </c>
      <c r="C78" s="11" t="s">
        <v>14</v>
      </c>
      <c r="D78" s="12">
        <f>VLOOKUP($A78,'EIA Soure Data'!$A$5:$X$156,'EIA Soure Data'!F$1,0)</f>
        <v>1886814</v>
      </c>
      <c r="E78" s="12">
        <f>VLOOKUP($A78,'EIA Soure Data'!$A$5:$X$156,'EIA Soure Data'!J$1,0)</f>
        <v>338648</v>
      </c>
      <c r="F78" s="12">
        <f>VLOOKUP($A78,'EIA Soure Data'!$A$5:$X$156,'EIA Soure Data'!N$1,0)</f>
        <v>2485765</v>
      </c>
      <c r="G78" s="12">
        <f>VLOOKUP($A78,'EIA Soure Data'!$A$5:$X$156,'EIA Soure Data'!V$1,0)</f>
        <v>4713766</v>
      </c>
      <c r="H78" s="13">
        <f t="shared" si="29"/>
        <v>3.0401638442815654E-2</v>
      </c>
      <c r="I78" s="14">
        <f t="shared" si="34"/>
        <v>6.0803276885631306</v>
      </c>
      <c r="J78" s="14">
        <f t="shared" si="34"/>
        <v>6.688360457419444</v>
      </c>
      <c r="K78" s="14">
        <f t="shared" si="34"/>
        <v>7.2963932262757574</v>
      </c>
      <c r="L78" s="14">
        <f t="shared" si="34"/>
        <v>7.9044259951320699</v>
      </c>
      <c r="M78" s="14">
        <f t="shared" si="34"/>
        <v>8.5124587639883824</v>
      </c>
      <c r="N78" s="14">
        <f t="shared" si="34"/>
        <v>8.81647514841654</v>
      </c>
      <c r="O78" s="14">
        <f t="shared" si="34"/>
        <v>9.7285243017010092</v>
      </c>
      <c r="P78" s="14">
        <f t="shared" si="34"/>
        <v>10.336557070557323</v>
      </c>
      <c r="Q78" s="14">
        <f t="shared" si="34"/>
        <v>10.640573454985478</v>
      </c>
      <c r="R78" s="14">
        <f t="shared" si="32"/>
        <v>10.944589839413636</v>
      </c>
      <c r="S78" s="14">
        <f t="shared" si="33"/>
        <v>11.096598031627714</v>
      </c>
      <c r="T78" s="14">
        <f t="shared" si="33"/>
        <v>11.096598031627714</v>
      </c>
      <c r="U78" s="14">
        <f t="shared" si="33"/>
        <v>11.096598031627714</v>
      </c>
      <c r="V78" s="14">
        <f t="shared" si="33"/>
        <v>10.944589839413636</v>
      </c>
      <c r="W78" s="14">
        <f t="shared" si="33"/>
        <v>9.4245079172728534</v>
      </c>
      <c r="X78" s="14">
        <f t="shared" si="33"/>
        <v>8.5124587639883824</v>
      </c>
      <c r="Y78" s="14">
        <f t="shared" si="33"/>
        <v>7.6004096107039132</v>
      </c>
      <c r="Z78" s="14">
        <f t="shared" si="33"/>
        <v>7.2963932262757574</v>
      </c>
      <c r="AA78" s="14">
        <f t="shared" si="33"/>
        <v>6.9923768418476007</v>
      </c>
      <c r="AB78" s="14">
        <f t="shared" si="33"/>
        <v>6.688360457419444</v>
      </c>
      <c r="AC78" s="14">
        <f t="shared" si="30"/>
        <v>177.69757669825751</v>
      </c>
    </row>
    <row r="79" spans="1:29" hidden="1" x14ac:dyDescent="0.2">
      <c r="A79" s="27" t="str">
        <f t="shared" si="31"/>
        <v>City of Troy - MT</v>
      </c>
      <c r="B79" s="11" t="s">
        <v>130</v>
      </c>
      <c r="C79" s="11" t="s">
        <v>56</v>
      </c>
      <c r="D79" s="12">
        <f>VLOOKUP($A79,'EIA Soure Data'!$A$5:$X$156,'EIA Soure Data'!F$1,0)</f>
        <v>11342</v>
      </c>
      <c r="E79" s="12">
        <f>VLOOKUP($A79,'EIA Soure Data'!$A$5:$X$156,'EIA Soure Data'!J$1,0)</f>
        <v>5170</v>
      </c>
      <c r="F79" s="12">
        <f>VLOOKUP($A79,'EIA Soure Data'!$A$5:$X$156,'EIA Soure Data'!N$1,0)</f>
        <v>68</v>
      </c>
      <c r="G79" s="12">
        <f>VLOOKUP($A79,'EIA Soure Data'!$A$5:$X$156,'EIA Soure Data'!V$1,0)</f>
        <v>16580</v>
      </c>
      <c r="H79" s="13">
        <f t="shared" si="29"/>
        <v>1.06933429742139E-4</v>
      </c>
      <c r="I79" s="14">
        <f t="shared" si="34"/>
        <v>2.1386685948427801E-2</v>
      </c>
      <c r="J79" s="14">
        <f t="shared" si="34"/>
        <v>2.352535454327058E-2</v>
      </c>
      <c r="K79" s="14">
        <f t="shared" si="34"/>
        <v>2.5664023138113359E-2</v>
      </c>
      <c r="L79" s="14">
        <f t="shared" si="34"/>
        <v>2.7802691732956138E-2</v>
      </c>
      <c r="M79" s="14">
        <f t="shared" si="34"/>
        <v>2.994136032779892E-2</v>
      </c>
      <c r="N79" s="14">
        <f t="shared" si="34"/>
        <v>3.1010694625220308E-2</v>
      </c>
      <c r="O79" s="14">
        <f t="shared" si="34"/>
        <v>3.4218697517484478E-2</v>
      </c>
      <c r="P79" s="14">
        <f t="shared" si="34"/>
        <v>3.6357366112327261E-2</v>
      </c>
      <c r="Q79" s="14">
        <f t="shared" si="34"/>
        <v>3.7426700409748652E-2</v>
      </c>
      <c r="R79" s="14">
        <f t="shared" si="32"/>
        <v>3.8496034707170036E-2</v>
      </c>
      <c r="S79" s="14">
        <f t="shared" si="33"/>
        <v>3.9030701855880735E-2</v>
      </c>
      <c r="T79" s="14">
        <f t="shared" si="33"/>
        <v>3.9030701855880735E-2</v>
      </c>
      <c r="U79" s="14">
        <f t="shared" si="33"/>
        <v>3.9030701855880735E-2</v>
      </c>
      <c r="V79" s="14">
        <f t="shared" si="33"/>
        <v>3.8496034707170036E-2</v>
      </c>
      <c r="W79" s="14">
        <f t="shared" si="33"/>
        <v>3.3149363220063087E-2</v>
      </c>
      <c r="X79" s="14">
        <f t="shared" si="33"/>
        <v>2.994136032779892E-2</v>
      </c>
      <c r="Y79" s="14">
        <f t="shared" si="33"/>
        <v>2.673335743553475E-2</v>
      </c>
      <c r="Z79" s="14">
        <f t="shared" si="33"/>
        <v>2.5664023138113359E-2</v>
      </c>
      <c r="AA79" s="14">
        <f t="shared" si="33"/>
        <v>2.4594688840691971E-2</v>
      </c>
      <c r="AB79" s="14">
        <f t="shared" si="33"/>
        <v>2.352535454327058E-2</v>
      </c>
      <c r="AC79" s="14">
        <f t="shared" si="30"/>
        <v>0.62502589684280241</v>
      </c>
    </row>
    <row r="80" spans="1:29" hidden="1" x14ac:dyDescent="0.2">
      <c r="A80" s="27" t="str">
        <f t="shared" si="31"/>
        <v>City of Weiser - ID</v>
      </c>
      <c r="B80" s="11" t="s">
        <v>137</v>
      </c>
      <c r="C80" s="11" t="s">
        <v>19</v>
      </c>
      <c r="D80" s="12">
        <f>VLOOKUP($A80,'EIA Soure Data'!$A$5:$X$156,'EIA Soure Data'!F$1,0)</f>
        <v>24989</v>
      </c>
      <c r="E80" s="12">
        <f>VLOOKUP($A80,'EIA Soure Data'!$A$5:$X$156,'EIA Soure Data'!J$1,0)</f>
        <v>14673</v>
      </c>
      <c r="F80" s="12">
        <f>VLOOKUP($A80,'EIA Soure Data'!$A$5:$X$156,'EIA Soure Data'!N$1,0)</f>
        <v>8619</v>
      </c>
      <c r="G80" s="12">
        <f>VLOOKUP($A80,'EIA Soure Data'!$A$5:$X$156,'EIA Soure Data'!V$1,0)</f>
        <v>48281</v>
      </c>
      <c r="H80" s="13">
        <f t="shared" si="29"/>
        <v>3.1139040539084517E-4</v>
      </c>
      <c r="I80" s="14">
        <f t="shared" si="34"/>
        <v>6.2278081078169033E-2</v>
      </c>
      <c r="J80" s="14">
        <f t="shared" si="34"/>
        <v>6.8505889185985935E-2</v>
      </c>
      <c r="K80" s="14">
        <f t="shared" si="34"/>
        <v>7.4733697293802845E-2</v>
      </c>
      <c r="L80" s="14">
        <f t="shared" si="34"/>
        <v>8.0961505401619741E-2</v>
      </c>
      <c r="M80" s="14">
        <f t="shared" si="34"/>
        <v>8.718931350943665E-2</v>
      </c>
      <c r="N80" s="14">
        <f t="shared" si="34"/>
        <v>9.0303217563345098E-2</v>
      </c>
      <c r="O80" s="14">
        <f t="shared" si="34"/>
        <v>9.9644929725070455E-2</v>
      </c>
      <c r="P80" s="14">
        <f t="shared" si="34"/>
        <v>0.10587273783288736</v>
      </c>
      <c r="Q80" s="14">
        <f t="shared" si="34"/>
        <v>0.10898664188679581</v>
      </c>
      <c r="R80" s="14">
        <f t="shared" si="32"/>
        <v>0.11210054594070426</v>
      </c>
      <c r="S80" s="14">
        <f t="shared" si="33"/>
        <v>0.11365749796765849</v>
      </c>
      <c r="T80" s="14">
        <f t="shared" si="33"/>
        <v>0.11365749796765849</v>
      </c>
      <c r="U80" s="14">
        <f t="shared" si="33"/>
        <v>0.11365749796765849</v>
      </c>
      <c r="V80" s="14">
        <f t="shared" si="33"/>
        <v>0.11210054594070426</v>
      </c>
      <c r="W80" s="14">
        <f t="shared" si="33"/>
        <v>9.6531025671162007E-2</v>
      </c>
      <c r="X80" s="14">
        <f t="shared" si="33"/>
        <v>8.718931350943665E-2</v>
      </c>
      <c r="Y80" s="14">
        <f t="shared" si="33"/>
        <v>7.7847601347711293E-2</v>
      </c>
      <c r="Z80" s="14">
        <f t="shared" si="33"/>
        <v>7.4733697293802845E-2</v>
      </c>
      <c r="AA80" s="14">
        <f t="shared" si="33"/>
        <v>7.1619793239894383E-2</v>
      </c>
      <c r="AB80" s="14">
        <f t="shared" si="33"/>
        <v>6.8505889185985935E-2</v>
      </c>
      <c r="AC80" s="14">
        <f t="shared" si="30"/>
        <v>1.8200769195094901</v>
      </c>
    </row>
    <row r="81" spans="1:29" hidden="1" x14ac:dyDescent="0.2">
      <c r="A81" s="27" t="str">
        <f t="shared" si="31"/>
        <v>Clatskanie Peoples Util Dist - OR</v>
      </c>
      <c r="B81" s="11" t="s">
        <v>144</v>
      </c>
      <c r="C81" s="11" t="s">
        <v>22</v>
      </c>
      <c r="D81" s="12">
        <f>VLOOKUP($A81,'EIA Soure Data'!$A$5:$X$156,'EIA Soure Data'!F$1,0)</f>
        <v>72174</v>
      </c>
      <c r="E81" s="12">
        <f>VLOOKUP($A81,'EIA Soure Data'!$A$5:$X$156,'EIA Soure Data'!J$1,0)</f>
        <v>25182</v>
      </c>
      <c r="F81" s="12">
        <f>VLOOKUP($A81,'EIA Soure Data'!$A$5:$X$156,'EIA Soure Data'!N$1,0)</f>
        <v>856652</v>
      </c>
      <c r="G81" s="12">
        <f>VLOOKUP($A81,'EIA Soure Data'!$A$5:$X$156,'EIA Soure Data'!V$1,0)</f>
        <v>954008</v>
      </c>
      <c r="H81" s="13">
        <f t="shared" si="29"/>
        <v>6.1529160097369444E-3</v>
      </c>
      <c r="I81" s="14">
        <f t="shared" si="34"/>
        <v>1.2305832019473888</v>
      </c>
      <c r="J81" s="14">
        <f t="shared" si="34"/>
        <v>1.3536415221421279</v>
      </c>
      <c r="K81" s="14">
        <f t="shared" si="34"/>
        <v>1.4766998423368667</v>
      </c>
      <c r="L81" s="14">
        <f t="shared" si="34"/>
        <v>1.5997581625316055</v>
      </c>
      <c r="M81" s="14">
        <f t="shared" si="34"/>
        <v>1.7228164827263444</v>
      </c>
      <c r="N81" s="14">
        <f t="shared" si="34"/>
        <v>1.7843456428237139</v>
      </c>
      <c r="O81" s="14">
        <f t="shared" si="34"/>
        <v>1.9689331231158222</v>
      </c>
      <c r="P81" s="14">
        <f t="shared" si="34"/>
        <v>2.0919914433105609</v>
      </c>
      <c r="Q81" s="14">
        <f t="shared" si="34"/>
        <v>2.1535206034079306</v>
      </c>
      <c r="R81" s="14">
        <f t="shared" si="32"/>
        <v>2.2150497635052999</v>
      </c>
      <c r="S81" s="14">
        <f t="shared" si="33"/>
        <v>2.2458143435539846</v>
      </c>
      <c r="T81" s="14">
        <f t="shared" si="33"/>
        <v>2.2458143435539846</v>
      </c>
      <c r="U81" s="14">
        <f t="shared" si="33"/>
        <v>2.2458143435539846</v>
      </c>
      <c r="V81" s="14">
        <f t="shared" si="33"/>
        <v>2.2150497635052999</v>
      </c>
      <c r="W81" s="14">
        <f t="shared" si="33"/>
        <v>1.9074039630184527</v>
      </c>
      <c r="X81" s="14">
        <f t="shared" si="33"/>
        <v>1.7228164827263444</v>
      </c>
      <c r="Y81" s="14">
        <f t="shared" si="33"/>
        <v>1.538229002434236</v>
      </c>
      <c r="Z81" s="14">
        <f t="shared" si="33"/>
        <v>1.4766998423368667</v>
      </c>
      <c r="AA81" s="14">
        <f t="shared" si="33"/>
        <v>1.4151706822394972</v>
      </c>
      <c r="AB81" s="14">
        <f t="shared" si="33"/>
        <v>1.3536415221421279</v>
      </c>
      <c r="AC81" s="14">
        <f t="shared" si="30"/>
        <v>35.963794076912443</v>
      </c>
    </row>
    <row r="82" spans="1:29" hidden="1" x14ac:dyDescent="0.2">
      <c r="A82" s="27" t="str">
        <f t="shared" si="31"/>
        <v>Clearwater Power Company - ID</v>
      </c>
      <c r="B82" s="11" t="s">
        <v>38</v>
      </c>
      <c r="C82" s="11" t="s">
        <v>19</v>
      </c>
      <c r="D82" s="12">
        <f>VLOOKUP($A82,'EIA Soure Data'!$A$5:$X$156,'EIA Soure Data'!F$1,0)</f>
        <v>114343</v>
      </c>
      <c r="E82" s="12">
        <f>VLOOKUP($A82,'EIA Soure Data'!$A$5:$X$156,'EIA Soure Data'!J$1,0)</f>
        <v>25474</v>
      </c>
      <c r="F82" s="12">
        <f>VLOOKUP($A82,'EIA Soure Data'!$A$5:$X$156,'EIA Soure Data'!N$1,0)</f>
        <v>21491</v>
      </c>
      <c r="G82" s="12">
        <f>VLOOKUP($A82,'EIA Soure Data'!$A$5:$X$156,'EIA Soure Data'!V$1,0)</f>
        <v>161308</v>
      </c>
      <c r="H82" s="13">
        <f t="shared" si="29"/>
        <v>1.0403629484224944E-3</v>
      </c>
      <c r="I82" s="14">
        <f t="shared" ref="I82:Q91" si="35">$H82*I$33</f>
        <v>0.20807258968449888</v>
      </c>
      <c r="J82" s="14">
        <f t="shared" si="35"/>
        <v>0.22887984865294878</v>
      </c>
      <c r="K82" s="14">
        <f t="shared" si="35"/>
        <v>0.24968710762139865</v>
      </c>
      <c r="L82" s="14">
        <f t="shared" si="35"/>
        <v>0.27049436658984854</v>
      </c>
      <c r="M82" s="14">
        <f t="shared" si="35"/>
        <v>0.29130162555829842</v>
      </c>
      <c r="N82" s="14">
        <f t="shared" si="35"/>
        <v>0.30170525504252338</v>
      </c>
      <c r="O82" s="14">
        <f t="shared" si="35"/>
        <v>0.33291614349519821</v>
      </c>
      <c r="P82" s="14">
        <f t="shared" si="35"/>
        <v>0.35372340246364808</v>
      </c>
      <c r="Q82" s="14">
        <f t="shared" si="35"/>
        <v>0.36412703194787305</v>
      </c>
      <c r="R82" s="14">
        <f t="shared" si="32"/>
        <v>0.37453066143209796</v>
      </c>
      <c r="S82" s="14">
        <f t="shared" si="33"/>
        <v>0.37973247617421046</v>
      </c>
      <c r="T82" s="14">
        <f t="shared" si="33"/>
        <v>0.37973247617421046</v>
      </c>
      <c r="U82" s="14">
        <f t="shared" si="33"/>
        <v>0.37973247617421046</v>
      </c>
      <c r="V82" s="14">
        <f t="shared" si="33"/>
        <v>0.37453066143209796</v>
      </c>
      <c r="W82" s="14">
        <f t="shared" si="33"/>
        <v>0.32251251401097325</v>
      </c>
      <c r="X82" s="14">
        <f t="shared" si="33"/>
        <v>0.29130162555829842</v>
      </c>
      <c r="Y82" s="14">
        <f t="shared" si="33"/>
        <v>0.26009073710562358</v>
      </c>
      <c r="Z82" s="14">
        <f t="shared" si="33"/>
        <v>0.24968710762139865</v>
      </c>
      <c r="AA82" s="14">
        <f t="shared" si="33"/>
        <v>0.23928347813717371</v>
      </c>
      <c r="AB82" s="14">
        <f t="shared" si="33"/>
        <v>0.22887984865294878</v>
      </c>
      <c r="AC82" s="14">
        <f t="shared" si="30"/>
        <v>6.0809214335294799</v>
      </c>
    </row>
    <row r="83" spans="1:29" hidden="1" x14ac:dyDescent="0.2">
      <c r="A83" s="27" t="str">
        <f t="shared" si="31"/>
        <v>Clearwater Power Company - OR</v>
      </c>
      <c r="B83" s="11" t="s">
        <v>38</v>
      </c>
      <c r="C83" s="11" t="s">
        <v>22</v>
      </c>
      <c r="D83" s="12">
        <f>VLOOKUP($A83,'EIA Soure Data'!$A$5:$X$156,'EIA Soure Data'!F$1,0)</f>
        <v>1458</v>
      </c>
      <c r="E83" s="12">
        <f>VLOOKUP($A83,'EIA Soure Data'!$A$5:$X$156,'EIA Soure Data'!J$1,0)</f>
        <v>241</v>
      </c>
      <c r="F83" s="12">
        <f>VLOOKUP($A83,'EIA Soure Data'!$A$5:$X$156,'EIA Soure Data'!N$1,0)</f>
        <v>0</v>
      </c>
      <c r="G83" s="12">
        <f>VLOOKUP($A83,'EIA Soure Data'!$A$5:$X$156,'EIA Soure Data'!V$1,0)</f>
        <v>1699</v>
      </c>
      <c r="H83" s="13">
        <f t="shared" si="29"/>
        <v>1.095777425403463E-5</v>
      </c>
      <c r="I83" s="14">
        <f t="shared" si="35"/>
        <v>2.1915548508069259E-3</v>
      </c>
      <c r="J83" s="14">
        <f t="shared" si="35"/>
        <v>2.4107103358876184E-3</v>
      </c>
      <c r="K83" s="14">
        <f t="shared" si="35"/>
        <v>2.629865820968311E-3</v>
      </c>
      <c r="L83" s="14">
        <f t="shared" si="35"/>
        <v>2.8490213060490036E-3</v>
      </c>
      <c r="M83" s="14">
        <f t="shared" si="35"/>
        <v>3.0681767911296962E-3</v>
      </c>
      <c r="N83" s="14">
        <f t="shared" si="35"/>
        <v>3.1777545336700427E-3</v>
      </c>
      <c r="O83" s="14">
        <f t="shared" si="35"/>
        <v>3.5064877612910814E-3</v>
      </c>
      <c r="P83" s="14">
        <f t="shared" si="35"/>
        <v>3.7256432463717739E-3</v>
      </c>
      <c r="Q83" s="14">
        <f t="shared" si="35"/>
        <v>3.8352209889121205E-3</v>
      </c>
      <c r="R83" s="14">
        <f t="shared" si="32"/>
        <v>3.9447987314524665E-3</v>
      </c>
      <c r="S83" s="14">
        <f t="shared" si="33"/>
        <v>3.9995876027226398E-3</v>
      </c>
      <c r="T83" s="14">
        <f t="shared" si="33"/>
        <v>3.9995876027226398E-3</v>
      </c>
      <c r="U83" s="14">
        <f t="shared" si="33"/>
        <v>3.9995876027226398E-3</v>
      </c>
      <c r="V83" s="14">
        <f t="shared" si="33"/>
        <v>3.9447987314524665E-3</v>
      </c>
      <c r="W83" s="14">
        <f t="shared" si="33"/>
        <v>3.3969100187507353E-3</v>
      </c>
      <c r="X83" s="14">
        <f t="shared" si="33"/>
        <v>3.0681767911296962E-3</v>
      </c>
      <c r="Y83" s="14">
        <f t="shared" si="33"/>
        <v>2.7394435635086575E-3</v>
      </c>
      <c r="Z83" s="14">
        <f t="shared" si="33"/>
        <v>2.629865820968311E-3</v>
      </c>
      <c r="AA83" s="14">
        <f t="shared" si="33"/>
        <v>2.5202880784279649E-3</v>
      </c>
      <c r="AB83" s="14">
        <f t="shared" si="33"/>
        <v>2.4107103358876184E-3</v>
      </c>
      <c r="AC83" s="14">
        <f t="shared" si="30"/>
        <v>6.4048190514832404E-2</v>
      </c>
    </row>
    <row r="84" spans="1:29" hidden="1" x14ac:dyDescent="0.2">
      <c r="A84" s="27" t="str">
        <f t="shared" si="31"/>
        <v>Clearwater Power Company - WA</v>
      </c>
      <c r="B84" s="11" t="s">
        <v>38</v>
      </c>
      <c r="C84" s="11" t="s">
        <v>14</v>
      </c>
      <c r="D84" s="12">
        <f>VLOOKUP($A84,'EIA Soure Data'!$A$5:$X$156,'EIA Soure Data'!F$1,0)</f>
        <v>9491</v>
      </c>
      <c r="E84" s="12">
        <f>VLOOKUP($A84,'EIA Soure Data'!$A$5:$X$156,'EIA Soure Data'!J$1,0)</f>
        <v>2788</v>
      </c>
      <c r="F84" s="12">
        <f>VLOOKUP($A84,'EIA Soure Data'!$A$5:$X$156,'EIA Soure Data'!N$1,0)</f>
        <v>1221</v>
      </c>
      <c r="G84" s="12">
        <f>VLOOKUP($A84,'EIA Soure Data'!$A$5:$X$156,'EIA Soure Data'!V$1,0)</f>
        <v>13500</v>
      </c>
      <c r="H84" s="13">
        <f t="shared" si="29"/>
        <v>8.7068836038532959E-5</v>
      </c>
      <c r="I84" s="14">
        <f t="shared" si="35"/>
        <v>1.7413767207706592E-2</v>
      </c>
      <c r="J84" s="14">
        <f t="shared" si="35"/>
        <v>1.9155143928477249E-2</v>
      </c>
      <c r="K84" s="14">
        <f t="shared" si="35"/>
        <v>2.0896520649247911E-2</v>
      </c>
      <c r="L84" s="14">
        <f t="shared" si="35"/>
        <v>2.2637897370018568E-2</v>
      </c>
      <c r="M84" s="14">
        <f t="shared" si="35"/>
        <v>2.437927409078923E-2</v>
      </c>
      <c r="N84" s="14">
        <f t="shared" si="35"/>
        <v>2.5249962451174557E-2</v>
      </c>
      <c r="O84" s="14">
        <f t="shared" si="35"/>
        <v>2.7862027532330545E-2</v>
      </c>
      <c r="P84" s="14">
        <f t="shared" si="35"/>
        <v>2.9603404253101206E-2</v>
      </c>
      <c r="Q84" s="14">
        <f t="shared" si="35"/>
        <v>3.0474092613486537E-2</v>
      </c>
      <c r="R84" s="14">
        <f t="shared" si="32"/>
        <v>3.1344780973871868E-2</v>
      </c>
      <c r="S84" s="14">
        <f t="shared" si="33"/>
        <v>3.1780125154064531E-2</v>
      </c>
      <c r="T84" s="14">
        <f t="shared" si="33"/>
        <v>3.1780125154064531E-2</v>
      </c>
      <c r="U84" s="14">
        <f t="shared" si="33"/>
        <v>3.1780125154064531E-2</v>
      </c>
      <c r="V84" s="14">
        <f t="shared" si="33"/>
        <v>3.1344780973871868E-2</v>
      </c>
      <c r="W84" s="14">
        <f t="shared" si="33"/>
        <v>2.6991339171945218E-2</v>
      </c>
      <c r="X84" s="14">
        <f t="shared" si="33"/>
        <v>2.437927409078923E-2</v>
      </c>
      <c r="Y84" s="14">
        <f t="shared" si="33"/>
        <v>2.1767209009633241E-2</v>
      </c>
      <c r="Z84" s="14">
        <f t="shared" si="33"/>
        <v>2.0896520649247911E-2</v>
      </c>
      <c r="AA84" s="14">
        <f t="shared" si="33"/>
        <v>2.002583228886258E-2</v>
      </c>
      <c r="AB84" s="14">
        <f t="shared" si="33"/>
        <v>1.9155143928477249E-2</v>
      </c>
      <c r="AC84" s="14">
        <f t="shared" si="30"/>
        <v>0.50891734664522514</v>
      </c>
    </row>
    <row r="85" spans="1:29" hidden="1" x14ac:dyDescent="0.2">
      <c r="A85" s="27" t="str">
        <f t="shared" si="31"/>
        <v>Columbia Basin Elec Cooperative, Inc - OR</v>
      </c>
      <c r="B85" s="11" t="s">
        <v>39</v>
      </c>
      <c r="C85" s="11" t="s">
        <v>22</v>
      </c>
      <c r="D85" s="12">
        <f>VLOOKUP($A85,'EIA Soure Data'!$A$5:$X$156,'EIA Soure Data'!F$1,0)</f>
        <v>38360</v>
      </c>
      <c r="E85" s="12">
        <f>VLOOKUP($A85,'EIA Soure Data'!$A$5:$X$156,'EIA Soure Data'!J$1,0)</f>
        <v>22949</v>
      </c>
      <c r="F85" s="12">
        <f>VLOOKUP($A85,'EIA Soure Data'!$A$5:$X$156,'EIA Soure Data'!N$1,0)</f>
        <v>32827</v>
      </c>
      <c r="G85" s="12">
        <f>VLOOKUP($A85,'EIA Soure Data'!$A$5:$X$156,'EIA Soure Data'!V$1,0)</f>
        <v>94136</v>
      </c>
      <c r="H85" s="13">
        <f t="shared" si="29"/>
        <v>6.0713421846839545E-4</v>
      </c>
      <c r="I85" s="14">
        <f t="shared" si="35"/>
        <v>0.12142684369367909</v>
      </c>
      <c r="J85" s="14">
        <f t="shared" si="35"/>
        <v>0.133569528063047</v>
      </c>
      <c r="K85" s="14">
        <f t="shared" si="35"/>
        <v>0.14571221243241492</v>
      </c>
      <c r="L85" s="14">
        <f t="shared" si="35"/>
        <v>0.15785489680178283</v>
      </c>
      <c r="M85" s="14">
        <f t="shared" si="35"/>
        <v>0.16999758117115071</v>
      </c>
      <c r="N85" s="14">
        <f t="shared" si="35"/>
        <v>0.17606892335583468</v>
      </c>
      <c r="O85" s="14">
        <f t="shared" si="35"/>
        <v>0.19428294990988654</v>
      </c>
      <c r="P85" s="14">
        <f t="shared" si="35"/>
        <v>0.20642563427925445</v>
      </c>
      <c r="Q85" s="14">
        <f t="shared" si="35"/>
        <v>0.21249697646393842</v>
      </c>
      <c r="R85" s="14">
        <f t="shared" si="32"/>
        <v>0.21856831864862236</v>
      </c>
      <c r="S85" s="14">
        <f t="shared" si="33"/>
        <v>0.22160398974096435</v>
      </c>
      <c r="T85" s="14">
        <f t="shared" si="33"/>
        <v>0.22160398974096435</v>
      </c>
      <c r="U85" s="14">
        <f t="shared" si="33"/>
        <v>0.22160398974096435</v>
      </c>
      <c r="V85" s="14">
        <f t="shared" si="33"/>
        <v>0.21856831864862236</v>
      </c>
      <c r="W85" s="14">
        <f t="shared" si="33"/>
        <v>0.1882116077252026</v>
      </c>
      <c r="X85" s="14">
        <f t="shared" si="33"/>
        <v>0.16999758117115071</v>
      </c>
      <c r="Y85" s="14">
        <f t="shared" si="33"/>
        <v>0.15178355461709886</v>
      </c>
      <c r="Z85" s="14">
        <f t="shared" si="33"/>
        <v>0.14571221243241492</v>
      </c>
      <c r="AA85" s="14">
        <f t="shared" si="33"/>
        <v>0.13964087024773095</v>
      </c>
      <c r="AB85" s="14">
        <f t="shared" si="33"/>
        <v>0.133569528063047</v>
      </c>
      <c r="AC85" s="14">
        <f t="shared" si="30"/>
        <v>3.5486995069477714</v>
      </c>
    </row>
    <row r="86" spans="1:29" hidden="1" x14ac:dyDescent="0.2">
      <c r="A86" s="27" t="str">
        <f t="shared" si="31"/>
        <v>Columbia Power Coop Assn Inc - OR</v>
      </c>
      <c r="B86" s="11" t="s">
        <v>40</v>
      </c>
      <c r="C86" s="11" t="s">
        <v>22</v>
      </c>
      <c r="D86" s="12">
        <f>VLOOKUP($A86,'EIA Soure Data'!$A$5:$X$156,'EIA Soure Data'!F$1,0)</f>
        <v>13974</v>
      </c>
      <c r="E86" s="12">
        <f>VLOOKUP($A86,'EIA Soure Data'!$A$5:$X$156,'EIA Soure Data'!J$1,0)</f>
        <v>5334</v>
      </c>
      <c r="F86" s="12">
        <f>VLOOKUP($A86,'EIA Soure Data'!$A$5:$X$156,'EIA Soure Data'!N$1,0)</f>
        <v>4633</v>
      </c>
      <c r="G86" s="12">
        <f>VLOOKUP($A86,'EIA Soure Data'!$A$5:$X$156,'EIA Soure Data'!V$1,0)</f>
        <v>23941</v>
      </c>
      <c r="H86" s="13">
        <f t="shared" si="29"/>
        <v>1.5440851878507537E-4</v>
      </c>
      <c r="I86" s="14">
        <f t="shared" si="35"/>
        <v>3.0881703757015072E-2</v>
      </c>
      <c r="J86" s="14">
        <f t="shared" si="35"/>
        <v>3.3969874132716578E-2</v>
      </c>
      <c r="K86" s="14">
        <f t="shared" si="35"/>
        <v>3.7058044508418091E-2</v>
      </c>
      <c r="L86" s="14">
        <f t="shared" si="35"/>
        <v>4.0146214884119596E-2</v>
      </c>
      <c r="M86" s="14">
        <f t="shared" si="35"/>
        <v>4.3234385259821102E-2</v>
      </c>
      <c r="N86" s="14">
        <f t="shared" si="35"/>
        <v>4.4778470447671859E-2</v>
      </c>
      <c r="O86" s="14">
        <f t="shared" si="35"/>
        <v>4.9410726011224121E-2</v>
      </c>
      <c r="P86" s="14">
        <f t="shared" si="35"/>
        <v>5.2498896386925627E-2</v>
      </c>
      <c r="Q86" s="14">
        <f t="shared" si="35"/>
        <v>5.4042981574776376E-2</v>
      </c>
      <c r="R86" s="14">
        <f t="shared" si="32"/>
        <v>5.5587066762627133E-2</v>
      </c>
      <c r="S86" s="14">
        <f t="shared" si="33"/>
        <v>5.6359109356552507E-2</v>
      </c>
      <c r="T86" s="14">
        <f t="shared" si="33"/>
        <v>5.6359109356552507E-2</v>
      </c>
      <c r="U86" s="14">
        <f t="shared" si="33"/>
        <v>5.6359109356552507E-2</v>
      </c>
      <c r="V86" s="14">
        <f t="shared" si="33"/>
        <v>5.5587066762627133E-2</v>
      </c>
      <c r="W86" s="14">
        <f t="shared" si="33"/>
        <v>4.7866640823373365E-2</v>
      </c>
      <c r="X86" s="14">
        <f t="shared" si="33"/>
        <v>4.3234385259821102E-2</v>
      </c>
      <c r="Y86" s="14">
        <f t="shared" si="33"/>
        <v>3.860212969626884E-2</v>
      </c>
      <c r="Z86" s="14">
        <f t="shared" si="33"/>
        <v>3.7058044508418091E-2</v>
      </c>
      <c r="AA86" s="14">
        <f t="shared" si="33"/>
        <v>3.5513959320567334E-2</v>
      </c>
      <c r="AB86" s="14">
        <f t="shared" si="33"/>
        <v>3.3969874132716578E-2</v>
      </c>
      <c r="AC86" s="14">
        <f t="shared" si="30"/>
        <v>0.9025177922987655</v>
      </c>
    </row>
    <row r="87" spans="1:29" hidden="1" x14ac:dyDescent="0.2">
      <c r="A87" s="27" t="str">
        <f t="shared" si="31"/>
        <v>Columbia River Peoples Ut Dist - OR</v>
      </c>
      <c r="B87" s="11" t="s">
        <v>146</v>
      </c>
      <c r="C87" s="11" t="s">
        <v>22</v>
      </c>
      <c r="D87" s="12">
        <f>VLOOKUP($A87,'EIA Soure Data'!$A$5:$X$156,'EIA Soure Data'!F$1,0)</f>
        <v>209135</v>
      </c>
      <c r="E87" s="12">
        <f>VLOOKUP($A87,'EIA Soure Data'!$A$5:$X$156,'EIA Soure Data'!J$1,0)</f>
        <v>86352</v>
      </c>
      <c r="F87" s="12">
        <f>VLOOKUP($A87,'EIA Soure Data'!$A$5:$X$156,'EIA Soure Data'!N$1,0)</f>
        <v>156510</v>
      </c>
      <c r="G87" s="12">
        <f>VLOOKUP($A87,'EIA Soure Data'!$A$5:$X$156,'EIA Soure Data'!V$1,0)</f>
        <v>451997</v>
      </c>
      <c r="H87" s="13">
        <f t="shared" si="29"/>
        <v>2.9151742728080578E-3</v>
      </c>
      <c r="I87" s="14">
        <f t="shared" si="35"/>
        <v>0.58303485456161153</v>
      </c>
      <c r="J87" s="14">
        <f t="shared" si="35"/>
        <v>0.64133834001777268</v>
      </c>
      <c r="K87" s="14">
        <f t="shared" si="35"/>
        <v>0.69964182547393383</v>
      </c>
      <c r="L87" s="14">
        <f t="shared" si="35"/>
        <v>0.75794531093009498</v>
      </c>
      <c r="M87" s="14">
        <f t="shared" si="35"/>
        <v>0.81624879638625614</v>
      </c>
      <c r="N87" s="14">
        <f t="shared" si="35"/>
        <v>0.84540053911433677</v>
      </c>
      <c r="O87" s="14">
        <f t="shared" si="35"/>
        <v>0.93285576729857844</v>
      </c>
      <c r="P87" s="14">
        <f t="shared" si="35"/>
        <v>0.99115925275473971</v>
      </c>
      <c r="Q87" s="14">
        <f t="shared" si="35"/>
        <v>1.0203109954828202</v>
      </c>
      <c r="R87" s="14">
        <f t="shared" si="32"/>
        <v>1.0494627382109007</v>
      </c>
      <c r="S87" s="14">
        <f t="shared" si="33"/>
        <v>1.064038609574941</v>
      </c>
      <c r="T87" s="14">
        <f t="shared" si="33"/>
        <v>1.064038609574941</v>
      </c>
      <c r="U87" s="14">
        <f t="shared" si="33"/>
        <v>1.064038609574941</v>
      </c>
      <c r="V87" s="14">
        <f t="shared" si="33"/>
        <v>1.0494627382109007</v>
      </c>
      <c r="W87" s="14">
        <f t="shared" si="33"/>
        <v>0.90370402457049792</v>
      </c>
      <c r="X87" s="14">
        <f t="shared" si="33"/>
        <v>0.81624879638625614</v>
      </c>
      <c r="Y87" s="14">
        <f t="shared" si="33"/>
        <v>0.72879356820201446</v>
      </c>
      <c r="Z87" s="14">
        <f t="shared" si="33"/>
        <v>0.69964182547393383</v>
      </c>
      <c r="AA87" s="14">
        <f t="shared" si="33"/>
        <v>0.67049008274585331</v>
      </c>
      <c r="AB87" s="14">
        <f t="shared" si="33"/>
        <v>0.64133834001777268</v>
      </c>
      <c r="AC87" s="14">
        <f t="shared" si="30"/>
        <v>17.039193624563097</v>
      </c>
    </row>
    <row r="88" spans="1:29" hidden="1" x14ac:dyDescent="0.2">
      <c r="A88" s="27" t="str">
        <f t="shared" si="31"/>
        <v>Columbia Rural Elec Assn, Inc - OR</v>
      </c>
      <c r="B88" s="11" t="s">
        <v>41</v>
      </c>
      <c r="C88" s="11" t="s">
        <v>22</v>
      </c>
      <c r="D88" s="12">
        <f>VLOOKUP($A88,'EIA Soure Data'!$A$5:$X$156,'EIA Soure Data'!F$1,0)</f>
        <v>813</v>
      </c>
      <c r="E88" s="12">
        <f>VLOOKUP($A88,'EIA Soure Data'!$A$5:$X$156,'EIA Soure Data'!J$1,0)</f>
        <v>129</v>
      </c>
      <c r="F88" s="12">
        <f>VLOOKUP($A88,'EIA Soure Data'!$A$5:$X$156,'EIA Soure Data'!N$1,0)</f>
        <v>4294</v>
      </c>
      <c r="G88" s="12">
        <f>VLOOKUP($A88,'EIA Soure Data'!$A$5:$X$156,'EIA Soure Data'!V$1,0)</f>
        <v>5236</v>
      </c>
      <c r="H88" s="13">
        <f t="shared" si="29"/>
        <v>3.3769809296130261E-5</v>
      </c>
      <c r="I88" s="14">
        <f t="shared" si="35"/>
        <v>6.7539618592260525E-3</v>
      </c>
      <c r="J88" s="14">
        <f t="shared" si="35"/>
        <v>7.4293580451486579E-3</v>
      </c>
      <c r="K88" s="14">
        <f t="shared" si="35"/>
        <v>8.1047542310712633E-3</v>
      </c>
      <c r="L88" s="14">
        <f t="shared" si="35"/>
        <v>8.7801504169938687E-3</v>
      </c>
      <c r="M88" s="14">
        <f t="shared" si="35"/>
        <v>9.4555466029164724E-3</v>
      </c>
      <c r="N88" s="14">
        <f t="shared" si="35"/>
        <v>9.7932446958777751E-3</v>
      </c>
      <c r="O88" s="14">
        <f t="shared" si="35"/>
        <v>1.0806338974761683E-2</v>
      </c>
      <c r="P88" s="14">
        <f t="shared" si="35"/>
        <v>1.1481735160684289E-2</v>
      </c>
      <c r="Q88" s="14">
        <f t="shared" si="35"/>
        <v>1.1819433253645591E-2</v>
      </c>
      <c r="R88" s="14">
        <f t="shared" si="32"/>
        <v>1.2157131346606894E-2</v>
      </c>
      <c r="S88" s="14">
        <f t="shared" si="33"/>
        <v>1.2325980393087545E-2</v>
      </c>
      <c r="T88" s="14">
        <f t="shared" si="33"/>
        <v>1.2325980393087545E-2</v>
      </c>
      <c r="U88" s="14">
        <f t="shared" si="33"/>
        <v>1.2325980393087545E-2</v>
      </c>
      <c r="V88" s="14">
        <f t="shared" si="33"/>
        <v>1.2157131346606894E-2</v>
      </c>
      <c r="W88" s="14">
        <f t="shared" si="33"/>
        <v>1.0468640881800381E-2</v>
      </c>
      <c r="X88" s="14">
        <f t="shared" si="33"/>
        <v>9.4555466029164724E-3</v>
      </c>
      <c r="Y88" s="14">
        <f t="shared" si="33"/>
        <v>8.442452324032566E-3</v>
      </c>
      <c r="Z88" s="14">
        <f t="shared" si="33"/>
        <v>8.1047542310712633E-3</v>
      </c>
      <c r="AA88" s="14">
        <f t="shared" si="33"/>
        <v>7.7670561381099597E-3</v>
      </c>
      <c r="AB88" s="14">
        <f t="shared" si="33"/>
        <v>7.4293580451486579E-3</v>
      </c>
      <c r="AC88" s="14">
        <f t="shared" si="30"/>
        <v>0.19738453533588138</v>
      </c>
    </row>
    <row r="89" spans="1:29" hidden="1" x14ac:dyDescent="0.2">
      <c r="A89" s="27" t="str">
        <f t="shared" si="31"/>
        <v>Columbia Rural Elec Assn, Inc - WA</v>
      </c>
      <c r="B89" s="11" t="s">
        <v>41</v>
      </c>
      <c r="C89" s="11" t="s">
        <v>14</v>
      </c>
      <c r="D89" s="12">
        <f>VLOOKUP($A89,'EIA Soure Data'!$A$5:$X$156,'EIA Soure Data'!F$1,0)</f>
        <v>46380</v>
      </c>
      <c r="E89" s="12">
        <f>VLOOKUP($A89,'EIA Soure Data'!$A$5:$X$156,'EIA Soure Data'!J$1,0)</f>
        <v>32892</v>
      </c>
      <c r="F89" s="12">
        <f>VLOOKUP($A89,'EIA Soure Data'!$A$5:$X$156,'EIA Soure Data'!N$1,0)</f>
        <v>200012</v>
      </c>
      <c r="G89" s="12">
        <f>VLOOKUP($A89,'EIA Soure Data'!$A$5:$X$156,'EIA Soure Data'!V$1,0)</f>
        <v>279284</v>
      </c>
      <c r="H89" s="13">
        <f t="shared" si="29"/>
        <v>1.8012542817915287E-3</v>
      </c>
      <c r="I89" s="14">
        <f t="shared" si="35"/>
        <v>0.36025085635830573</v>
      </c>
      <c r="J89" s="14">
        <f t="shared" si="35"/>
        <v>0.39627594199413629</v>
      </c>
      <c r="K89" s="14">
        <f t="shared" si="35"/>
        <v>0.43230102762996686</v>
      </c>
      <c r="L89" s="14">
        <f t="shared" si="35"/>
        <v>0.46832611326579743</v>
      </c>
      <c r="M89" s="14">
        <f t="shared" si="35"/>
        <v>0.50435119890162805</v>
      </c>
      <c r="N89" s="14">
        <f t="shared" si="35"/>
        <v>0.52236374171954336</v>
      </c>
      <c r="O89" s="14">
        <f t="shared" si="35"/>
        <v>0.57640137017328918</v>
      </c>
      <c r="P89" s="14">
        <f t="shared" si="35"/>
        <v>0.6124264558091197</v>
      </c>
      <c r="Q89" s="14">
        <f t="shared" si="35"/>
        <v>0.63043899862703501</v>
      </c>
      <c r="R89" s="14">
        <f t="shared" si="32"/>
        <v>0.64845154144495032</v>
      </c>
      <c r="S89" s="14">
        <f t="shared" si="33"/>
        <v>0.65745781285390792</v>
      </c>
      <c r="T89" s="14">
        <f t="shared" si="33"/>
        <v>0.65745781285390792</v>
      </c>
      <c r="U89" s="14">
        <f t="shared" si="33"/>
        <v>0.65745781285390792</v>
      </c>
      <c r="V89" s="14">
        <f t="shared" si="33"/>
        <v>0.64845154144495032</v>
      </c>
      <c r="W89" s="14">
        <f t="shared" si="33"/>
        <v>0.55838882735537387</v>
      </c>
      <c r="X89" s="14">
        <f t="shared" si="33"/>
        <v>0.50435119890162805</v>
      </c>
      <c r="Y89" s="14">
        <f t="shared" si="33"/>
        <v>0.45031357044788217</v>
      </c>
      <c r="Z89" s="14">
        <f t="shared" si="33"/>
        <v>0.43230102762996686</v>
      </c>
      <c r="AA89" s="14">
        <f t="shared" si="33"/>
        <v>0.41428848481205161</v>
      </c>
      <c r="AB89" s="14">
        <f t="shared" si="33"/>
        <v>0.39627594199413629</v>
      </c>
      <c r="AC89" s="14">
        <f t="shared" si="30"/>
        <v>10.528331277071485</v>
      </c>
    </row>
    <row r="90" spans="1:29" hidden="1" x14ac:dyDescent="0.2">
      <c r="A90" s="27" t="str">
        <f t="shared" si="31"/>
        <v>Consumers Power, Inc - OR</v>
      </c>
      <c r="B90" s="11" t="s">
        <v>45</v>
      </c>
      <c r="C90" s="11" t="s">
        <v>22</v>
      </c>
      <c r="D90" s="12">
        <f>VLOOKUP($A90,'EIA Soure Data'!$A$5:$X$156,'EIA Soure Data'!F$1,0)</f>
        <v>264075</v>
      </c>
      <c r="E90" s="12">
        <f>VLOOKUP($A90,'EIA Soure Data'!$A$5:$X$156,'EIA Soure Data'!J$1,0)</f>
        <v>103366</v>
      </c>
      <c r="F90" s="12">
        <f>VLOOKUP($A90,'EIA Soure Data'!$A$5:$X$156,'EIA Soure Data'!N$1,0)</f>
        <v>16035</v>
      </c>
      <c r="G90" s="12">
        <f>VLOOKUP($A90,'EIA Soure Data'!$A$5:$X$156,'EIA Soure Data'!V$1,0)</f>
        <v>383476</v>
      </c>
      <c r="H90" s="13">
        <f t="shared" si="29"/>
        <v>2.4732451087935156E-3</v>
      </c>
      <c r="I90" s="14">
        <f t="shared" si="35"/>
        <v>0.49464902175870312</v>
      </c>
      <c r="J90" s="14">
        <f t="shared" si="35"/>
        <v>0.54411392393457347</v>
      </c>
      <c r="K90" s="14">
        <f t="shared" si="35"/>
        <v>0.59357882611044377</v>
      </c>
      <c r="L90" s="14">
        <f t="shared" si="35"/>
        <v>0.64304372828631406</v>
      </c>
      <c r="M90" s="14">
        <f t="shared" si="35"/>
        <v>0.69250863046218436</v>
      </c>
      <c r="N90" s="14">
        <f t="shared" si="35"/>
        <v>0.71724108155011956</v>
      </c>
      <c r="O90" s="14">
        <f t="shared" si="35"/>
        <v>0.79143843481392495</v>
      </c>
      <c r="P90" s="14">
        <f t="shared" si="35"/>
        <v>0.84090333698979536</v>
      </c>
      <c r="Q90" s="14">
        <f t="shared" si="35"/>
        <v>0.86563578807773045</v>
      </c>
      <c r="R90" s="14">
        <f t="shared" si="32"/>
        <v>0.89036823916566565</v>
      </c>
      <c r="S90" s="14">
        <f t="shared" si="33"/>
        <v>0.90273446470963326</v>
      </c>
      <c r="T90" s="14">
        <f t="shared" si="33"/>
        <v>0.90273446470963326</v>
      </c>
      <c r="U90" s="14">
        <f t="shared" si="33"/>
        <v>0.90273446470963326</v>
      </c>
      <c r="V90" s="14">
        <f t="shared" si="33"/>
        <v>0.89036823916566565</v>
      </c>
      <c r="W90" s="14">
        <f t="shared" si="33"/>
        <v>0.76670598372598986</v>
      </c>
      <c r="X90" s="14">
        <f t="shared" si="33"/>
        <v>0.69250863046218436</v>
      </c>
      <c r="Y90" s="14">
        <f t="shared" si="33"/>
        <v>0.61831127719837886</v>
      </c>
      <c r="Z90" s="14">
        <f t="shared" si="33"/>
        <v>0.59357882611044377</v>
      </c>
      <c r="AA90" s="14">
        <f t="shared" si="33"/>
        <v>0.56884637502250857</v>
      </c>
      <c r="AB90" s="14">
        <f t="shared" si="33"/>
        <v>0.54411392393457347</v>
      </c>
      <c r="AC90" s="14">
        <f t="shared" si="30"/>
        <v>14.4561176608981</v>
      </c>
    </row>
    <row r="91" spans="1:29" hidden="1" x14ac:dyDescent="0.2">
      <c r="A91" s="27" t="str">
        <f t="shared" si="31"/>
        <v>Coos-Curry Electric Coop, Inc - OR</v>
      </c>
      <c r="B91" s="11" t="s">
        <v>42</v>
      </c>
      <c r="C91" s="11" t="s">
        <v>22</v>
      </c>
      <c r="D91" s="12">
        <f>VLOOKUP($A91,'EIA Soure Data'!$A$5:$X$156,'EIA Soure Data'!F$1,0)</f>
        <v>199760</v>
      </c>
      <c r="E91" s="12">
        <f>VLOOKUP($A91,'EIA Soure Data'!$A$5:$X$156,'EIA Soure Data'!J$1,0)</f>
        <v>95740</v>
      </c>
      <c r="F91" s="12">
        <f>VLOOKUP($A91,'EIA Soure Data'!$A$5:$X$156,'EIA Soure Data'!N$1,0)</f>
        <v>42069</v>
      </c>
      <c r="G91" s="12">
        <f>VLOOKUP($A91,'EIA Soure Data'!$A$5:$X$156,'EIA Soure Data'!V$1,0)</f>
        <v>337569</v>
      </c>
      <c r="H91" s="13">
        <f t="shared" si="29"/>
        <v>2.1771659194586321E-3</v>
      </c>
      <c r="I91" s="14">
        <f t="shared" si="35"/>
        <v>0.43543318389172642</v>
      </c>
      <c r="J91" s="14">
        <f t="shared" si="35"/>
        <v>0.47897650228089905</v>
      </c>
      <c r="K91" s="14">
        <f t="shared" si="35"/>
        <v>0.52251982067007174</v>
      </c>
      <c r="L91" s="14">
        <f t="shared" si="35"/>
        <v>0.56606313905924432</v>
      </c>
      <c r="M91" s="14">
        <f t="shared" si="35"/>
        <v>0.60960645744841702</v>
      </c>
      <c r="N91" s="14">
        <f t="shared" si="35"/>
        <v>0.63137811664300325</v>
      </c>
      <c r="O91" s="14">
        <f t="shared" si="35"/>
        <v>0.69669309422676229</v>
      </c>
      <c r="P91" s="14">
        <f t="shared" si="35"/>
        <v>0.74023641261593487</v>
      </c>
      <c r="Q91" s="14">
        <f t="shared" si="35"/>
        <v>0.76200807181052121</v>
      </c>
      <c r="R91" s="14">
        <f t="shared" si="32"/>
        <v>0.78377973100510756</v>
      </c>
      <c r="S91" s="14">
        <f t="shared" si="33"/>
        <v>0.79466556060240068</v>
      </c>
      <c r="T91" s="14">
        <f t="shared" si="33"/>
        <v>0.79466556060240068</v>
      </c>
      <c r="U91" s="14">
        <f t="shared" si="33"/>
        <v>0.79466556060240068</v>
      </c>
      <c r="V91" s="14">
        <f t="shared" si="33"/>
        <v>0.78377973100510756</v>
      </c>
      <c r="W91" s="14">
        <f t="shared" si="33"/>
        <v>0.67492143503217594</v>
      </c>
      <c r="X91" s="14">
        <f t="shared" si="33"/>
        <v>0.60960645744841702</v>
      </c>
      <c r="Y91" s="14">
        <f t="shared" ref="S91:AB117" si="36">$H91*Y$33</f>
        <v>0.54429147986465798</v>
      </c>
      <c r="Z91" s="14">
        <f t="shared" si="36"/>
        <v>0.52251982067007174</v>
      </c>
      <c r="AA91" s="14">
        <f t="shared" si="36"/>
        <v>0.5007481614754854</v>
      </c>
      <c r="AB91" s="14">
        <f t="shared" si="36"/>
        <v>0.47897650228089905</v>
      </c>
      <c r="AC91" s="14">
        <f t="shared" si="30"/>
        <v>12.725534799235705</v>
      </c>
    </row>
    <row r="92" spans="1:29" hidden="1" x14ac:dyDescent="0.2">
      <c r="A92" s="27" t="str">
        <f t="shared" si="31"/>
        <v>Douglas Electric Coop, Inc - OR</v>
      </c>
      <c r="B92" s="11" t="s">
        <v>47</v>
      </c>
      <c r="C92" s="11" t="s">
        <v>22</v>
      </c>
      <c r="D92" s="12">
        <f>VLOOKUP($A92,'EIA Soure Data'!$A$5:$X$156,'EIA Soure Data'!F$1,0)</f>
        <v>119640</v>
      </c>
      <c r="E92" s="12">
        <f>VLOOKUP($A92,'EIA Soure Data'!$A$5:$X$156,'EIA Soure Data'!J$1,0)</f>
        <v>17550</v>
      </c>
      <c r="F92" s="12">
        <f>VLOOKUP($A92,'EIA Soure Data'!$A$5:$X$156,'EIA Soure Data'!N$1,0)</f>
        <v>8353</v>
      </c>
      <c r="G92" s="12">
        <f>VLOOKUP($A92,'EIA Soure Data'!$A$5:$X$156,'EIA Soure Data'!V$1,0)</f>
        <v>145543</v>
      </c>
      <c r="H92" s="13">
        <f t="shared" si="29"/>
        <v>9.3868589655971869E-4</v>
      </c>
      <c r="I92" s="14">
        <f t="shared" ref="I92:Q101" si="37">$H92*I$33</f>
        <v>0.18773717931194372</v>
      </c>
      <c r="J92" s="14">
        <f t="shared" si="37"/>
        <v>0.20651089724313812</v>
      </c>
      <c r="K92" s="14">
        <f t="shared" si="37"/>
        <v>0.22528461517433249</v>
      </c>
      <c r="L92" s="14">
        <f t="shared" si="37"/>
        <v>0.24405833310552685</v>
      </c>
      <c r="M92" s="14">
        <f t="shared" si="37"/>
        <v>0.26283205103672125</v>
      </c>
      <c r="N92" s="14">
        <f t="shared" si="37"/>
        <v>0.2722189100023184</v>
      </c>
      <c r="O92" s="14">
        <f t="shared" si="37"/>
        <v>0.30037948689910998</v>
      </c>
      <c r="P92" s="14">
        <f t="shared" si="37"/>
        <v>0.31915320483030435</v>
      </c>
      <c r="Q92" s="14">
        <f t="shared" si="37"/>
        <v>0.32854006379590156</v>
      </c>
      <c r="R92" s="14">
        <f t="shared" si="32"/>
        <v>0.33792692276149872</v>
      </c>
      <c r="S92" s="14">
        <f t="shared" si="36"/>
        <v>0.34262035224429732</v>
      </c>
      <c r="T92" s="14">
        <f t="shared" si="36"/>
        <v>0.34262035224429732</v>
      </c>
      <c r="U92" s="14">
        <f t="shared" si="36"/>
        <v>0.34262035224429732</v>
      </c>
      <c r="V92" s="14">
        <f t="shared" si="36"/>
        <v>0.33792692276149872</v>
      </c>
      <c r="W92" s="14">
        <f t="shared" si="36"/>
        <v>0.29099262793351277</v>
      </c>
      <c r="X92" s="14">
        <f t="shared" si="36"/>
        <v>0.26283205103672125</v>
      </c>
      <c r="Y92" s="14">
        <f t="shared" si="36"/>
        <v>0.23467147413992967</v>
      </c>
      <c r="Z92" s="14">
        <f t="shared" si="36"/>
        <v>0.22528461517433249</v>
      </c>
      <c r="AA92" s="14">
        <f t="shared" si="36"/>
        <v>0.2158977562087353</v>
      </c>
      <c r="AB92" s="14">
        <f t="shared" si="36"/>
        <v>0.20651089724313812</v>
      </c>
      <c r="AC92" s="14">
        <f t="shared" si="30"/>
        <v>5.4866190653915554</v>
      </c>
    </row>
    <row r="93" spans="1:29" hidden="1" x14ac:dyDescent="0.2">
      <c r="A93" s="27" t="str">
        <f t="shared" si="31"/>
        <v>East End Mutual Elec Co Ltd - ID</v>
      </c>
      <c r="B93" s="11" t="s">
        <v>49</v>
      </c>
      <c r="C93" s="11" t="s">
        <v>19</v>
      </c>
      <c r="D93" s="12">
        <f>VLOOKUP($A93,'EIA Soure Data'!$A$5:$X$156,'EIA Soure Data'!F$1,0)</f>
        <v>13000</v>
      </c>
      <c r="E93" s="12">
        <f>VLOOKUP($A93,'EIA Soure Data'!$A$5:$X$156,'EIA Soure Data'!J$1,0)</f>
        <v>0</v>
      </c>
      <c r="F93" s="12">
        <f>VLOOKUP($A93,'EIA Soure Data'!$A$5:$X$156,'EIA Soure Data'!N$1,0)</f>
        <v>7000</v>
      </c>
      <c r="G93" s="12">
        <f>VLOOKUP($A93,'EIA Soure Data'!$A$5:$X$156,'EIA Soure Data'!V$1,0)</f>
        <v>20000</v>
      </c>
      <c r="H93" s="13">
        <f t="shared" si="29"/>
        <v>1.2899086820523399E-4</v>
      </c>
      <c r="I93" s="14">
        <f t="shared" si="37"/>
        <v>2.57981736410468E-2</v>
      </c>
      <c r="J93" s="14">
        <f t="shared" si="37"/>
        <v>2.8377991005151478E-2</v>
      </c>
      <c r="K93" s="14">
        <f t="shared" si="37"/>
        <v>3.0957808369256157E-2</v>
      </c>
      <c r="L93" s="14">
        <f t="shared" si="37"/>
        <v>3.3537625733360839E-2</v>
      </c>
      <c r="M93" s="14">
        <f t="shared" si="37"/>
        <v>3.6117443097465521E-2</v>
      </c>
      <c r="N93" s="14">
        <f t="shared" si="37"/>
        <v>3.7407351779517858E-2</v>
      </c>
      <c r="O93" s="14">
        <f t="shared" si="37"/>
        <v>4.1277077825674878E-2</v>
      </c>
      <c r="P93" s="14">
        <f t="shared" si="37"/>
        <v>4.385689518977956E-2</v>
      </c>
      <c r="Q93" s="14">
        <f t="shared" si="37"/>
        <v>4.5146803871831898E-2</v>
      </c>
      <c r="R93" s="14">
        <f t="shared" si="32"/>
        <v>4.6436712553884235E-2</v>
      </c>
      <c r="S93" s="14">
        <f t="shared" si="36"/>
        <v>4.7081666894910411E-2</v>
      </c>
      <c r="T93" s="14">
        <f t="shared" si="36"/>
        <v>4.7081666894910411E-2</v>
      </c>
      <c r="U93" s="14">
        <f t="shared" si="36"/>
        <v>4.7081666894910411E-2</v>
      </c>
      <c r="V93" s="14">
        <f t="shared" si="36"/>
        <v>4.6436712553884235E-2</v>
      </c>
      <c r="W93" s="14">
        <f t="shared" si="36"/>
        <v>3.998716914362254E-2</v>
      </c>
      <c r="X93" s="14">
        <f t="shared" si="36"/>
        <v>3.6117443097465521E-2</v>
      </c>
      <c r="Y93" s="14">
        <f t="shared" si="36"/>
        <v>3.2247717051308501E-2</v>
      </c>
      <c r="Z93" s="14">
        <f t="shared" si="36"/>
        <v>3.0957808369256157E-2</v>
      </c>
      <c r="AA93" s="14">
        <f t="shared" si="36"/>
        <v>2.9667899687203819E-2</v>
      </c>
      <c r="AB93" s="14">
        <f t="shared" si="36"/>
        <v>2.8377991005151478E-2</v>
      </c>
      <c r="AC93" s="14">
        <f t="shared" si="30"/>
        <v>0.75395162465959265</v>
      </c>
    </row>
    <row r="94" spans="1:29" hidden="1" x14ac:dyDescent="0.2">
      <c r="A94" s="27" t="str">
        <f t="shared" si="31"/>
        <v>Elmhurst Mutual Power &amp; Light Co - WA</v>
      </c>
      <c r="B94" s="11" t="s">
        <v>51</v>
      </c>
      <c r="C94" s="11" t="s">
        <v>14</v>
      </c>
      <c r="D94" s="12">
        <f>VLOOKUP($A94,'EIA Soure Data'!$A$5:$X$156,'EIA Soure Data'!F$1,0)</f>
        <v>217412</v>
      </c>
      <c r="E94" s="12">
        <f>VLOOKUP($A94,'EIA Soure Data'!$A$5:$X$156,'EIA Soure Data'!J$1,0)</f>
        <v>41616</v>
      </c>
      <c r="F94" s="12">
        <f>VLOOKUP($A94,'EIA Soure Data'!$A$5:$X$156,'EIA Soure Data'!N$1,0)</f>
        <v>0</v>
      </c>
      <c r="G94" s="12">
        <f>VLOOKUP($A94,'EIA Soure Data'!$A$5:$X$156,'EIA Soure Data'!V$1,0)</f>
        <v>259028</v>
      </c>
      <c r="H94" s="13">
        <f t="shared" si="29"/>
        <v>1.6706123304732678E-3</v>
      </c>
      <c r="I94" s="14">
        <f t="shared" si="37"/>
        <v>0.33412246609465357</v>
      </c>
      <c r="J94" s="14">
        <f t="shared" si="37"/>
        <v>0.36753471270411892</v>
      </c>
      <c r="K94" s="14">
        <f t="shared" si="37"/>
        <v>0.40094695931358426</v>
      </c>
      <c r="L94" s="14">
        <f t="shared" si="37"/>
        <v>0.43435920592304961</v>
      </c>
      <c r="M94" s="14">
        <f t="shared" si="37"/>
        <v>0.46777145253251501</v>
      </c>
      <c r="N94" s="14">
        <f t="shared" si="37"/>
        <v>0.48447757583724765</v>
      </c>
      <c r="O94" s="14">
        <f t="shared" si="37"/>
        <v>0.53459594575144576</v>
      </c>
      <c r="P94" s="14">
        <f t="shared" si="37"/>
        <v>0.56800819236091105</v>
      </c>
      <c r="Q94" s="14">
        <f t="shared" si="37"/>
        <v>0.58471431566564369</v>
      </c>
      <c r="R94" s="14">
        <f t="shared" si="32"/>
        <v>0.60142043897037645</v>
      </c>
      <c r="S94" s="14">
        <f t="shared" si="36"/>
        <v>0.60977350062274271</v>
      </c>
      <c r="T94" s="14">
        <f t="shared" si="36"/>
        <v>0.60977350062274271</v>
      </c>
      <c r="U94" s="14">
        <f t="shared" si="36"/>
        <v>0.60977350062274271</v>
      </c>
      <c r="V94" s="14">
        <f t="shared" si="36"/>
        <v>0.60142043897037645</v>
      </c>
      <c r="W94" s="14">
        <f t="shared" si="36"/>
        <v>0.517889822446713</v>
      </c>
      <c r="X94" s="14">
        <f t="shared" si="36"/>
        <v>0.46777145253251501</v>
      </c>
      <c r="Y94" s="14">
        <f t="shared" si="36"/>
        <v>0.41765308261831696</v>
      </c>
      <c r="Z94" s="14">
        <f t="shared" si="36"/>
        <v>0.40094695931358426</v>
      </c>
      <c r="AA94" s="14">
        <f t="shared" si="36"/>
        <v>0.38424083600885162</v>
      </c>
      <c r="AB94" s="14">
        <f t="shared" si="36"/>
        <v>0.36753471270411892</v>
      </c>
      <c r="AC94" s="14">
        <f t="shared" si="30"/>
        <v>9.7647290716162498</v>
      </c>
    </row>
    <row r="95" spans="1:29" hidden="1" x14ac:dyDescent="0.2">
      <c r="A95" s="27" t="str">
        <f t="shared" si="31"/>
        <v>Emerald People's Utility Dist - OR</v>
      </c>
      <c r="B95" s="11" t="s">
        <v>145</v>
      </c>
      <c r="C95" s="11" t="s">
        <v>22</v>
      </c>
      <c r="D95" s="12">
        <f>VLOOKUP($A95,'EIA Soure Data'!$A$5:$X$156,'EIA Soure Data'!F$1,0)</f>
        <v>272984</v>
      </c>
      <c r="E95" s="12">
        <f>VLOOKUP($A95,'EIA Soure Data'!$A$5:$X$156,'EIA Soure Data'!J$1,0)</f>
        <v>84290</v>
      </c>
      <c r="F95" s="12">
        <f>VLOOKUP($A95,'EIA Soure Data'!$A$5:$X$156,'EIA Soure Data'!N$1,0)</f>
        <v>50753</v>
      </c>
      <c r="G95" s="12">
        <f>VLOOKUP($A95,'EIA Soure Data'!$A$5:$X$156,'EIA Soure Data'!V$1,0)</f>
        <v>408027</v>
      </c>
      <c r="H95" s="13">
        <f t="shared" si="29"/>
        <v>2.6315878490588509E-3</v>
      </c>
      <c r="I95" s="14">
        <f t="shared" si="37"/>
        <v>0.52631756981177014</v>
      </c>
      <c r="J95" s="14">
        <f t="shared" si="37"/>
        <v>0.57894932679294719</v>
      </c>
      <c r="K95" s="14">
        <f t="shared" si="37"/>
        <v>0.63158108377412425</v>
      </c>
      <c r="L95" s="14">
        <f t="shared" si="37"/>
        <v>0.6842128407553012</v>
      </c>
      <c r="M95" s="14">
        <f t="shared" si="37"/>
        <v>0.73684459773647826</v>
      </c>
      <c r="N95" s="14">
        <f t="shared" si="37"/>
        <v>0.76316047622706673</v>
      </c>
      <c r="O95" s="14">
        <f t="shared" si="37"/>
        <v>0.84210811169883226</v>
      </c>
      <c r="P95" s="14">
        <f t="shared" si="37"/>
        <v>0.89473986868000932</v>
      </c>
      <c r="Q95" s="14">
        <f t="shared" si="37"/>
        <v>0.92105574717059779</v>
      </c>
      <c r="R95" s="14">
        <f t="shared" si="32"/>
        <v>0.94737162566118638</v>
      </c>
      <c r="S95" s="14">
        <f t="shared" si="36"/>
        <v>0.96052956490648056</v>
      </c>
      <c r="T95" s="14">
        <f t="shared" si="36"/>
        <v>0.96052956490648056</v>
      </c>
      <c r="U95" s="14">
        <f t="shared" si="36"/>
        <v>0.96052956490648056</v>
      </c>
      <c r="V95" s="14">
        <f t="shared" si="36"/>
        <v>0.94737162566118638</v>
      </c>
      <c r="W95" s="14">
        <f t="shared" si="36"/>
        <v>0.81579223320824379</v>
      </c>
      <c r="X95" s="14">
        <f t="shared" si="36"/>
        <v>0.73684459773647826</v>
      </c>
      <c r="Y95" s="14">
        <f t="shared" si="36"/>
        <v>0.65789696226471273</v>
      </c>
      <c r="Z95" s="14">
        <f t="shared" si="36"/>
        <v>0.63158108377412425</v>
      </c>
      <c r="AA95" s="14">
        <f t="shared" si="36"/>
        <v>0.60526520528353567</v>
      </c>
      <c r="AB95" s="14">
        <f t="shared" si="36"/>
        <v>0.57894932679294719</v>
      </c>
      <c r="AC95" s="14">
        <f t="shared" si="30"/>
        <v>15.381630977748983</v>
      </c>
    </row>
    <row r="96" spans="1:29" hidden="1" x14ac:dyDescent="0.2">
      <c r="A96" s="27" t="str">
        <f t="shared" si="31"/>
        <v>Fall River Rural Elec Coop Inc - ID</v>
      </c>
      <c r="B96" s="11" t="s">
        <v>55</v>
      </c>
      <c r="C96" s="11" t="s">
        <v>19</v>
      </c>
      <c r="D96" s="12">
        <f>VLOOKUP($A96,'EIA Soure Data'!$A$5:$X$156,'EIA Soure Data'!F$1,0)</f>
        <v>133917</v>
      </c>
      <c r="E96" s="12">
        <f>VLOOKUP($A96,'EIA Soure Data'!$A$5:$X$156,'EIA Soure Data'!J$1,0)</f>
        <v>84903</v>
      </c>
      <c r="F96" s="12">
        <f>VLOOKUP($A96,'EIA Soure Data'!$A$5:$X$156,'EIA Soure Data'!N$1,0)</f>
        <v>0</v>
      </c>
      <c r="G96" s="12">
        <f>VLOOKUP($A96,'EIA Soure Data'!$A$5:$X$156,'EIA Soure Data'!V$1,0)</f>
        <v>218820</v>
      </c>
      <c r="H96" s="13">
        <f t="shared" si="29"/>
        <v>1.4112890890334653E-3</v>
      </c>
      <c r="I96" s="14">
        <f t="shared" si="37"/>
        <v>0.28225781780669307</v>
      </c>
      <c r="J96" s="14">
        <f t="shared" si="37"/>
        <v>0.31048359958736238</v>
      </c>
      <c r="K96" s="14">
        <f t="shared" si="37"/>
        <v>0.33870938136803169</v>
      </c>
      <c r="L96" s="14">
        <f t="shared" si="37"/>
        <v>0.366935163148701</v>
      </c>
      <c r="M96" s="14">
        <f t="shared" si="37"/>
        <v>0.39516094492937026</v>
      </c>
      <c r="N96" s="14">
        <f t="shared" si="37"/>
        <v>0.40927383581970495</v>
      </c>
      <c r="O96" s="14">
        <f t="shared" si="37"/>
        <v>0.45161250849070889</v>
      </c>
      <c r="P96" s="14">
        <f t="shared" si="37"/>
        <v>0.4798382902713782</v>
      </c>
      <c r="Q96" s="14">
        <f t="shared" si="37"/>
        <v>0.49395118116171288</v>
      </c>
      <c r="R96" s="14">
        <f t="shared" ref="R96:R161" si="38">$H96*R$33</f>
        <v>0.50806407205204751</v>
      </c>
      <c r="S96" s="14">
        <f t="shared" si="36"/>
        <v>0.51512051749721488</v>
      </c>
      <c r="T96" s="14">
        <f t="shared" si="36"/>
        <v>0.51512051749721488</v>
      </c>
      <c r="U96" s="14">
        <f t="shared" si="36"/>
        <v>0.51512051749721488</v>
      </c>
      <c r="V96" s="14">
        <f t="shared" si="36"/>
        <v>0.50806407205204751</v>
      </c>
      <c r="W96" s="14">
        <f t="shared" si="36"/>
        <v>0.43749961760037426</v>
      </c>
      <c r="X96" s="14">
        <f t="shared" si="36"/>
        <v>0.39516094492937026</v>
      </c>
      <c r="Y96" s="14">
        <f t="shared" si="36"/>
        <v>0.35282227225836632</v>
      </c>
      <c r="Z96" s="14">
        <f t="shared" si="36"/>
        <v>0.33870938136803169</v>
      </c>
      <c r="AA96" s="14">
        <f t="shared" si="36"/>
        <v>0.32459649047769701</v>
      </c>
      <c r="AB96" s="14">
        <f t="shared" si="36"/>
        <v>0.31048359958736238</v>
      </c>
      <c r="AC96" s="14">
        <f t="shared" si="30"/>
        <v>8.2489847254006055</v>
      </c>
    </row>
    <row r="97" spans="1:29" hidden="1" x14ac:dyDescent="0.2">
      <c r="A97" s="27" t="str">
        <f t="shared" si="31"/>
        <v>Fall River Rural Elec Coop Inc - MT</v>
      </c>
      <c r="B97" s="11" t="s">
        <v>55</v>
      </c>
      <c r="C97" s="11" t="s">
        <v>56</v>
      </c>
      <c r="D97" s="12">
        <f>VLOOKUP($A97,'EIA Soure Data'!$A$5:$X$156,'EIA Soure Data'!F$1,0)</f>
        <v>16571</v>
      </c>
      <c r="E97" s="12">
        <f>VLOOKUP($A97,'EIA Soure Data'!$A$5:$X$156,'EIA Soure Data'!J$1,0)</f>
        <v>30805</v>
      </c>
      <c r="F97" s="12">
        <f>VLOOKUP($A97,'EIA Soure Data'!$A$5:$X$156,'EIA Soure Data'!N$1,0)</f>
        <v>0</v>
      </c>
      <c r="G97" s="12">
        <f>VLOOKUP($A97,'EIA Soure Data'!$A$5:$X$156,'EIA Soure Data'!V$1,0)</f>
        <v>47376</v>
      </c>
      <c r="H97" s="13">
        <f t="shared" ref="H97:H128" si="39">G97/PNWSales_Total</f>
        <v>3.0555356860455831E-4</v>
      </c>
      <c r="I97" s="14">
        <f t="shared" si="37"/>
        <v>6.1110713720911661E-2</v>
      </c>
      <c r="J97" s="14">
        <f t="shared" si="37"/>
        <v>6.7221785093002834E-2</v>
      </c>
      <c r="K97" s="14">
        <f t="shared" si="37"/>
        <v>7.3332856465093993E-2</v>
      </c>
      <c r="L97" s="14">
        <f t="shared" si="37"/>
        <v>7.9443927837185166E-2</v>
      </c>
      <c r="M97" s="14">
        <f t="shared" si="37"/>
        <v>8.5554999209276325E-2</v>
      </c>
      <c r="N97" s="14">
        <f t="shared" si="37"/>
        <v>8.8610534895321905E-2</v>
      </c>
      <c r="O97" s="14">
        <f t="shared" si="37"/>
        <v>9.7777141953458657E-2</v>
      </c>
      <c r="P97" s="14">
        <f t="shared" si="37"/>
        <v>0.10388821332554983</v>
      </c>
      <c r="Q97" s="14">
        <f t="shared" si="37"/>
        <v>0.10694374901159541</v>
      </c>
      <c r="R97" s="14">
        <f t="shared" si="38"/>
        <v>0.10999928469764099</v>
      </c>
      <c r="S97" s="14">
        <f t="shared" si="36"/>
        <v>0.11152705254066378</v>
      </c>
      <c r="T97" s="14">
        <f t="shared" si="36"/>
        <v>0.11152705254066378</v>
      </c>
      <c r="U97" s="14">
        <f t="shared" si="36"/>
        <v>0.11152705254066378</v>
      </c>
      <c r="V97" s="14">
        <f t="shared" si="36"/>
        <v>0.10999928469764099</v>
      </c>
      <c r="W97" s="14">
        <f t="shared" si="36"/>
        <v>9.4721606267413078E-2</v>
      </c>
      <c r="X97" s="14">
        <f t="shared" si="36"/>
        <v>8.5554999209276325E-2</v>
      </c>
      <c r="Y97" s="14">
        <f t="shared" si="36"/>
        <v>7.6388392151139572E-2</v>
      </c>
      <c r="Z97" s="14">
        <f t="shared" si="36"/>
        <v>7.3332856465093993E-2</v>
      </c>
      <c r="AA97" s="14">
        <f t="shared" si="36"/>
        <v>7.0277320779048413E-2</v>
      </c>
      <c r="AB97" s="14">
        <f t="shared" si="36"/>
        <v>6.7221785093002834E-2</v>
      </c>
      <c r="AC97" s="14">
        <f t="shared" ref="AC97:AC128" si="40">$H97*AC$33</f>
        <v>1.7859606084936432</v>
      </c>
    </row>
    <row r="98" spans="1:29" x14ac:dyDescent="0.2">
      <c r="A98" s="27" t="str">
        <f t="shared" ref="A98:A129" si="41">B98&amp;" - "&amp;C98</f>
        <v>Fall River Rural Elec Coop Inc - WY</v>
      </c>
      <c r="B98" s="11" t="s">
        <v>55</v>
      </c>
      <c r="C98" s="11" t="s">
        <v>57</v>
      </c>
      <c r="D98" s="12">
        <f>VLOOKUP($A98,'EIA Soure Data'!$A$5:$X$156,'EIA Soure Data'!F$1,0)</f>
        <v>4588</v>
      </c>
      <c r="E98" s="12">
        <f>VLOOKUP($A98,'EIA Soure Data'!$A$5:$X$156,'EIA Soure Data'!J$1,0)</f>
        <v>3555</v>
      </c>
      <c r="F98" s="12">
        <f>VLOOKUP($A98,'EIA Soure Data'!$A$5:$X$156,'EIA Soure Data'!N$1,0)</f>
        <v>0</v>
      </c>
      <c r="G98" s="12">
        <f>VLOOKUP($A98,'EIA Soure Data'!$A$5:$X$156,'EIA Soure Data'!V$1,0)</f>
        <v>8143</v>
      </c>
      <c r="H98" s="13">
        <f t="shared" si="39"/>
        <v>5.2518631989761028E-5</v>
      </c>
      <c r="I98" s="14">
        <f t="shared" si="37"/>
        <v>1.0503726397952206E-2</v>
      </c>
      <c r="J98" s="14">
        <f t="shared" si="37"/>
        <v>1.1554099037747427E-2</v>
      </c>
      <c r="K98" s="14">
        <f t="shared" si="37"/>
        <v>1.2604471677542646E-2</v>
      </c>
      <c r="L98" s="14">
        <f t="shared" si="37"/>
        <v>1.3654844317337867E-2</v>
      </c>
      <c r="M98" s="14">
        <f t="shared" si="37"/>
        <v>1.4705216957133088E-2</v>
      </c>
      <c r="N98" s="14">
        <f t="shared" si="37"/>
        <v>1.5230403277030699E-2</v>
      </c>
      <c r="O98" s="14">
        <f t="shared" si="37"/>
        <v>1.680596223672353E-2</v>
      </c>
      <c r="P98" s="14">
        <f t="shared" si="37"/>
        <v>1.7856334876518748E-2</v>
      </c>
      <c r="Q98" s="14">
        <f t="shared" si="37"/>
        <v>1.838152119641636E-2</v>
      </c>
      <c r="R98" s="14">
        <f t="shared" si="38"/>
        <v>1.8906707516313969E-2</v>
      </c>
      <c r="S98" s="14">
        <f t="shared" si="36"/>
        <v>1.9169300676262775E-2</v>
      </c>
      <c r="T98" s="14">
        <f t="shared" si="36"/>
        <v>1.9169300676262775E-2</v>
      </c>
      <c r="U98" s="14">
        <f t="shared" si="36"/>
        <v>1.9169300676262775E-2</v>
      </c>
      <c r="V98" s="14">
        <f t="shared" si="36"/>
        <v>1.8906707516313969E-2</v>
      </c>
      <c r="W98" s="14">
        <f t="shared" si="36"/>
        <v>1.6280775916825918E-2</v>
      </c>
      <c r="X98" s="14">
        <f t="shared" si="36"/>
        <v>1.4705216957133088E-2</v>
      </c>
      <c r="Y98" s="14">
        <f t="shared" si="36"/>
        <v>1.3129657997440257E-2</v>
      </c>
      <c r="Z98" s="14">
        <f t="shared" si="36"/>
        <v>1.2604471677542646E-2</v>
      </c>
      <c r="AA98" s="14">
        <f t="shared" si="36"/>
        <v>1.2079285357645037E-2</v>
      </c>
      <c r="AB98" s="14">
        <f t="shared" si="36"/>
        <v>1.1554099037747427E-2</v>
      </c>
      <c r="AC98" s="14">
        <f t="shared" si="40"/>
        <v>0.30697140398015321</v>
      </c>
    </row>
    <row r="99" spans="1:29" hidden="1" x14ac:dyDescent="0.2">
      <c r="A99" s="27" t="str">
        <f t="shared" si="41"/>
        <v>Farmers Electric Company, Ltd - ID</v>
      </c>
      <c r="B99" s="11" t="s">
        <v>54</v>
      </c>
      <c r="C99" s="11" t="s">
        <v>19</v>
      </c>
      <c r="D99" s="12">
        <f>VLOOKUP($A99,'EIA Soure Data'!$A$5:$X$156,'EIA Soure Data'!F$1,0)</f>
        <v>1858</v>
      </c>
      <c r="E99" s="12">
        <f>VLOOKUP($A99,'EIA Soure Data'!$A$5:$X$156,'EIA Soure Data'!J$1,0)</f>
        <v>2056</v>
      </c>
      <c r="F99" s="12">
        <f>VLOOKUP($A99,'EIA Soure Data'!$A$5:$X$156,'EIA Soure Data'!N$1,0)</f>
        <v>223</v>
      </c>
      <c r="G99" s="12">
        <f>VLOOKUP($A99,'EIA Soure Data'!$A$5:$X$156,'EIA Soure Data'!V$1,0)</f>
        <v>4137</v>
      </c>
      <c r="H99" s="13">
        <f t="shared" si="39"/>
        <v>2.6681761088252653E-5</v>
      </c>
      <c r="I99" s="14">
        <f t="shared" si="37"/>
        <v>5.3363522176505303E-3</v>
      </c>
      <c r="J99" s="14">
        <f t="shared" si="37"/>
        <v>5.8699874394155839E-3</v>
      </c>
      <c r="K99" s="14">
        <f t="shared" si="37"/>
        <v>6.4036226611806366E-3</v>
      </c>
      <c r="L99" s="14">
        <f t="shared" si="37"/>
        <v>6.9372578829456901E-3</v>
      </c>
      <c r="M99" s="14">
        <f t="shared" si="37"/>
        <v>7.4708931047107428E-3</v>
      </c>
      <c r="N99" s="14">
        <f t="shared" si="37"/>
        <v>7.7377107155932696E-3</v>
      </c>
      <c r="O99" s="14">
        <f t="shared" si="37"/>
        <v>8.5381635482408499E-3</v>
      </c>
      <c r="P99" s="14">
        <f t="shared" si="37"/>
        <v>9.0717987700059018E-3</v>
      </c>
      <c r="Q99" s="14">
        <f t="shared" si="37"/>
        <v>9.3386163808884294E-3</v>
      </c>
      <c r="R99" s="14">
        <f t="shared" si="38"/>
        <v>9.6054339917709553E-3</v>
      </c>
      <c r="S99" s="14">
        <f t="shared" si="36"/>
        <v>9.7388427972122191E-3</v>
      </c>
      <c r="T99" s="14">
        <f t="shared" si="36"/>
        <v>9.7388427972122191E-3</v>
      </c>
      <c r="U99" s="14">
        <f t="shared" si="36"/>
        <v>9.7388427972122191E-3</v>
      </c>
      <c r="V99" s="14">
        <f t="shared" si="36"/>
        <v>9.6054339917709553E-3</v>
      </c>
      <c r="W99" s="14">
        <f t="shared" si="36"/>
        <v>8.2713459373583223E-3</v>
      </c>
      <c r="X99" s="14">
        <f t="shared" si="36"/>
        <v>7.4708931047107428E-3</v>
      </c>
      <c r="Y99" s="14">
        <f t="shared" si="36"/>
        <v>6.6704402720631634E-3</v>
      </c>
      <c r="Z99" s="14">
        <f t="shared" si="36"/>
        <v>6.4036226611806366E-3</v>
      </c>
      <c r="AA99" s="14">
        <f t="shared" si="36"/>
        <v>6.1368050502981107E-3</v>
      </c>
      <c r="AB99" s="14">
        <f t="shared" si="36"/>
        <v>5.8699874394155839E-3</v>
      </c>
      <c r="AC99" s="14">
        <f t="shared" si="40"/>
        <v>0.15595489356083675</v>
      </c>
    </row>
    <row r="100" spans="1:29" hidden="1" x14ac:dyDescent="0.2">
      <c r="A100" s="27" t="str">
        <f t="shared" si="41"/>
        <v>Flathead Electric Coop Inc - MT</v>
      </c>
      <c r="B100" s="11" t="s">
        <v>59</v>
      </c>
      <c r="C100" s="11" t="s">
        <v>56</v>
      </c>
      <c r="D100" s="12">
        <f>VLOOKUP($A100,'EIA Soure Data'!$A$5:$X$156,'EIA Soure Data'!F$1,0)</f>
        <v>681884</v>
      </c>
      <c r="E100" s="12">
        <f>VLOOKUP($A100,'EIA Soure Data'!$A$5:$X$156,'EIA Soure Data'!J$1,0)</f>
        <v>421098</v>
      </c>
      <c r="F100" s="12">
        <f>VLOOKUP($A100,'EIA Soure Data'!$A$5:$X$156,'EIA Soure Data'!N$1,0)</f>
        <v>205093</v>
      </c>
      <c r="G100" s="12">
        <f>VLOOKUP($A100,'EIA Soure Data'!$A$5:$X$156,'EIA Soure Data'!V$1,0)</f>
        <v>1308075</v>
      </c>
      <c r="H100" s="13">
        <f t="shared" si="39"/>
        <v>8.436486496378074E-3</v>
      </c>
      <c r="I100" s="14">
        <f t="shared" si="37"/>
        <v>1.6872972992756148</v>
      </c>
      <c r="J100" s="14">
        <f t="shared" si="37"/>
        <v>1.8560270292031762</v>
      </c>
      <c r="K100" s="14">
        <f t="shared" si="37"/>
        <v>2.0247567591307378</v>
      </c>
      <c r="L100" s="14">
        <f t="shared" si="37"/>
        <v>2.1934864890582992</v>
      </c>
      <c r="M100" s="14">
        <f t="shared" si="37"/>
        <v>2.3622162189858606</v>
      </c>
      <c r="N100" s="14">
        <f t="shared" si="37"/>
        <v>2.4465810839496416</v>
      </c>
      <c r="O100" s="14">
        <f t="shared" si="37"/>
        <v>2.6996756788409835</v>
      </c>
      <c r="P100" s="14">
        <f t="shared" si="37"/>
        <v>2.8684054087685453</v>
      </c>
      <c r="Q100" s="14">
        <f t="shared" si="37"/>
        <v>2.9527702737323258</v>
      </c>
      <c r="R100" s="14">
        <f t="shared" si="38"/>
        <v>3.0371351386961067</v>
      </c>
      <c r="S100" s="14">
        <f t="shared" si="36"/>
        <v>3.079317571177997</v>
      </c>
      <c r="T100" s="14">
        <f t="shared" si="36"/>
        <v>3.079317571177997</v>
      </c>
      <c r="U100" s="14">
        <f t="shared" si="36"/>
        <v>3.079317571177997</v>
      </c>
      <c r="V100" s="14">
        <f t="shared" si="36"/>
        <v>3.0371351386961067</v>
      </c>
      <c r="W100" s="14">
        <f t="shared" si="36"/>
        <v>2.615310813877203</v>
      </c>
      <c r="X100" s="14">
        <f t="shared" si="36"/>
        <v>2.3622162189858606</v>
      </c>
      <c r="Y100" s="14">
        <f t="shared" si="36"/>
        <v>2.1091216240945183</v>
      </c>
      <c r="Z100" s="14">
        <f t="shared" si="36"/>
        <v>2.0247567591307378</v>
      </c>
      <c r="AA100" s="14">
        <f t="shared" si="36"/>
        <v>1.9403918941669571</v>
      </c>
      <c r="AB100" s="14">
        <f t="shared" si="36"/>
        <v>1.8560270292031762</v>
      </c>
      <c r="AC100" s="14">
        <f t="shared" si="40"/>
        <v>49.311263571329846</v>
      </c>
    </row>
    <row r="101" spans="1:29" hidden="1" x14ac:dyDescent="0.2">
      <c r="A101" s="27" t="str">
        <f t="shared" si="41"/>
        <v>Glacier Electric Coop, Inc - MT</v>
      </c>
      <c r="B101" s="11" t="s">
        <v>63</v>
      </c>
      <c r="C101" s="11" t="s">
        <v>56</v>
      </c>
      <c r="D101" s="12">
        <f>VLOOKUP($A101,'EIA Soure Data'!$A$5:$X$156,'EIA Soure Data'!F$1,0)</f>
        <v>68494</v>
      </c>
      <c r="E101" s="12">
        <f>VLOOKUP($A101,'EIA Soure Data'!$A$5:$X$156,'EIA Soure Data'!J$1,0)</f>
        <v>73445</v>
      </c>
      <c r="F101" s="12">
        <f>VLOOKUP($A101,'EIA Soure Data'!$A$5:$X$156,'EIA Soure Data'!N$1,0)</f>
        <v>19094</v>
      </c>
      <c r="G101" s="12">
        <f>VLOOKUP($A101,'EIA Soure Data'!$A$5:$X$156,'EIA Soure Data'!V$1,0)</f>
        <v>161033</v>
      </c>
      <c r="H101" s="13">
        <f t="shared" si="39"/>
        <v>1.0385893239846723E-3</v>
      </c>
      <c r="I101" s="14">
        <f t="shared" si="37"/>
        <v>0.20771786479693446</v>
      </c>
      <c r="J101" s="14">
        <f t="shared" si="37"/>
        <v>0.2284896512766279</v>
      </c>
      <c r="K101" s="14">
        <f t="shared" si="37"/>
        <v>0.24926143775632137</v>
      </c>
      <c r="L101" s="14">
        <f t="shared" si="37"/>
        <v>0.27003322423601483</v>
      </c>
      <c r="M101" s="14">
        <f t="shared" si="37"/>
        <v>0.29080501071570825</v>
      </c>
      <c r="N101" s="14">
        <f t="shared" si="37"/>
        <v>0.30119090395555498</v>
      </c>
      <c r="O101" s="14">
        <f t="shared" si="37"/>
        <v>0.33234858367509512</v>
      </c>
      <c r="P101" s="14">
        <f t="shared" si="37"/>
        <v>0.35312037015478859</v>
      </c>
      <c r="Q101" s="14">
        <f t="shared" si="37"/>
        <v>0.36350626339463532</v>
      </c>
      <c r="R101" s="14">
        <f t="shared" si="38"/>
        <v>0.37389215663448205</v>
      </c>
      <c r="S101" s="14">
        <f t="shared" si="36"/>
        <v>0.37908510325440542</v>
      </c>
      <c r="T101" s="14">
        <f t="shared" si="36"/>
        <v>0.37908510325440542</v>
      </c>
      <c r="U101" s="14">
        <f t="shared" si="36"/>
        <v>0.37908510325440542</v>
      </c>
      <c r="V101" s="14">
        <f t="shared" si="36"/>
        <v>0.37389215663448205</v>
      </c>
      <c r="W101" s="14">
        <f t="shared" si="36"/>
        <v>0.32196269043524844</v>
      </c>
      <c r="X101" s="14">
        <f t="shared" si="36"/>
        <v>0.29080501071570825</v>
      </c>
      <c r="Y101" s="14">
        <f t="shared" si="36"/>
        <v>0.2596473309961681</v>
      </c>
      <c r="Z101" s="14">
        <f t="shared" si="36"/>
        <v>0.24926143775632137</v>
      </c>
      <c r="AA101" s="14">
        <f t="shared" si="36"/>
        <v>0.23887554451647464</v>
      </c>
      <c r="AB101" s="14">
        <f t="shared" si="36"/>
        <v>0.2284896512766279</v>
      </c>
      <c r="AC101" s="14">
        <f t="shared" si="40"/>
        <v>6.0705545986904097</v>
      </c>
    </row>
    <row r="102" spans="1:29" x14ac:dyDescent="0.2">
      <c r="A102" s="27" t="str">
        <f t="shared" si="41"/>
        <v>Harney Electric Coop, Inc - NV</v>
      </c>
      <c r="B102" s="11" t="s">
        <v>81</v>
      </c>
      <c r="C102" s="11" t="s">
        <v>82</v>
      </c>
      <c r="D102" s="12">
        <f>VLOOKUP($A102,'EIA Soure Data'!$A$5:$X$156,'EIA Soure Data'!F$1,0)</f>
        <v>11752</v>
      </c>
      <c r="E102" s="12">
        <f>VLOOKUP($A102,'EIA Soure Data'!$A$5:$X$156,'EIA Soure Data'!J$1,0)</f>
        <v>0</v>
      </c>
      <c r="F102" s="12">
        <f>VLOOKUP($A102,'EIA Soure Data'!$A$5:$X$156,'EIA Soure Data'!N$1,0)</f>
        <v>83461</v>
      </c>
      <c r="G102" s="12">
        <f>VLOOKUP($A102,'EIA Soure Data'!$A$5:$X$156,'EIA Soure Data'!V$1,0)</f>
        <v>95213</v>
      </c>
      <c r="H102" s="13">
        <f t="shared" si="39"/>
        <v>6.1408037672124733E-4</v>
      </c>
      <c r="I102" s="14">
        <f t="shared" ref="I102:Q111" si="42">$H102*I$33</f>
        <v>0.12281607534424946</v>
      </c>
      <c r="J102" s="14">
        <f t="shared" si="42"/>
        <v>0.13509768287867441</v>
      </c>
      <c r="K102" s="14">
        <f t="shared" si="42"/>
        <v>0.14737929041309936</v>
      </c>
      <c r="L102" s="14">
        <f t="shared" si="42"/>
        <v>0.15966089794752431</v>
      </c>
      <c r="M102" s="14">
        <f t="shared" si="42"/>
        <v>0.17194250548194925</v>
      </c>
      <c r="N102" s="14">
        <f t="shared" si="42"/>
        <v>0.17808330924916171</v>
      </c>
      <c r="O102" s="14">
        <f t="shared" si="42"/>
        <v>0.19650572055079915</v>
      </c>
      <c r="P102" s="14">
        <f t="shared" si="42"/>
        <v>0.2087873280852241</v>
      </c>
      <c r="Q102" s="14">
        <f t="shared" si="42"/>
        <v>0.21492813185243656</v>
      </c>
      <c r="R102" s="14">
        <f t="shared" si="38"/>
        <v>0.22106893561964905</v>
      </c>
      <c r="S102" s="14">
        <f t="shared" si="36"/>
        <v>0.22413933750325526</v>
      </c>
      <c r="T102" s="14">
        <f t="shared" si="36"/>
        <v>0.22413933750325526</v>
      </c>
      <c r="U102" s="14">
        <f t="shared" si="36"/>
        <v>0.22413933750325526</v>
      </c>
      <c r="V102" s="14">
        <f t="shared" si="36"/>
        <v>0.22106893561964905</v>
      </c>
      <c r="W102" s="14">
        <f t="shared" si="36"/>
        <v>0.19036491678358666</v>
      </c>
      <c r="X102" s="14">
        <f t="shared" si="36"/>
        <v>0.17194250548194925</v>
      </c>
      <c r="Y102" s="14">
        <f t="shared" si="36"/>
        <v>0.15352009418031184</v>
      </c>
      <c r="Z102" s="14">
        <f t="shared" si="36"/>
        <v>0.14737929041309936</v>
      </c>
      <c r="AA102" s="14">
        <f t="shared" si="36"/>
        <v>0.1412384866458869</v>
      </c>
      <c r="AB102" s="14">
        <f t="shared" si="36"/>
        <v>0.13509768287867441</v>
      </c>
      <c r="AC102" s="14">
        <f t="shared" si="40"/>
        <v>3.5892998019356908</v>
      </c>
    </row>
    <row r="103" spans="1:29" hidden="1" x14ac:dyDescent="0.2">
      <c r="A103" s="27" t="str">
        <f t="shared" si="41"/>
        <v>Harney Electric Coop, Inc - OR</v>
      </c>
      <c r="B103" s="11" t="s">
        <v>81</v>
      </c>
      <c r="C103" s="11" t="s">
        <v>22</v>
      </c>
      <c r="D103" s="12">
        <f>VLOOKUP($A103,'EIA Soure Data'!$A$5:$X$156,'EIA Soure Data'!F$1,0)</f>
        <v>18346</v>
      </c>
      <c r="E103" s="12">
        <f>VLOOKUP($A103,'EIA Soure Data'!$A$5:$X$156,'EIA Soure Data'!J$1,0)</f>
        <v>0</v>
      </c>
      <c r="F103" s="12">
        <f>VLOOKUP($A103,'EIA Soure Data'!$A$5:$X$156,'EIA Soure Data'!N$1,0)</f>
        <v>49235</v>
      </c>
      <c r="G103" s="12">
        <f>VLOOKUP($A103,'EIA Soure Data'!$A$5:$X$156,'EIA Soure Data'!V$1,0)</f>
        <v>67581</v>
      </c>
      <c r="H103" s="13">
        <f t="shared" si="39"/>
        <v>4.3586659320889599E-4</v>
      </c>
      <c r="I103" s="14">
        <f t="shared" si="42"/>
        <v>8.7173318641779199E-2</v>
      </c>
      <c r="J103" s="14">
        <f t="shared" si="42"/>
        <v>9.5890650505957117E-2</v>
      </c>
      <c r="K103" s="14">
        <f t="shared" si="42"/>
        <v>0.10460798237013504</v>
      </c>
      <c r="L103" s="14">
        <f t="shared" si="42"/>
        <v>0.11332531423431295</v>
      </c>
      <c r="M103" s="14">
        <f t="shared" si="42"/>
        <v>0.12204264609849087</v>
      </c>
      <c r="N103" s="14">
        <f t="shared" si="42"/>
        <v>0.12640131203057983</v>
      </c>
      <c r="O103" s="14">
        <f t="shared" si="42"/>
        <v>0.13947730982684672</v>
      </c>
      <c r="P103" s="14">
        <f t="shared" si="42"/>
        <v>0.14819464169102464</v>
      </c>
      <c r="Q103" s="14">
        <f t="shared" si="42"/>
        <v>0.15255330762311359</v>
      </c>
      <c r="R103" s="14">
        <f t="shared" si="38"/>
        <v>0.15691197355520256</v>
      </c>
      <c r="S103" s="14">
        <f t="shared" si="36"/>
        <v>0.15909130652124703</v>
      </c>
      <c r="T103" s="14">
        <f t="shared" si="36"/>
        <v>0.15909130652124703</v>
      </c>
      <c r="U103" s="14">
        <f t="shared" si="36"/>
        <v>0.15909130652124703</v>
      </c>
      <c r="V103" s="14">
        <f t="shared" si="36"/>
        <v>0.15691197355520256</v>
      </c>
      <c r="W103" s="14">
        <f t="shared" si="36"/>
        <v>0.13511864389475775</v>
      </c>
      <c r="X103" s="14">
        <f t="shared" si="36"/>
        <v>0.12204264609849087</v>
      </c>
      <c r="Y103" s="14">
        <f t="shared" si="36"/>
        <v>0.108966648302224</v>
      </c>
      <c r="Z103" s="14">
        <f t="shared" si="36"/>
        <v>0.10460798237013504</v>
      </c>
      <c r="AA103" s="14">
        <f t="shared" si="36"/>
        <v>0.10024931643804608</v>
      </c>
      <c r="AB103" s="14">
        <f t="shared" si="36"/>
        <v>9.5890650505957117E-2</v>
      </c>
      <c r="AC103" s="14">
        <f t="shared" si="40"/>
        <v>2.547640237305997</v>
      </c>
    </row>
    <row r="104" spans="1:29" hidden="1" x14ac:dyDescent="0.2">
      <c r="A104" s="27" t="str">
        <f t="shared" si="41"/>
        <v>Hood River Electric Coop - OR</v>
      </c>
      <c r="B104" s="11" t="s">
        <v>68</v>
      </c>
      <c r="C104" s="11" t="s">
        <v>22</v>
      </c>
      <c r="D104" s="12">
        <f>VLOOKUP($A104,'EIA Soure Data'!$A$5:$X$156,'EIA Soure Data'!F$1,0)</f>
        <v>53269</v>
      </c>
      <c r="E104" s="12">
        <f>VLOOKUP($A104,'EIA Soure Data'!$A$5:$X$156,'EIA Soure Data'!J$1,0)</f>
        <v>5370</v>
      </c>
      <c r="F104" s="12">
        <f>VLOOKUP($A104,'EIA Soure Data'!$A$5:$X$156,'EIA Soure Data'!N$1,0)</f>
        <v>47734</v>
      </c>
      <c r="G104" s="12">
        <f>VLOOKUP($A104,'EIA Soure Data'!$A$5:$X$156,'EIA Soure Data'!V$1,0)</f>
        <v>106373</v>
      </c>
      <c r="H104" s="13">
        <f t="shared" si="39"/>
        <v>6.8605728117976785E-4</v>
      </c>
      <c r="I104" s="14">
        <f t="shared" si="42"/>
        <v>0.13721145623595357</v>
      </c>
      <c r="J104" s="14">
        <f t="shared" si="42"/>
        <v>0.15093260185954893</v>
      </c>
      <c r="K104" s="14">
        <f t="shared" si="42"/>
        <v>0.16465374748314429</v>
      </c>
      <c r="L104" s="14">
        <f t="shared" si="42"/>
        <v>0.17837489310673965</v>
      </c>
      <c r="M104" s="14">
        <f t="shared" si="42"/>
        <v>0.19209603873033498</v>
      </c>
      <c r="N104" s="14">
        <f t="shared" si="42"/>
        <v>0.19895661154213268</v>
      </c>
      <c r="O104" s="14">
        <f t="shared" si="42"/>
        <v>0.2195383299775257</v>
      </c>
      <c r="P104" s="14">
        <f t="shared" si="42"/>
        <v>0.23325947560112106</v>
      </c>
      <c r="Q104" s="14">
        <f t="shared" si="42"/>
        <v>0.24012004841291876</v>
      </c>
      <c r="R104" s="14">
        <f t="shared" si="38"/>
        <v>0.24698062122471642</v>
      </c>
      <c r="S104" s="14">
        <f t="shared" si="36"/>
        <v>0.25041090763061524</v>
      </c>
      <c r="T104" s="14">
        <f t="shared" si="36"/>
        <v>0.25041090763061524</v>
      </c>
      <c r="U104" s="14">
        <f t="shared" si="36"/>
        <v>0.25041090763061524</v>
      </c>
      <c r="V104" s="14">
        <f t="shared" si="36"/>
        <v>0.24698062122471642</v>
      </c>
      <c r="W104" s="14">
        <f t="shared" si="36"/>
        <v>0.21267775716572804</v>
      </c>
      <c r="X104" s="14">
        <f t="shared" si="36"/>
        <v>0.19209603873033498</v>
      </c>
      <c r="Y104" s="14">
        <f t="shared" si="36"/>
        <v>0.17151432029494196</v>
      </c>
      <c r="Z104" s="14">
        <f t="shared" si="36"/>
        <v>0.16465374748314429</v>
      </c>
      <c r="AA104" s="14">
        <f t="shared" si="36"/>
        <v>0.1577931746713466</v>
      </c>
      <c r="AB104" s="14">
        <f t="shared" si="36"/>
        <v>0.15093260185954893</v>
      </c>
      <c r="AC104" s="14">
        <f t="shared" si="40"/>
        <v>4.0100048084957427</v>
      </c>
    </row>
    <row r="105" spans="1:29" hidden="1" x14ac:dyDescent="0.2">
      <c r="A105" s="27" t="str">
        <f t="shared" si="41"/>
        <v>Idaho Cnty L&amp;P Coop Assn, Inc - ID</v>
      </c>
      <c r="B105" s="11" t="s">
        <v>69</v>
      </c>
      <c r="C105" s="11" t="s">
        <v>19</v>
      </c>
      <c r="D105" s="12">
        <f>VLOOKUP($A105,'EIA Soure Data'!$A$5:$X$156,'EIA Soure Data'!F$1,0)</f>
        <v>39548</v>
      </c>
      <c r="E105" s="12">
        <f>VLOOKUP($A105,'EIA Soure Data'!$A$5:$X$156,'EIA Soure Data'!J$1,0)</f>
        <v>7800</v>
      </c>
      <c r="F105" s="12">
        <f>VLOOKUP($A105,'EIA Soure Data'!$A$5:$X$156,'EIA Soure Data'!N$1,0)</f>
        <v>251</v>
      </c>
      <c r="G105" s="12">
        <f>VLOOKUP($A105,'EIA Soure Data'!$A$5:$X$156,'EIA Soure Data'!V$1,0)</f>
        <v>47599</v>
      </c>
      <c r="H105" s="13">
        <f t="shared" si="39"/>
        <v>3.0699181678504666E-4</v>
      </c>
      <c r="I105" s="14">
        <f t="shared" si="42"/>
        <v>6.1398363357009336E-2</v>
      </c>
      <c r="J105" s="14">
        <f t="shared" si="42"/>
        <v>6.7538199692710271E-2</v>
      </c>
      <c r="K105" s="14">
        <f t="shared" si="42"/>
        <v>7.3678036028411192E-2</v>
      </c>
      <c r="L105" s="14">
        <f t="shared" si="42"/>
        <v>7.9817872364112127E-2</v>
      </c>
      <c r="M105" s="14">
        <f t="shared" si="42"/>
        <v>8.5957708699813062E-2</v>
      </c>
      <c r="N105" s="14">
        <f t="shared" si="42"/>
        <v>8.9027626867663537E-2</v>
      </c>
      <c r="O105" s="14">
        <f t="shared" si="42"/>
        <v>9.8237381371214932E-2</v>
      </c>
      <c r="P105" s="14">
        <f t="shared" si="42"/>
        <v>0.10437721770691587</v>
      </c>
      <c r="Q105" s="14">
        <f t="shared" si="42"/>
        <v>0.10744713587476633</v>
      </c>
      <c r="R105" s="14">
        <f t="shared" si="38"/>
        <v>0.1105170540426168</v>
      </c>
      <c r="S105" s="14">
        <f t="shared" si="36"/>
        <v>0.11205201312654203</v>
      </c>
      <c r="T105" s="14">
        <f t="shared" si="36"/>
        <v>0.11205201312654203</v>
      </c>
      <c r="U105" s="14">
        <f t="shared" si="36"/>
        <v>0.11205201312654203</v>
      </c>
      <c r="V105" s="14">
        <f t="shared" si="36"/>
        <v>0.1105170540426168</v>
      </c>
      <c r="W105" s="14">
        <f t="shared" si="36"/>
        <v>9.5167463203364472E-2</v>
      </c>
      <c r="X105" s="14">
        <f t="shared" si="36"/>
        <v>8.5957708699813062E-2</v>
      </c>
      <c r="Y105" s="14">
        <f t="shared" si="36"/>
        <v>7.6747954196261667E-2</v>
      </c>
      <c r="Z105" s="14">
        <f t="shared" si="36"/>
        <v>7.3678036028411192E-2</v>
      </c>
      <c r="AA105" s="14">
        <f t="shared" si="36"/>
        <v>7.0608117860560732E-2</v>
      </c>
      <c r="AB105" s="14">
        <f t="shared" si="36"/>
        <v>6.7538199692710271E-2</v>
      </c>
      <c r="AC105" s="14">
        <f t="shared" si="40"/>
        <v>1.7943671691085978</v>
      </c>
    </row>
    <row r="106" spans="1:29" hidden="1" x14ac:dyDescent="0.2">
      <c r="A106" s="27" t="str">
        <f t="shared" si="41"/>
        <v>Idaho Power Co - ID</v>
      </c>
      <c r="B106" s="11" t="s">
        <v>71</v>
      </c>
      <c r="C106" s="11" t="s">
        <v>19</v>
      </c>
      <c r="D106" s="12">
        <f>VLOOKUP($A106,'EIA Soure Data'!$A$5:$X$156,'EIA Soure Data'!F$1,0)</f>
        <v>4777822</v>
      </c>
      <c r="E106" s="12">
        <f>VLOOKUP($A106,'EIA Soure Data'!$A$5:$X$156,'EIA Soure Data'!J$1,0)</f>
        <v>3616109</v>
      </c>
      <c r="F106" s="12">
        <f>VLOOKUP($A106,'EIA Soure Data'!$A$5:$X$156,'EIA Soure Data'!N$1,0)</f>
        <v>4489632</v>
      </c>
      <c r="G106" s="12">
        <f>VLOOKUP($A106,'EIA Soure Data'!$A$5:$X$156,'EIA Soure Data'!V$1,0)</f>
        <v>12883563</v>
      </c>
      <c r="H106" s="13">
        <f t="shared" si="39"/>
        <v>8.3093098847341465E-2</v>
      </c>
      <c r="I106" s="14">
        <f t="shared" si="42"/>
        <v>16.618619769468292</v>
      </c>
      <c r="J106" s="14">
        <f t="shared" si="42"/>
        <v>18.280481746415123</v>
      </c>
      <c r="K106" s="14">
        <f t="shared" si="42"/>
        <v>19.942343723361951</v>
      </c>
      <c r="L106" s="14">
        <f t="shared" si="42"/>
        <v>21.604205700308782</v>
      </c>
      <c r="M106" s="14">
        <f t="shared" si="42"/>
        <v>23.266067677255609</v>
      </c>
      <c r="N106" s="14">
        <f t="shared" si="42"/>
        <v>24.096998665729025</v>
      </c>
      <c r="O106" s="14">
        <f t="shared" si="42"/>
        <v>26.589791631149268</v>
      </c>
      <c r="P106" s="14">
        <f t="shared" si="42"/>
        <v>28.251653608096099</v>
      </c>
      <c r="Q106" s="14">
        <f t="shared" si="42"/>
        <v>29.082584596569514</v>
      </c>
      <c r="R106" s="14">
        <f t="shared" si="38"/>
        <v>29.913515585042926</v>
      </c>
      <c r="S106" s="14">
        <f t="shared" si="36"/>
        <v>30.328981079279636</v>
      </c>
      <c r="T106" s="14">
        <f t="shared" si="36"/>
        <v>30.328981079279636</v>
      </c>
      <c r="U106" s="14">
        <f t="shared" si="36"/>
        <v>30.328981079279636</v>
      </c>
      <c r="V106" s="14">
        <f t="shared" si="36"/>
        <v>29.913515585042926</v>
      </c>
      <c r="W106" s="14">
        <f t="shared" si="36"/>
        <v>25.758860642675852</v>
      </c>
      <c r="X106" s="14">
        <f t="shared" si="36"/>
        <v>23.266067677255609</v>
      </c>
      <c r="Y106" s="14">
        <f t="shared" si="36"/>
        <v>20.773274711835366</v>
      </c>
      <c r="Z106" s="14">
        <f t="shared" si="36"/>
        <v>19.942343723361951</v>
      </c>
      <c r="AA106" s="14">
        <f t="shared" si="36"/>
        <v>19.111412734888535</v>
      </c>
      <c r="AB106" s="14">
        <f t="shared" si="36"/>
        <v>18.280481746415123</v>
      </c>
      <c r="AC106" s="14">
        <f t="shared" si="40"/>
        <v>485.67916276271086</v>
      </c>
    </row>
    <row r="107" spans="1:29" hidden="1" x14ac:dyDescent="0.2">
      <c r="A107" s="27" t="str">
        <f t="shared" si="41"/>
        <v>Idaho Power Co - OR</v>
      </c>
      <c r="B107" s="11" t="s">
        <v>71</v>
      </c>
      <c r="C107" s="11" t="s">
        <v>22</v>
      </c>
      <c r="D107" s="12">
        <f>VLOOKUP($A107,'EIA Soure Data'!$A$5:$X$156,'EIA Soure Data'!F$1,0)</f>
        <v>189557</v>
      </c>
      <c r="E107" s="12">
        <f>VLOOKUP($A107,'EIA Soure Data'!$A$5:$X$156,'EIA Soure Data'!J$1,0)</f>
        <v>146825</v>
      </c>
      <c r="F107" s="12">
        <f>VLOOKUP($A107,'EIA Soure Data'!$A$5:$X$156,'EIA Soure Data'!N$1,0)</f>
        <v>292559</v>
      </c>
      <c r="G107" s="12">
        <f>VLOOKUP($A107,'EIA Soure Data'!$A$5:$X$156,'EIA Soure Data'!V$1,0)</f>
        <v>628941</v>
      </c>
      <c r="H107" s="13">
        <f t="shared" si="39"/>
        <v>4.0563822819934042E-3</v>
      </c>
      <c r="I107" s="14">
        <f t="shared" si="42"/>
        <v>0.81127645639868085</v>
      </c>
      <c r="J107" s="14">
        <f t="shared" si="42"/>
        <v>0.89240410203854892</v>
      </c>
      <c r="K107" s="14">
        <f t="shared" si="42"/>
        <v>0.97353174767841699</v>
      </c>
      <c r="L107" s="14">
        <f t="shared" si="42"/>
        <v>1.0546593933182851</v>
      </c>
      <c r="M107" s="14">
        <f t="shared" si="42"/>
        <v>1.1357870389581532</v>
      </c>
      <c r="N107" s="14">
        <f t="shared" si="42"/>
        <v>1.1763508617780871</v>
      </c>
      <c r="O107" s="14">
        <f t="shared" si="42"/>
        <v>1.2980423302378894</v>
      </c>
      <c r="P107" s="14">
        <f t="shared" si="42"/>
        <v>1.3791699758777574</v>
      </c>
      <c r="Q107" s="14">
        <f t="shared" si="42"/>
        <v>1.4197337986976915</v>
      </c>
      <c r="R107" s="14">
        <f t="shared" si="38"/>
        <v>1.4602976215176255</v>
      </c>
      <c r="S107" s="14">
        <f t="shared" si="36"/>
        <v>1.4805795329275926</v>
      </c>
      <c r="T107" s="14">
        <f t="shared" si="36"/>
        <v>1.4805795329275926</v>
      </c>
      <c r="U107" s="14">
        <f t="shared" si="36"/>
        <v>1.4805795329275926</v>
      </c>
      <c r="V107" s="14">
        <f t="shared" si="36"/>
        <v>1.4602976215176255</v>
      </c>
      <c r="W107" s="14">
        <f t="shared" si="36"/>
        <v>1.2574785074179553</v>
      </c>
      <c r="X107" s="14">
        <f t="shared" si="36"/>
        <v>1.1357870389581532</v>
      </c>
      <c r="Y107" s="14">
        <f t="shared" si="36"/>
        <v>1.014095570498351</v>
      </c>
      <c r="Z107" s="14">
        <f t="shared" si="36"/>
        <v>0.97353174767841699</v>
      </c>
      <c r="AA107" s="14">
        <f t="shared" si="36"/>
        <v>0.93296792485848301</v>
      </c>
      <c r="AB107" s="14">
        <f t="shared" si="36"/>
        <v>0.89240410203854892</v>
      </c>
      <c r="AC107" s="14">
        <f t="shared" si="40"/>
        <v>23.709554438251448</v>
      </c>
    </row>
    <row r="108" spans="1:29" hidden="1" x14ac:dyDescent="0.2">
      <c r="A108" s="27" t="str">
        <f t="shared" si="41"/>
        <v>Inland Power &amp; Light Company - ID</v>
      </c>
      <c r="B108" s="11" t="s">
        <v>67</v>
      </c>
      <c r="C108" s="11" t="s">
        <v>19</v>
      </c>
      <c r="D108" s="12">
        <f>VLOOKUP($A108,'EIA Soure Data'!$A$5:$X$156,'EIA Soure Data'!F$1,0)</f>
        <v>23618</v>
      </c>
      <c r="E108" s="12">
        <f>VLOOKUP($A108,'EIA Soure Data'!$A$5:$X$156,'EIA Soure Data'!J$1,0)</f>
        <v>3361</v>
      </c>
      <c r="F108" s="12">
        <f>VLOOKUP($A108,'EIA Soure Data'!$A$5:$X$156,'EIA Soure Data'!N$1,0)</f>
        <v>5</v>
      </c>
      <c r="G108" s="12">
        <f>VLOOKUP($A108,'EIA Soure Data'!$A$5:$X$156,'EIA Soure Data'!V$1,0)</f>
        <v>26984</v>
      </c>
      <c r="H108" s="13">
        <f t="shared" si="39"/>
        <v>1.7403447938250173E-4</v>
      </c>
      <c r="I108" s="14">
        <f t="shared" si="42"/>
        <v>3.4806895876500349E-2</v>
      </c>
      <c r="J108" s="14">
        <f t="shared" si="42"/>
        <v>3.8287585464150384E-2</v>
      </c>
      <c r="K108" s="14">
        <f t="shared" si="42"/>
        <v>4.1768275051800419E-2</v>
      </c>
      <c r="L108" s="14">
        <f t="shared" si="42"/>
        <v>4.5248964639450454E-2</v>
      </c>
      <c r="M108" s="14">
        <f t="shared" si="42"/>
        <v>4.8729654227100488E-2</v>
      </c>
      <c r="N108" s="14">
        <f t="shared" si="42"/>
        <v>5.0469999020925506E-2</v>
      </c>
      <c r="O108" s="14">
        <f t="shared" si="42"/>
        <v>5.5691033402400558E-2</v>
      </c>
      <c r="P108" s="14">
        <f t="shared" si="42"/>
        <v>5.9171722990050586E-2</v>
      </c>
      <c r="Q108" s="14">
        <f t="shared" si="42"/>
        <v>6.0912067783875604E-2</v>
      </c>
      <c r="R108" s="14">
        <f t="shared" si="38"/>
        <v>6.2652412577700628E-2</v>
      </c>
      <c r="S108" s="14">
        <f t="shared" si="36"/>
        <v>6.3522584974613133E-2</v>
      </c>
      <c r="T108" s="14">
        <f t="shared" si="36"/>
        <v>6.3522584974613133E-2</v>
      </c>
      <c r="U108" s="14">
        <f t="shared" si="36"/>
        <v>6.3522584974613133E-2</v>
      </c>
      <c r="V108" s="14">
        <f t="shared" si="36"/>
        <v>6.2652412577700628E-2</v>
      </c>
      <c r="W108" s="14">
        <f t="shared" si="36"/>
        <v>5.3950688608575541E-2</v>
      </c>
      <c r="X108" s="14">
        <f t="shared" si="36"/>
        <v>4.8729654227100488E-2</v>
      </c>
      <c r="Y108" s="14">
        <f t="shared" si="36"/>
        <v>4.3508619845625436E-2</v>
      </c>
      <c r="Z108" s="14">
        <f t="shared" si="36"/>
        <v>4.1768275051800419E-2</v>
      </c>
      <c r="AA108" s="14">
        <f t="shared" si="36"/>
        <v>4.0027930257975401E-2</v>
      </c>
      <c r="AB108" s="14">
        <f t="shared" si="36"/>
        <v>3.8287585464150384E-2</v>
      </c>
      <c r="AC108" s="14">
        <f t="shared" si="40"/>
        <v>1.0172315319907226</v>
      </c>
    </row>
    <row r="109" spans="1:29" hidden="1" x14ac:dyDescent="0.2">
      <c r="A109" s="27" t="str">
        <f t="shared" si="41"/>
        <v>Inland Power &amp; Light Company - WA</v>
      </c>
      <c r="B109" s="11" t="s">
        <v>67</v>
      </c>
      <c r="C109" s="11" t="s">
        <v>14</v>
      </c>
      <c r="D109" s="12">
        <f>VLOOKUP($A109,'EIA Soure Data'!$A$5:$X$156,'EIA Soure Data'!F$1,0)</f>
        <v>586154</v>
      </c>
      <c r="E109" s="12">
        <f>VLOOKUP($A109,'EIA Soure Data'!$A$5:$X$156,'EIA Soure Data'!J$1,0)</f>
        <v>113362</v>
      </c>
      <c r="F109" s="12">
        <f>VLOOKUP($A109,'EIA Soure Data'!$A$5:$X$156,'EIA Soure Data'!N$1,0)</f>
        <v>102122</v>
      </c>
      <c r="G109" s="12">
        <f>VLOOKUP($A109,'EIA Soure Data'!$A$5:$X$156,'EIA Soure Data'!V$1,0)</f>
        <v>801638</v>
      </c>
      <c r="H109" s="13">
        <f t="shared" si="39"/>
        <v>5.1701990803153693E-3</v>
      </c>
      <c r="I109" s="14">
        <f t="shared" si="42"/>
        <v>1.0340398160630739</v>
      </c>
      <c r="J109" s="14">
        <f t="shared" si="42"/>
        <v>1.1374437976693812</v>
      </c>
      <c r="K109" s="14">
        <f t="shared" si="42"/>
        <v>1.2408477792756887</v>
      </c>
      <c r="L109" s="14">
        <f t="shared" si="42"/>
        <v>1.3442517608819959</v>
      </c>
      <c r="M109" s="14">
        <f t="shared" si="42"/>
        <v>1.4476557424883034</v>
      </c>
      <c r="N109" s="14">
        <f t="shared" si="42"/>
        <v>1.4993577332914572</v>
      </c>
      <c r="O109" s="14">
        <f t="shared" si="42"/>
        <v>1.6544637057009182</v>
      </c>
      <c r="P109" s="14">
        <f t="shared" si="42"/>
        <v>1.7578676873072256</v>
      </c>
      <c r="Q109" s="14">
        <f t="shared" si="42"/>
        <v>1.8095696781103792</v>
      </c>
      <c r="R109" s="14">
        <f t="shared" si="38"/>
        <v>1.8612716689135329</v>
      </c>
      <c r="S109" s="14">
        <f t="shared" si="36"/>
        <v>1.8871226643151098</v>
      </c>
      <c r="T109" s="14">
        <f t="shared" si="36"/>
        <v>1.8871226643151098</v>
      </c>
      <c r="U109" s="14">
        <f t="shared" si="36"/>
        <v>1.8871226643151098</v>
      </c>
      <c r="V109" s="14">
        <f t="shared" si="36"/>
        <v>1.8612716689135329</v>
      </c>
      <c r="W109" s="14">
        <f t="shared" si="36"/>
        <v>1.6027617148977644</v>
      </c>
      <c r="X109" s="14">
        <f t="shared" si="36"/>
        <v>1.4476557424883034</v>
      </c>
      <c r="Y109" s="14">
        <f t="shared" si="36"/>
        <v>1.2925497700788424</v>
      </c>
      <c r="Z109" s="14">
        <f t="shared" si="36"/>
        <v>1.2408477792756887</v>
      </c>
      <c r="AA109" s="14">
        <f t="shared" si="36"/>
        <v>1.1891457884725349</v>
      </c>
      <c r="AB109" s="14">
        <f t="shared" si="36"/>
        <v>1.1374437976693812</v>
      </c>
      <c r="AC109" s="14">
        <f t="shared" si="40"/>
        <v>30.219813624443333</v>
      </c>
    </row>
    <row r="110" spans="1:29" hidden="1" x14ac:dyDescent="0.2">
      <c r="A110" s="27" t="str">
        <f t="shared" si="41"/>
        <v>Kootenai Electric Coop Inc - ID</v>
      </c>
      <c r="B110" s="11" t="s">
        <v>74</v>
      </c>
      <c r="C110" s="11" t="s">
        <v>19</v>
      </c>
      <c r="D110" s="12">
        <f>VLOOKUP($A110,'EIA Soure Data'!$A$5:$X$156,'EIA Soure Data'!F$1,0)</f>
        <v>278185</v>
      </c>
      <c r="E110" s="12">
        <f>VLOOKUP($A110,'EIA Soure Data'!$A$5:$X$156,'EIA Soure Data'!J$1,0)</f>
        <v>97959</v>
      </c>
      <c r="F110" s="12">
        <f>VLOOKUP($A110,'EIA Soure Data'!$A$5:$X$156,'EIA Soure Data'!N$1,0)</f>
        <v>25796</v>
      </c>
      <c r="G110" s="12">
        <f>VLOOKUP($A110,'EIA Soure Data'!$A$5:$X$156,'EIA Soure Data'!V$1,0)</f>
        <v>401940</v>
      </c>
      <c r="H110" s="13">
        <f t="shared" si="39"/>
        <v>2.592329478320588E-3</v>
      </c>
      <c r="I110" s="14">
        <f t="shared" si="42"/>
        <v>0.5184658956641176</v>
      </c>
      <c r="J110" s="14">
        <f t="shared" si="42"/>
        <v>0.57031248523052935</v>
      </c>
      <c r="K110" s="14">
        <f t="shared" si="42"/>
        <v>0.6221590747969411</v>
      </c>
      <c r="L110" s="14">
        <f t="shared" si="42"/>
        <v>0.67400566436335285</v>
      </c>
      <c r="M110" s="14">
        <f t="shared" si="42"/>
        <v>0.7258522539297646</v>
      </c>
      <c r="N110" s="14">
        <f t="shared" si="42"/>
        <v>0.75177554871297048</v>
      </c>
      <c r="O110" s="14">
        <f t="shared" si="42"/>
        <v>0.82954543306258821</v>
      </c>
      <c r="P110" s="14">
        <f t="shared" si="42"/>
        <v>0.88139202262899996</v>
      </c>
      <c r="Q110" s="14">
        <f t="shared" si="42"/>
        <v>0.90731531741220584</v>
      </c>
      <c r="R110" s="14">
        <f t="shared" si="38"/>
        <v>0.93323861219541171</v>
      </c>
      <c r="S110" s="14">
        <f t="shared" si="36"/>
        <v>0.94620025958701459</v>
      </c>
      <c r="T110" s="14">
        <f t="shared" si="36"/>
        <v>0.94620025958701459</v>
      </c>
      <c r="U110" s="14">
        <f t="shared" si="36"/>
        <v>0.94620025958701459</v>
      </c>
      <c r="V110" s="14">
        <f t="shared" si="36"/>
        <v>0.93323861219541171</v>
      </c>
      <c r="W110" s="14">
        <f t="shared" si="36"/>
        <v>0.80362213827938223</v>
      </c>
      <c r="X110" s="14">
        <f t="shared" si="36"/>
        <v>0.7258522539297646</v>
      </c>
      <c r="Y110" s="14">
        <f t="shared" si="36"/>
        <v>0.64808236958014698</v>
      </c>
      <c r="Z110" s="14">
        <f t="shared" si="36"/>
        <v>0.6221590747969411</v>
      </c>
      <c r="AA110" s="14">
        <f t="shared" si="36"/>
        <v>0.59623578001373523</v>
      </c>
      <c r="AB110" s="14">
        <f t="shared" si="36"/>
        <v>0.57031248523052935</v>
      </c>
      <c r="AC110" s="14">
        <f t="shared" si="40"/>
        <v>15.152165800783838</v>
      </c>
    </row>
    <row r="111" spans="1:29" hidden="1" x14ac:dyDescent="0.2">
      <c r="A111" s="27" t="str">
        <f t="shared" si="41"/>
        <v>Kootenai Electric Coop Inc - WA</v>
      </c>
      <c r="B111" s="11" t="s">
        <v>74</v>
      </c>
      <c r="C111" s="11" t="s">
        <v>14</v>
      </c>
      <c r="D111" s="12">
        <f>VLOOKUP($A111,'EIA Soure Data'!$A$5:$X$156,'EIA Soure Data'!F$1,0)</f>
        <v>1916</v>
      </c>
      <c r="E111" s="12">
        <f>VLOOKUP($A111,'EIA Soure Data'!$A$5:$X$156,'EIA Soure Data'!J$1,0)</f>
        <v>16</v>
      </c>
      <c r="F111" s="12">
        <f>VLOOKUP($A111,'EIA Soure Data'!$A$5:$X$156,'EIA Soure Data'!N$1,0)</f>
        <v>2</v>
      </c>
      <c r="G111" s="12">
        <f>VLOOKUP($A111,'EIA Soure Data'!$A$5:$X$156,'EIA Soure Data'!V$1,0)</f>
        <v>1934</v>
      </c>
      <c r="H111" s="13">
        <f t="shared" si="39"/>
        <v>1.2473416955446128E-5</v>
      </c>
      <c r="I111" s="14">
        <f t="shared" si="42"/>
        <v>2.4946833910892254E-3</v>
      </c>
      <c r="J111" s="14">
        <f t="shared" si="42"/>
        <v>2.7441517301981483E-3</v>
      </c>
      <c r="K111" s="14">
        <f t="shared" si="42"/>
        <v>2.9936200693070707E-3</v>
      </c>
      <c r="L111" s="14">
        <f t="shared" si="42"/>
        <v>3.2430884084159932E-3</v>
      </c>
      <c r="M111" s="14">
        <f t="shared" si="42"/>
        <v>3.4925567475249156E-3</v>
      </c>
      <c r="N111" s="14">
        <f t="shared" si="42"/>
        <v>3.6172909170793769E-3</v>
      </c>
      <c r="O111" s="14">
        <f t="shared" si="42"/>
        <v>3.991493425742761E-3</v>
      </c>
      <c r="P111" s="14">
        <f t="shared" si="42"/>
        <v>4.2409617648516834E-3</v>
      </c>
      <c r="Q111" s="14">
        <f t="shared" si="42"/>
        <v>4.3656959344061446E-3</v>
      </c>
      <c r="R111" s="14">
        <f t="shared" si="38"/>
        <v>4.4904301039606059E-3</v>
      </c>
      <c r="S111" s="14">
        <f t="shared" si="36"/>
        <v>4.5527971887378369E-3</v>
      </c>
      <c r="T111" s="14">
        <f t="shared" si="36"/>
        <v>4.5527971887378369E-3</v>
      </c>
      <c r="U111" s="14">
        <f t="shared" si="36"/>
        <v>4.5527971887378369E-3</v>
      </c>
      <c r="V111" s="14">
        <f t="shared" si="36"/>
        <v>4.4904301039606059E-3</v>
      </c>
      <c r="W111" s="14">
        <f t="shared" si="36"/>
        <v>3.8667592561882997E-3</v>
      </c>
      <c r="X111" s="14">
        <f t="shared" si="36"/>
        <v>3.4925567475249156E-3</v>
      </c>
      <c r="Y111" s="14">
        <f t="shared" si="36"/>
        <v>3.1183542388615319E-3</v>
      </c>
      <c r="Z111" s="14">
        <f t="shared" si="36"/>
        <v>2.9936200693070707E-3</v>
      </c>
      <c r="AA111" s="14">
        <f t="shared" si="36"/>
        <v>2.8688858997526095E-3</v>
      </c>
      <c r="AB111" s="14">
        <f t="shared" si="36"/>
        <v>2.7441517301981483E-3</v>
      </c>
      <c r="AC111" s="14">
        <f t="shared" si="40"/>
        <v>7.2907122104582611E-2</v>
      </c>
    </row>
    <row r="112" spans="1:29" hidden="1" x14ac:dyDescent="0.2">
      <c r="A112" s="27" t="str">
        <f t="shared" si="41"/>
        <v>Lakeview Light &amp; Power - WA</v>
      </c>
      <c r="B112" s="11" t="s">
        <v>75</v>
      </c>
      <c r="C112" s="11" t="s">
        <v>14</v>
      </c>
      <c r="D112" s="12">
        <f>VLOOKUP($A112,'EIA Soure Data'!$A$5:$X$156,'EIA Soure Data'!F$1,0)</f>
        <v>112360</v>
      </c>
      <c r="E112" s="12">
        <f>VLOOKUP($A112,'EIA Soure Data'!$A$5:$X$156,'EIA Soure Data'!J$1,0)</f>
        <v>154344</v>
      </c>
      <c r="F112" s="12">
        <f>VLOOKUP($A112,'EIA Soure Data'!$A$5:$X$156,'EIA Soure Data'!N$1,0)</f>
        <v>0</v>
      </c>
      <c r="G112" s="12">
        <f>VLOOKUP($A112,'EIA Soure Data'!$A$5:$X$156,'EIA Soure Data'!V$1,0)</f>
        <v>266704</v>
      </c>
      <c r="H112" s="13">
        <f t="shared" si="39"/>
        <v>1.7201190256904365E-3</v>
      </c>
      <c r="I112" s="14">
        <f t="shared" ref="I112:Q121" si="43">$H112*I$33</f>
        <v>0.34402380513808728</v>
      </c>
      <c r="J112" s="14">
        <f t="shared" si="43"/>
        <v>0.37842618565189606</v>
      </c>
      <c r="K112" s="14">
        <f t="shared" si="43"/>
        <v>0.41282856616570479</v>
      </c>
      <c r="L112" s="14">
        <f t="shared" si="43"/>
        <v>0.44723094667951352</v>
      </c>
      <c r="M112" s="14">
        <f t="shared" si="43"/>
        <v>0.48163332719332225</v>
      </c>
      <c r="N112" s="14">
        <f t="shared" si="43"/>
        <v>0.49883451745022661</v>
      </c>
      <c r="O112" s="14">
        <f t="shared" si="43"/>
        <v>0.55043808822093965</v>
      </c>
      <c r="P112" s="14">
        <f t="shared" si="43"/>
        <v>0.58484046873474838</v>
      </c>
      <c r="Q112" s="14">
        <f t="shared" si="43"/>
        <v>0.60204165899165274</v>
      </c>
      <c r="R112" s="14">
        <f t="shared" si="38"/>
        <v>0.6192428492485571</v>
      </c>
      <c r="S112" s="14">
        <f t="shared" si="36"/>
        <v>0.62784344437700934</v>
      </c>
      <c r="T112" s="14">
        <f t="shared" si="36"/>
        <v>0.62784344437700934</v>
      </c>
      <c r="U112" s="14">
        <f t="shared" si="36"/>
        <v>0.62784344437700934</v>
      </c>
      <c r="V112" s="14">
        <f t="shared" si="36"/>
        <v>0.6192428492485571</v>
      </c>
      <c r="W112" s="14">
        <f t="shared" si="36"/>
        <v>0.53323689796403528</v>
      </c>
      <c r="X112" s="14">
        <f t="shared" si="36"/>
        <v>0.48163332719332225</v>
      </c>
      <c r="Y112" s="14">
        <f t="shared" si="36"/>
        <v>0.43002975642260916</v>
      </c>
      <c r="Z112" s="14">
        <f t="shared" si="36"/>
        <v>0.41282856616570479</v>
      </c>
      <c r="AA112" s="14">
        <f t="shared" si="36"/>
        <v>0.39562737590880043</v>
      </c>
      <c r="AB112" s="14">
        <f t="shared" si="36"/>
        <v>0.37842618565189606</v>
      </c>
      <c r="AC112" s="14">
        <f t="shared" si="40"/>
        <v>10.054095705160602</v>
      </c>
    </row>
    <row r="113" spans="1:29" hidden="1" x14ac:dyDescent="0.2">
      <c r="A113" s="27" t="str">
        <f t="shared" si="41"/>
        <v>Lane Electric Coop Inc - OR</v>
      </c>
      <c r="B113" s="11" t="s">
        <v>76</v>
      </c>
      <c r="C113" s="11" t="s">
        <v>22</v>
      </c>
      <c r="D113" s="12">
        <f>VLOOKUP($A113,'EIA Soure Data'!$A$5:$X$156,'EIA Soure Data'!F$1,0)</f>
        <v>193469</v>
      </c>
      <c r="E113" s="12">
        <f>VLOOKUP($A113,'EIA Soure Data'!$A$5:$X$156,'EIA Soure Data'!J$1,0)</f>
        <v>31853</v>
      </c>
      <c r="F113" s="12">
        <f>VLOOKUP($A113,'EIA Soure Data'!$A$5:$X$156,'EIA Soure Data'!N$1,0)</f>
        <v>2142</v>
      </c>
      <c r="G113" s="12">
        <f>VLOOKUP($A113,'EIA Soure Data'!$A$5:$X$156,'EIA Soure Data'!V$1,0)</f>
        <v>227464</v>
      </c>
      <c r="H113" s="13">
        <f t="shared" si="39"/>
        <v>1.4670389422717675E-3</v>
      </c>
      <c r="I113" s="14">
        <f t="shared" si="43"/>
        <v>0.2934077884543535</v>
      </c>
      <c r="J113" s="14">
        <f t="shared" si="43"/>
        <v>0.32274856729978885</v>
      </c>
      <c r="K113" s="14">
        <f t="shared" si="43"/>
        <v>0.35208934614522419</v>
      </c>
      <c r="L113" s="14">
        <f t="shared" si="43"/>
        <v>0.38143012499065954</v>
      </c>
      <c r="M113" s="14">
        <f t="shared" si="43"/>
        <v>0.41077090383609488</v>
      </c>
      <c r="N113" s="14">
        <f t="shared" si="43"/>
        <v>0.42544129325881258</v>
      </c>
      <c r="O113" s="14">
        <f t="shared" si="43"/>
        <v>0.46945246152696563</v>
      </c>
      <c r="P113" s="14">
        <f t="shared" si="43"/>
        <v>0.49879324037240097</v>
      </c>
      <c r="Q113" s="14">
        <f t="shared" si="43"/>
        <v>0.51346362979511861</v>
      </c>
      <c r="R113" s="14">
        <f t="shared" si="38"/>
        <v>0.52813401921783631</v>
      </c>
      <c r="S113" s="14">
        <f t="shared" si="36"/>
        <v>0.53546921392919511</v>
      </c>
      <c r="T113" s="14">
        <f t="shared" si="36"/>
        <v>0.53546921392919511</v>
      </c>
      <c r="U113" s="14">
        <f t="shared" si="36"/>
        <v>0.53546921392919511</v>
      </c>
      <c r="V113" s="14">
        <f t="shared" si="36"/>
        <v>0.52813401921783631</v>
      </c>
      <c r="W113" s="14">
        <f t="shared" si="36"/>
        <v>0.45478207210424793</v>
      </c>
      <c r="X113" s="14">
        <f t="shared" si="36"/>
        <v>0.41077090383609488</v>
      </c>
      <c r="Y113" s="14">
        <f t="shared" si="36"/>
        <v>0.36675973556794189</v>
      </c>
      <c r="Z113" s="14">
        <f t="shared" si="36"/>
        <v>0.35208934614522419</v>
      </c>
      <c r="AA113" s="14">
        <f t="shared" si="36"/>
        <v>0.33741895672250655</v>
      </c>
      <c r="AB113" s="14">
        <f t="shared" si="36"/>
        <v>0.32274856729978885</v>
      </c>
      <c r="AC113" s="14">
        <f t="shared" si="40"/>
        <v>8.5748426175784811</v>
      </c>
    </row>
    <row r="114" spans="1:29" hidden="1" x14ac:dyDescent="0.2">
      <c r="A114" s="27" t="str">
        <f t="shared" si="41"/>
        <v>Lincoln Electric Coop, Inc - MT</v>
      </c>
      <c r="B114" s="11" t="s">
        <v>78</v>
      </c>
      <c r="C114" s="11" t="s">
        <v>56</v>
      </c>
      <c r="D114" s="12">
        <f>VLOOKUP($A114,'EIA Soure Data'!$A$5:$X$156,'EIA Soure Data'!F$1,0)</f>
        <v>72455</v>
      </c>
      <c r="E114" s="12">
        <f>VLOOKUP($A114,'EIA Soure Data'!$A$5:$X$156,'EIA Soure Data'!J$1,0)</f>
        <v>26312</v>
      </c>
      <c r="F114" s="12">
        <f>VLOOKUP($A114,'EIA Soure Data'!$A$5:$X$156,'EIA Soure Data'!N$1,0)</f>
        <v>8937</v>
      </c>
      <c r="G114" s="12">
        <f>VLOOKUP($A114,'EIA Soure Data'!$A$5:$X$156,'EIA Soure Data'!V$1,0)</f>
        <v>107704</v>
      </c>
      <c r="H114" s="13">
        <f t="shared" si="39"/>
        <v>6.946416234588262E-4</v>
      </c>
      <c r="I114" s="14">
        <f t="shared" si="43"/>
        <v>0.13892832469176525</v>
      </c>
      <c r="J114" s="14">
        <f t="shared" si="43"/>
        <v>0.15282115716094177</v>
      </c>
      <c r="K114" s="14">
        <f t="shared" si="43"/>
        <v>0.1667139896301183</v>
      </c>
      <c r="L114" s="14">
        <f t="shared" si="43"/>
        <v>0.18060682209929482</v>
      </c>
      <c r="M114" s="14">
        <f t="shared" si="43"/>
        <v>0.19449965456847135</v>
      </c>
      <c r="N114" s="14">
        <f t="shared" si="43"/>
        <v>0.2014460708030596</v>
      </c>
      <c r="O114" s="14">
        <f t="shared" si="43"/>
        <v>0.2222853195068244</v>
      </c>
      <c r="P114" s="14">
        <f t="shared" si="43"/>
        <v>0.23617815197600089</v>
      </c>
      <c r="Q114" s="14">
        <f t="shared" si="43"/>
        <v>0.24312456821058917</v>
      </c>
      <c r="R114" s="14">
        <f t="shared" si="38"/>
        <v>0.25007098444517745</v>
      </c>
      <c r="S114" s="14">
        <f t="shared" si="36"/>
        <v>0.25354419256247157</v>
      </c>
      <c r="T114" s="14">
        <f t="shared" si="36"/>
        <v>0.25354419256247157</v>
      </c>
      <c r="U114" s="14">
        <f t="shared" si="36"/>
        <v>0.25354419256247157</v>
      </c>
      <c r="V114" s="14">
        <f t="shared" si="36"/>
        <v>0.25007098444517745</v>
      </c>
      <c r="W114" s="14">
        <f t="shared" si="36"/>
        <v>0.21533890327223612</v>
      </c>
      <c r="X114" s="14">
        <f t="shared" si="36"/>
        <v>0.19449965456847135</v>
      </c>
      <c r="Y114" s="14">
        <f t="shared" si="36"/>
        <v>0.17366040586470655</v>
      </c>
      <c r="Z114" s="14">
        <f t="shared" si="36"/>
        <v>0.1667139896301183</v>
      </c>
      <c r="AA114" s="14">
        <f t="shared" si="36"/>
        <v>0.15976757339553002</v>
      </c>
      <c r="AB114" s="14">
        <f t="shared" si="36"/>
        <v>0.15282115716094177</v>
      </c>
      <c r="AC114" s="14">
        <f t="shared" si="40"/>
        <v>4.0601802891168388</v>
      </c>
    </row>
    <row r="115" spans="1:29" hidden="1" x14ac:dyDescent="0.2">
      <c r="A115" s="27" t="str">
        <f t="shared" si="41"/>
        <v>Lost River Electric Coop Inc - ID</v>
      </c>
      <c r="B115" s="11" t="s">
        <v>79</v>
      </c>
      <c r="C115" s="11" t="s">
        <v>19</v>
      </c>
      <c r="D115" s="12">
        <f>VLOOKUP($A115,'EIA Soure Data'!$A$5:$X$156,'EIA Soure Data'!F$1,0)</f>
        <v>28258</v>
      </c>
      <c r="E115" s="12">
        <f>VLOOKUP($A115,'EIA Soure Data'!$A$5:$X$156,'EIA Soure Data'!J$1,0)</f>
        <v>4174</v>
      </c>
      <c r="F115" s="12">
        <f>VLOOKUP($A115,'EIA Soure Data'!$A$5:$X$156,'EIA Soure Data'!N$1,0)</f>
        <v>39050</v>
      </c>
      <c r="G115" s="12">
        <f>VLOOKUP($A115,'EIA Soure Data'!$A$5:$X$156,'EIA Soure Data'!V$1,0)</f>
        <v>71482</v>
      </c>
      <c r="H115" s="13">
        <f t="shared" si="39"/>
        <v>4.6102626205232685E-4</v>
      </c>
      <c r="I115" s="14">
        <f t="shared" si="43"/>
        <v>9.2205252410465371E-2</v>
      </c>
      <c r="J115" s="14">
        <f t="shared" si="43"/>
        <v>0.10142577765151191</v>
      </c>
      <c r="K115" s="14">
        <f t="shared" si="43"/>
        <v>0.11064630289255845</v>
      </c>
      <c r="L115" s="14">
        <f t="shared" si="43"/>
        <v>0.11986682813360498</v>
      </c>
      <c r="M115" s="14">
        <f t="shared" si="43"/>
        <v>0.12908735337465152</v>
      </c>
      <c r="N115" s="14">
        <f t="shared" si="43"/>
        <v>0.1336976159951748</v>
      </c>
      <c r="O115" s="14">
        <f t="shared" si="43"/>
        <v>0.14752840385674459</v>
      </c>
      <c r="P115" s="14">
        <f t="shared" si="43"/>
        <v>0.15674892909779112</v>
      </c>
      <c r="Q115" s="14">
        <f t="shared" si="43"/>
        <v>0.16135919171831439</v>
      </c>
      <c r="R115" s="14">
        <f t="shared" si="38"/>
        <v>0.16596945433883767</v>
      </c>
      <c r="S115" s="14">
        <f t="shared" si="36"/>
        <v>0.16827458564909931</v>
      </c>
      <c r="T115" s="14">
        <f t="shared" si="36"/>
        <v>0.16827458564909931</v>
      </c>
      <c r="U115" s="14">
        <f t="shared" si="36"/>
        <v>0.16827458564909931</v>
      </c>
      <c r="V115" s="14">
        <f t="shared" si="36"/>
        <v>0.16596945433883767</v>
      </c>
      <c r="W115" s="14">
        <f t="shared" si="36"/>
        <v>0.14291814123622132</v>
      </c>
      <c r="X115" s="14">
        <f t="shared" si="36"/>
        <v>0.12908735337465152</v>
      </c>
      <c r="Y115" s="14">
        <f t="shared" si="36"/>
        <v>0.11525656551308171</v>
      </c>
      <c r="Z115" s="14">
        <f t="shared" si="36"/>
        <v>0.11064630289255845</v>
      </c>
      <c r="AA115" s="14">
        <f t="shared" si="36"/>
        <v>0.10603604027203517</v>
      </c>
      <c r="AB115" s="14">
        <f t="shared" si="36"/>
        <v>0.10142577765151191</v>
      </c>
      <c r="AC115" s="14">
        <f t="shared" si="40"/>
        <v>2.6946985016958505</v>
      </c>
    </row>
    <row r="116" spans="1:29" hidden="1" x14ac:dyDescent="0.2">
      <c r="A116" s="27" t="str">
        <f t="shared" si="41"/>
        <v>Lower Valley Energy Inc - ID</v>
      </c>
      <c r="B116" s="11" t="s">
        <v>80</v>
      </c>
      <c r="C116" s="11" t="s">
        <v>19</v>
      </c>
      <c r="D116" s="12">
        <f>VLOOKUP($A116,'EIA Soure Data'!$A$5:$X$156,'EIA Soure Data'!F$1,0)</f>
        <v>13699</v>
      </c>
      <c r="E116" s="12">
        <f>VLOOKUP($A116,'EIA Soure Data'!$A$5:$X$156,'EIA Soure Data'!J$1,0)</f>
        <v>2527</v>
      </c>
      <c r="F116" s="12">
        <f>VLOOKUP($A116,'EIA Soure Data'!$A$5:$X$156,'EIA Soure Data'!N$1,0)</f>
        <v>44242</v>
      </c>
      <c r="G116" s="12">
        <f>VLOOKUP($A116,'EIA Soure Data'!$A$5:$X$156,'EIA Soure Data'!V$1,0)</f>
        <v>60468</v>
      </c>
      <c r="H116" s="13">
        <f t="shared" si="39"/>
        <v>3.8999099093170447E-4</v>
      </c>
      <c r="I116" s="14">
        <f t="shared" si="43"/>
        <v>7.7998198186340892E-2</v>
      </c>
      <c r="J116" s="14">
        <f t="shared" si="43"/>
        <v>8.5798018004974982E-2</v>
      </c>
      <c r="K116" s="14">
        <f t="shared" si="43"/>
        <v>9.3597837823609073E-2</v>
      </c>
      <c r="L116" s="14">
        <f t="shared" si="43"/>
        <v>0.10139765764224316</v>
      </c>
      <c r="M116" s="14">
        <f t="shared" si="43"/>
        <v>0.10919747746087725</v>
      </c>
      <c r="N116" s="14">
        <f t="shared" si="43"/>
        <v>0.1130973873701943</v>
      </c>
      <c r="O116" s="14">
        <f t="shared" si="43"/>
        <v>0.12479711709814544</v>
      </c>
      <c r="P116" s="14">
        <f t="shared" si="43"/>
        <v>0.13259693691677951</v>
      </c>
      <c r="Q116" s="14">
        <f t="shared" si="43"/>
        <v>0.13649684682609656</v>
      </c>
      <c r="R116" s="14">
        <f t="shared" si="38"/>
        <v>0.1403967567354136</v>
      </c>
      <c r="S116" s="14">
        <f t="shared" si="36"/>
        <v>0.14234671169007213</v>
      </c>
      <c r="T116" s="14">
        <f t="shared" si="36"/>
        <v>0.14234671169007213</v>
      </c>
      <c r="U116" s="14">
        <f t="shared" si="36"/>
        <v>0.14234671169007213</v>
      </c>
      <c r="V116" s="14">
        <f t="shared" si="36"/>
        <v>0.1403967567354136</v>
      </c>
      <c r="W116" s="14">
        <f t="shared" si="36"/>
        <v>0.12089720718882839</v>
      </c>
      <c r="X116" s="14">
        <f t="shared" si="36"/>
        <v>0.10919747746087725</v>
      </c>
      <c r="Y116" s="14">
        <f t="shared" si="36"/>
        <v>9.7497747732926118E-2</v>
      </c>
      <c r="Z116" s="14">
        <f t="shared" si="36"/>
        <v>9.3597837823609073E-2</v>
      </c>
      <c r="AA116" s="14">
        <f t="shared" si="36"/>
        <v>8.9697927914292028E-2</v>
      </c>
      <c r="AB116" s="14">
        <f t="shared" si="36"/>
        <v>8.5798018004974982E-2</v>
      </c>
      <c r="AC116" s="14">
        <f t="shared" si="40"/>
        <v>2.2794973419958127</v>
      </c>
    </row>
    <row r="117" spans="1:29" x14ac:dyDescent="0.2">
      <c r="A117" s="27" t="str">
        <f t="shared" si="41"/>
        <v>Lower Valley Energy Inc - WY</v>
      </c>
      <c r="B117" s="11" t="s">
        <v>80</v>
      </c>
      <c r="C117" s="11" t="s">
        <v>57</v>
      </c>
      <c r="D117" s="12">
        <f>VLOOKUP($A117,'EIA Soure Data'!$A$5:$X$156,'EIA Soure Data'!F$1,0)</f>
        <v>377195</v>
      </c>
      <c r="E117" s="12">
        <f>VLOOKUP($A117,'EIA Soure Data'!$A$5:$X$156,'EIA Soure Data'!J$1,0)</f>
        <v>227580</v>
      </c>
      <c r="F117" s="12">
        <f>VLOOKUP($A117,'EIA Soure Data'!$A$5:$X$156,'EIA Soure Data'!N$1,0)</f>
        <v>34275</v>
      </c>
      <c r="G117" s="12">
        <f>VLOOKUP($A117,'EIA Soure Data'!$A$5:$X$156,'EIA Soure Data'!V$1,0)</f>
        <v>639050</v>
      </c>
      <c r="H117" s="13">
        <f t="shared" si="39"/>
        <v>4.1215807163277399E-3</v>
      </c>
      <c r="I117" s="14">
        <f t="shared" si="43"/>
        <v>0.82431614326554792</v>
      </c>
      <c r="J117" s="14">
        <f t="shared" si="43"/>
        <v>0.9067477575921028</v>
      </c>
      <c r="K117" s="14">
        <f t="shared" si="43"/>
        <v>0.98917937191865757</v>
      </c>
      <c r="L117" s="14">
        <f t="shared" si="43"/>
        <v>1.0716109862452123</v>
      </c>
      <c r="M117" s="14">
        <f t="shared" si="43"/>
        <v>1.1540426005717672</v>
      </c>
      <c r="N117" s="14">
        <f t="shared" si="43"/>
        <v>1.1952584077350445</v>
      </c>
      <c r="O117" s="14">
        <f t="shared" si="43"/>
        <v>1.3189058292248768</v>
      </c>
      <c r="P117" s="14">
        <f t="shared" si="43"/>
        <v>1.4013374435514316</v>
      </c>
      <c r="Q117" s="14">
        <f t="shared" si="43"/>
        <v>1.442553250714709</v>
      </c>
      <c r="R117" s="14">
        <f t="shared" si="38"/>
        <v>1.4837690578779863</v>
      </c>
      <c r="S117" s="14">
        <f t="shared" si="36"/>
        <v>1.504376961459625</v>
      </c>
      <c r="T117" s="14">
        <f t="shared" ref="S117:AB144" si="44">$H117*T$33</f>
        <v>1.504376961459625</v>
      </c>
      <c r="U117" s="14">
        <f t="shared" si="44"/>
        <v>1.504376961459625</v>
      </c>
      <c r="V117" s="14">
        <f t="shared" si="44"/>
        <v>1.4837690578779863</v>
      </c>
      <c r="W117" s="14">
        <f t="shared" si="44"/>
        <v>1.2776900220615994</v>
      </c>
      <c r="X117" s="14">
        <f t="shared" si="44"/>
        <v>1.1540426005717672</v>
      </c>
      <c r="Y117" s="14">
        <f t="shared" si="44"/>
        <v>1.030395179081935</v>
      </c>
      <c r="Z117" s="14">
        <f t="shared" si="44"/>
        <v>0.98917937191865757</v>
      </c>
      <c r="AA117" s="14">
        <f t="shared" si="44"/>
        <v>0.94796356475538013</v>
      </c>
      <c r="AB117" s="14">
        <f t="shared" si="44"/>
        <v>0.9067477575921028</v>
      </c>
      <c r="AC117" s="14">
        <f t="shared" si="40"/>
        <v>24.090639286935641</v>
      </c>
    </row>
    <row r="118" spans="1:29" hidden="1" x14ac:dyDescent="0.2">
      <c r="A118" s="27" t="str">
        <f t="shared" si="41"/>
        <v>Midstate Electric Coop, Inc - OR</v>
      </c>
      <c r="B118" s="11" t="s">
        <v>85</v>
      </c>
      <c r="C118" s="11" t="s">
        <v>22</v>
      </c>
      <c r="D118" s="12">
        <f>VLOOKUP($A118,'EIA Soure Data'!$A$5:$X$156,'EIA Soure Data'!F$1,0)</f>
        <v>236945</v>
      </c>
      <c r="E118" s="12">
        <f>VLOOKUP($A118,'EIA Soure Data'!$A$5:$X$156,'EIA Soure Data'!J$1,0)</f>
        <v>107905</v>
      </c>
      <c r="F118" s="12">
        <f>VLOOKUP($A118,'EIA Soure Data'!$A$5:$X$156,'EIA Soure Data'!N$1,0)</f>
        <v>24629</v>
      </c>
      <c r="G118" s="12">
        <f>VLOOKUP($A118,'EIA Soure Data'!$A$5:$X$156,'EIA Soure Data'!V$1,0)</f>
        <v>369479</v>
      </c>
      <c r="H118" s="13">
        <f t="shared" si="39"/>
        <v>2.3829708496800827E-3</v>
      </c>
      <c r="I118" s="14">
        <f t="shared" si="43"/>
        <v>0.47659416993601655</v>
      </c>
      <c r="J118" s="14">
        <f t="shared" si="43"/>
        <v>0.52425358692961821</v>
      </c>
      <c r="K118" s="14">
        <f t="shared" si="43"/>
        <v>0.57191300392321986</v>
      </c>
      <c r="L118" s="14">
        <f t="shared" si="43"/>
        <v>0.61957242091682152</v>
      </c>
      <c r="M118" s="14">
        <f t="shared" si="43"/>
        <v>0.66723183791042318</v>
      </c>
      <c r="N118" s="14">
        <f t="shared" si="43"/>
        <v>0.69106154640722395</v>
      </c>
      <c r="O118" s="14">
        <f t="shared" si="43"/>
        <v>0.76255067189762649</v>
      </c>
      <c r="P118" s="14">
        <f t="shared" si="43"/>
        <v>0.81021008889122814</v>
      </c>
      <c r="Q118" s="14">
        <f t="shared" si="43"/>
        <v>0.83403979738802891</v>
      </c>
      <c r="R118" s="14">
        <f t="shared" si="38"/>
        <v>0.8578695058848298</v>
      </c>
      <c r="S118" s="14">
        <f t="shared" si="44"/>
        <v>0.86978436013323013</v>
      </c>
      <c r="T118" s="14">
        <f t="shared" si="44"/>
        <v>0.86978436013323013</v>
      </c>
      <c r="U118" s="14">
        <f t="shared" si="44"/>
        <v>0.86978436013323013</v>
      </c>
      <c r="V118" s="14">
        <f t="shared" si="44"/>
        <v>0.8578695058848298</v>
      </c>
      <c r="W118" s="14">
        <f t="shared" si="44"/>
        <v>0.7387209634008256</v>
      </c>
      <c r="X118" s="14">
        <f t="shared" si="44"/>
        <v>0.66723183791042318</v>
      </c>
      <c r="Y118" s="14">
        <f t="shared" si="44"/>
        <v>0.59574271242002064</v>
      </c>
      <c r="Z118" s="14">
        <f t="shared" si="44"/>
        <v>0.57191300392321986</v>
      </c>
      <c r="AA118" s="14">
        <f t="shared" si="44"/>
        <v>0.54808329542641898</v>
      </c>
      <c r="AB118" s="14">
        <f t="shared" si="44"/>
        <v>0.52425358692961821</v>
      </c>
      <c r="AC118" s="14">
        <f t="shared" si="40"/>
        <v>13.928464616380083</v>
      </c>
    </row>
    <row r="119" spans="1:29" hidden="1" x14ac:dyDescent="0.2">
      <c r="A119" s="27" t="str">
        <f t="shared" si="41"/>
        <v>Mission Valley Power - MT</v>
      </c>
      <c r="B119" s="11" t="s">
        <v>133</v>
      </c>
      <c r="C119" s="11" t="s">
        <v>56</v>
      </c>
      <c r="D119" s="12">
        <f>VLOOKUP($A119,'EIA Soure Data'!$A$5:$X$156,'EIA Soure Data'!F$1,0)</f>
        <v>223906</v>
      </c>
      <c r="E119" s="12">
        <f>VLOOKUP($A119,'EIA Soure Data'!$A$5:$X$156,'EIA Soure Data'!J$1,0)</f>
        <v>107526</v>
      </c>
      <c r="F119" s="12">
        <f>VLOOKUP($A119,'EIA Soure Data'!$A$5:$X$156,'EIA Soure Data'!N$1,0)</f>
        <v>620</v>
      </c>
      <c r="G119" s="12">
        <f>VLOOKUP($A119,'EIA Soure Data'!$A$5:$X$156,'EIA Soure Data'!V$1,0)</f>
        <v>332052</v>
      </c>
      <c r="H119" s="13">
        <f t="shared" si="39"/>
        <v>2.1415837884642182E-3</v>
      </c>
      <c r="I119" s="14">
        <f t="shared" si="43"/>
        <v>0.42831675769284366</v>
      </c>
      <c r="J119" s="14">
        <f t="shared" si="43"/>
        <v>0.47114843346212804</v>
      </c>
      <c r="K119" s="14">
        <f t="shared" si="43"/>
        <v>0.51398010923141235</v>
      </c>
      <c r="L119" s="14">
        <f t="shared" si="43"/>
        <v>0.55681178500069672</v>
      </c>
      <c r="M119" s="14">
        <f t="shared" si="43"/>
        <v>0.5996434607699811</v>
      </c>
      <c r="N119" s="14">
        <f t="shared" si="43"/>
        <v>0.62105929865462328</v>
      </c>
      <c r="O119" s="14">
        <f t="shared" si="43"/>
        <v>0.68530681230854984</v>
      </c>
      <c r="P119" s="14">
        <f t="shared" si="43"/>
        <v>0.72813848807783421</v>
      </c>
      <c r="Q119" s="14">
        <f t="shared" si="43"/>
        <v>0.7495543259624764</v>
      </c>
      <c r="R119" s="14">
        <f t="shared" si="38"/>
        <v>0.77097016384711858</v>
      </c>
      <c r="S119" s="14">
        <f t="shared" si="44"/>
        <v>0.78167808278943962</v>
      </c>
      <c r="T119" s="14">
        <f t="shared" si="44"/>
        <v>0.78167808278943962</v>
      </c>
      <c r="U119" s="14">
        <f t="shared" si="44"/>
        <v>0.78167808278943962</v>
      </c>
      <c r="V119" s="14">
        <f t="shared" si="44"/>
        <v>0.77097016384711858</v>
      </c>
      <c r="W119" s="14">
        <f t="shared" si="44"/>
        <v>0.66389097442390765</v>
      </c>
      <c r="X119" s="14">
        <f t="shared" si="44"/>
        <v>0.5996434607699811</v>
      </c>
      <c r="Y119" s="14">
        <f t="shared" si="44"/>
        <v>0.53539594711605454</v>
      </c>
      <c r="Z119" s="14">
        <f t="shared" si="44"/>
        <v>0.51398010923141235</v>
      </c>
      <c r="AA119" s="14">
        <f t="shared" si="44"/>
        <v>0.49256427134677022</v>
      </c>
      <c r="AB119" s="14">
        <f t="shared" si="44"/>
        <v>0.47114843346212804</v>
      </c>
      <c r="AC119" s="14">
        <f t="shared" si="40"/>
        <v>12.517557243573355</v>
      </c>
    </row>
    <row r="120" spans="1:29" hidden="1" x14ac:dyDescent="0.2">
      <c r="A120" s="27" t="str">
        <f t="shared" si="41"/>
        <v>Missoula Electric Coop, Inc - ID</v>
      </c>
      <c r="B120" s="11" t="s">
        <v>89</v>
      </c>
      <c r="C120" s="11" t="s">
        <v>19</v>
      </c>
      <c r="D120" s="12">
        <f>VLOOKUP($A120,'EIA Soure Data'!$A$5:$X$156,'EIA Soure Data'!F$1,0)</f>
        <v>424</v>
      </c>
      <c r="E120" s="12">
        <f>VLOOKUP($A120,'EIA Soure Data'!$A$5:$X$156,'EIA Soure Data'!J$1,0)</f>
        <v>857</v>
      </c>
      <c r="F120" s="12">
        <f>VLOOKUP($A120,'EIA Soure Data'!$A$5:$X$156,'EIA Soure Data'!N$1,0)</f>
        <v>0</v>
      </c>
      <c r="G120" s="12">
        <f>VLOOKUP($A120,'EIA Soure Data'!$A$5:$X$156,'EIA Soure Data'!V$1,0)</f>
        <v>1281</v>
      </c>
      <c r="H120" s="13">
        <f t="shared" si="39"/>
        <v>8.2618651085452382E-6</v>
      </c>
      <c r="I120" s="14">
        <f t="shared" si="43"/>
        <v>1.6523730217090477E-3</v>
      </c>
      <c r="J120" s="14">
        <f t="shared" si="43"/>
        <v>1.8176103238799525E-3</v>
      </c>
      <c r="K120" s="14">
        <f t="shared" si="43"/>
        <v>1.9828476260508572E-3</v>
      </c>
      <c r="L120" s="14">
        <f t="shared" si="43"/>
        <v>2.1480849282217618E-3</v>
      </c>
      <c r="M120" s="14">
        <f t="shared" si="43"/>
        <v>2.3133222303926668E-3</v>
      </c>
      <c r="N120" s="14">
        <f t="shared" si="43"/>
        <v>2.3959408814781193E-3</v>
      </c>
      <c r="O120" s="14">
        <f t="shared" si="43"/>
        <v>2.6437968347344763E-3</v>
      </c>
      <c r="P120" s="14">
        <f t="shared" si="43"/>
        <v>2.8090341369053809E-3</v>
      </c>
      <c r="Q120" s="14">
        <f t="shared" si="43"/>
        <v>2.8916527879908334E-3</v>
      </c>
      <c r="R120" s="14">
        <f t="shared" si="38"/>
        <v>2.9742714390762859E-3</v>
      </c>
      <c r="S120" s="14">
        <f t="shared" si="44"/>
        <v>3.0155807646190121E-3</v>
      </c>
      <c r="T120" s="14">
        <f t="shared" si="44"/>
        <v>3.0155807646190121E-3</v>
      </c>
      <c r="U120" s="14">
        <f t="shared" si="44"/>
        <v>3.0155807646190121E-3</v>
      </c>
      <c r="V120" s="14">
        <f t="shared" si="44"/>
        <v>2.9742714390762859E-3</v>
      </c>
      <c r="W120" s="14">
        <f t="shared" si="44"/>
        <v>2.5611781836490238E-3</v>
      </c>
      <c r="X120" s="14">
        <f t="shared" si="44"/>
        <v>2.3133222303926668E-3</v>
      </c>
      <c r="Y120" s="14">
        <f t="shared" si="44"/>
        <v>2.0654662771363097E-3</v>
      </c>
      <c r="Z120" s="14">
        <f t="shared" si="44"/>
        <v>1.9828476260508572E-3</v>
      </c>
      <c r="AA120" s="14">
        <f t="shared" si="44"/>
        <v>1.9002289749654048E-3</v>
      </c>
      <c r="AB120" s="14">
        <f t="shared" si="44"/>
        <v>1.8176103238799525E-3</v>
      </c>
      <c r="AC120" s="14">
        <f t="shared" si="40"/>
        <v>4.8290601559446915E-2</v>
      </c>
    </row>
    <row r="121" spans="1:29" hidden="1" x14ac:dyDescent="0.2">
      <c r="A121" s="27" t="str">
        <f t="shared" si="41"/>
        <v>Missoula Electric Coop, Inc - MT</v>
      </c>
      <c r="B121" s="11" t="s">
        <v>89</v>
      </c>
      <c r="C121" s="11" t="s">
        <v>56</v>
      </c>
      <c r="D121" s="12">
        <f>VLOOKUP($A121,'EIA Soure Data'!$A$5:$X$156,'EIA Soure Data'!F$1,0)</f>
        <v>150512</v>
      </c>
      <c r="E121" s="12">
        <f>VLOOKUP($A121,'EIA Soure Data'!$A$5:$X$156,'EIA Soure Data'!J$1,0)</f>
        <v>39764</v>
      </c>
      <c r="F121" s="12">
        <f>VLOOKUP($A121,'EIA Soure Data'!$A$5:$X$156,'EIA Soure Data'!N$1,0)</f>
        <v>19877</v>
      </c>
      <c r="G121" s="12">
        <f>VLOOKUP($A121,'EIA Soure Data'!$A$5:$X$156,'EIA Soure Data'!V$1,0)</f>
        <v>210153</v>
      </c>
      <c r="H121" s="13">
        <f t="shared" si="39"/>
        <v>1.3553908962967271E-3</v>
      </c>
      <c r="I121" s="14">
        <f t="shared" si="43"/>
        <v>0.27107817925934541</v>
      </c>
      <c r="J121" s="14">
        <f t="shared" si="43"/>
        <v>0.29818599718527994</v>
      </c>
      <c r="K121" s="14">
        <f t="shared" si="43"/>
        <v>0.32529381511121452</v>
      </c>
      <c r="L121" s="14">
        <f t="shared" si="43"/>
        <v>0.35240163303714905</v>
      </c>
      <c r="M121" s="14">
        <f t="shared" si="43"/>
        <v>0.37950945096308358</v>
      </c>
      <c r="N121" s="14">
        <f t="shared" si="43"/>
        <v>0.39306335992605085</v>
      </c>
      <c r="O121" s="14">
        <f t="shared" si="43"/>
        <v>0.4337250868149527</v>
      </c>
      <c r="P121" s="14">
        <f t="shared" si="43"/>
        <v>0.46083290474088723</v>
      </c>
      <c r="Q121" s="14">
        <f t="shared" si="43"/>
        <v>0.47438681370385449</v>
      </c>
      <c r="R121" s="14">
        <f t="shared" si="38"/>
        <v>0.48794072266682176</v>
      </c>
      <c r="S121" s="14">
        <f t="shared" si="44"/>
        <v>0.49471767714830539</v>
      </c>
      <c r="T121" s="14">
        <f t="shared" si="44"/>
        <v>0.49471767714830539</v>
      </c>
      <c r="U121" s="14">
        <f t="shared" si="44"/>
        <v>0.49471767714830539</v>
      </c>
      <c r="V121" s="14">
        <f t="shared" si="44"/>
        <v>0.48794072266682176</v>
      </c>
      <c r="W121" s="14">
        <f t="shared" si="44"/>
        <v>0.42017117785198538</v>
      </c>
      <c r="X121" s="14">
        <f t="shared" si="44"/>
        <v>0.37950945096308358</v>
      </c>
      <c r="Y121" s="14">
        <f t="shared" si="44"/>
        <v>0.33884772407418179</v>
      </c>
      <c r="Z121" s="14">
        <f t="shared" si="44"/>
        <v>0.32529381511121452</v>
      </c>
      <c r="AA121" s="14">
        <f t="shared" si="44"/>
        <v>0.31173990614824726</v>
      </c>
      <c r="AB121" s="14">
        <f t="shared" si="44"/>
        <v>0.29818599718527994</v>
      </c>
      <c r="AC121" s="14">
        <f t="shared" si="40"/>
        <v>7.9222597888543698</v>
      </c>
    </row>
    <row r="122" spans="1:29" hidden="1" x14ac:dyDescent="0.2">
      <c r="A122" s="27" t="str">
        <f t="shared" si="41"/>
        <v>Modern Electric Water Company - WA</v>
      </c>
      <c r="B122" s="11" t="s">
        <v>90</v>
      </c>
      <c r="C122" s="11" t="s">
        <v>14</v>
      </c>
      <c r="D122" s="12">
        <f>VLOOKUP($A122,'EIA Soure Data'!$A$5:$X$156,'EIA Soure Data'!F$1,0)</f>
        <v>96015</v>
      </c>
      <c r="E122" s="12">
        <f>VLOOKUP($A122,'EIA Soure Data'!$A$5:$X$156,'EIA Soure Data'!J$1,0)</f>
        <v>114473</v>
      </c>
      <c r="F122" s="12">
        <f>VLOOKUP($A122,'EIA Soure Data'!$A$5:$X$156,'EIA Soure Data'!N$1,0)</f>
        <v>0</v>
      </c>
      <c r="G122" s="12">
        <f>VLOOKUP($A122,'EIA Soure Data'!$A$5:$X$156,'EIA Soure Data'!V$1,0)</f>
        <v>210488</v>
      </c>
      <c r="H122" s="13">
        <f t="shared" si="39"/>
        <v>1.3575514933391647E-3</v>
      </c>
      <c r="I122" s="14">
        <f t="shared" ref="I122:Q130" si="45">$H122*I$33</f>
        <v>0.27151029866783294</v>
      </c>
      <c r="J122" s="14">
        <f t="shared" si="45"/>
        <v>0.29866132853461624</v>
      </c>
      <c r="K122" s="14">
        <f t="shared" si="45"/>
        <v>0.32581235840139955</v>
      </c>
      <c r="L122" s="14">
        <f t="shared" si="45"/>
        <v>0.3529633882681828</v>
      </c>
      <c r="M122" s="14">
        <f t="shared" si="45"/>
        <v>0.3801144181349661</v>
      </c>
      <c r="N122" s="14">
        <f t="shared" si="45"/>
        <v>0.39368993306835776</v>
      </c>
      <c r="O122" s="14">
        <f t="shared" si="45"/>
        <v>0.43441647786853271</v>
      </c>
      <c r="P122" s="14">
        <f t="shared" si="45"/>
        <v>0.46156750773531602</v>
      </c>
      <c r="Q122" s="14">
        <f t="shared" si="45"/>
        <v>0.47514302266870762</v>
      </c>
      <c r="R122" s="14">
        <f t="shared" si="38"/>
        <v>0.48871853760209927</v>
      </c>
      <c r="S122" s="14">
        <f t="shared" si="44"/>
        <v>0.49550629506879512</v>
      </c>
      <c r="T122" s="14">
        <f t="shared" si="44"/>
        <v>0.49550629506879512</v>
      </c>
      <c r="U122" s="14">
        <f t="shared" si="44"/>
        <v>0.49550629506879512</v>
      </c>
      <c r="V122" s="14">
        <f t="shared" si="44"/>
        <v>0.48871853760209927</v>
      </c>
      <c r="W122" s="14">
        <f t="shared" si="44"/>
        <v>0.42084096293514106</v>
      </c>
      <c r="X122" s="14">
        <f t="shared" si="44"/>
        <v>0.3801144181349661</v>
      </c>
      <c r="Y122" s="14">
        <f t="shared" si="44"/>
        <v>0.33938787333479115</v>
      </c>
      <c r="Z122" s="14">
        <f t="shared" si="44"/>
        <v>0.32581235840139955</v>
      </c>
      <c r="AA122" s="14">
        <f t="shared" si="44"/>
        <v>0.3122368434680079</v>
      </c>
      <c r="AB122" s="14">
        <f t="shared" si="44"/>
        <v>0.29866132853461624</v>
      </c>
      <c r="AC122" s="14">
        <f t="shared" si="40"/>
        <v>7.9348884785674176</v>
      </c>
    </row>
    <row r="123" spans="1:29" hidden="1" x14ac:dyDescent="0.2">
      <c r="A123" s="27" t="str">
        <f t="shared" si="41"/>
        <v>Nespelem Valley Elec Coop, Inc - WA</v>
      </c>
      <c r="B123" s="11" t="s">
        <v>93</v>
      </c>
      <c r="C123" s="11" t="s">
        <v>14</v>
      </c>
      <c r="D123" s="12">
        <f>VLOOKUP($A123,'EIA Soure Data'!$A$5:$X$156,'EIA Soure Data'!F$1,0)</f>
        <v>18586</v>
      </c>
      <c r="E123" s="12">
        <f>VLOOKUP($A123,'EIA Soure Data'!$A$5:$X$156,'EIA Soure Data'!J$1,0)</f>
        <v>13022</v>
      </c>
      <c r="F123" s="12">
        <f>VLOOKUP($A123,'EIA Soure Data'!$A$5:$X$156,'EIA Soure Data'!N$1,0)</f>
        <v>11569</v>
      </c>
      <c r="G123" s="12">
        <f>VLOOKUP($A123,'EIA Soure Data'!$A$5:$X$156,'EIA Soure Data'!V$1,0)</f>
        <v>43177</v>
      </c>
      <c r="H123" s="13">
        <f t="shared" si="39"/>
        <v>2.7847193582486944E-4</v>
      </c>
      <c r="I123" s="14">
        <f t="shared" si="45"/>
        <v>5.5694387164973887E-2</v>
      </c>
      <c r="J123" s="14">
        <f t="shared" si="45"/>
        <v>6.1263825881471279E-2</v>
      </c>
      <c r="K123" s="14">
        <f t="shared" si="45"/>
        <v>6.6833264597968664E-2</v>
      </c>
      <c r="L123" s="14">
        <f t="shared" si="45"/>
        <v>7.2402703314466049E-2</v>
      </c>
      <c r="M123" s="14">
        <f t="shared" si="45"/>
        <v>7.7972142030963448E-2</v>
      </c>
      <c r="N123" s="14">
        <f t="shared" si="45"/>
        <v>8.0756861389212134E-2</v>
      </c>
      <c r="O123" s="14">
        <f t="shared" si="45"/>
        <v>8.9111019463958219E-2</v>
      </c>
      <c r="P123" s="14">
        <f t="shared" si="45"/>
        <v>9.4680458180455618E-2</v>
      </c>
      <c r="Q123" s="14">
        <f t="shared" si="45"/>
        <v>9.7465177538704303E-2</v>
      </c>
      <c r="R123" s="14">
        <f t="shared" si="38"/>
        <v>0.100249896896953</v>
      </c>
      <c r="S123" s="14">
        <f t="shared" si="44"/>
        <v>0.10164225657607735</v>
      </c>
      <c r="T123" s="14">
        <f t="shared" si="44"/>
        <v>0.10164225657607735</v>
      </c>
      <c r="U123" s="14">
        <f t="shared" si="44"/>
        <v>0.10164225657607735</v>
      </c>
      <c r="V123" s="14">
        <f t="shared" si="44"/>
        <v>0.100249896896953</v>
      </c>
      <c r="W123" s="14">
        <f t="shared" si="44"/>
        <v>8.6326300105709533E-2</v>
      </c>
      <c r="X123" s="14">
        <f t="shared" si="44"/>
        <v>7.7972142030963448E-2</v>
      </c>
      <c r="Y123" s="14">
        <f t="shared" si="44"/>
        <v>6.9617983956217364E-2</v>
      </c>
      <c r="Z123" s="14">
        <f t="shared" si="44"/>
        <v>6.6833264597968664E-2</v>
      </c>
      <c r="AA123" s="14">
        <f t="shared" si="44"/>
        <v>6.4048545239719978E-2</v>
      </c>
      <c r="AB123" s="14">
        <f t="shared" si="44"/>
        <v>6.1263825881471279E-2</v>
      </c>
      <c r="AC123" s="14">
        <f t="shared" si="40"/>
        <v>1.627668464896362</v>
      </c>
    </row>
    <row r="124" spans="1:29" hidden="1" x14ac:dyDescent="0.2">
      <c r="A124" s="27" t="str">
        <f t="shared" si="41"/>
        <v>Northern Lights, Inc - ID</v>
      </c>
      <c r="B124" s="11" t="s">
        <v>94</v>
      </c>
      <c r="C124" s="11" t="s">
        <v>19</v>
      </c>
      <c r="D124" s="12">
        <f>VLOOKUP($A124,'EIA Soure Data'!$A$5:$X$156,'EIA Soure Data'!F$1,0)</f>
        <v>166681</v>
      </c>
      <c r="E124" s="12">
        <f>VLOOKUP($A124,'EIA Soure Data'!$A$5:$X$156,'EIA Soure Data'!J$1,0)</f>
        <v>32043</v>
      </c>
      <c r="F124" s="12">
        <f>VLOOKUP($A124,'EIA Soure Data'!$A$5:$X$156,'EIA Soure Data'!N$1,0)</f>
        <v>13924</v>
      </c>
      <c r="G124" s="12">
        <f>VLOOKUP($A124,'EIA Soure Data'!$A$5:$X$156,'EIA Soure Data'!V$1,0)</f>
        <v>212648</v>
      </c>
      <c r="H124" s="13">
        <f t="shared" si="39"/>
        <v>1.37148250710533E-3</v>
      </c>
      <c r="I124" s="14">
        <f t="shared" si="45"/>
        <v>0.27429650142106599</v>
      </c>
      <c r="J124" s="14">
        <f t="shared" si="45"/>
        <v>0.30172615156317262</v>
      </c>
      <c r="K124" s="14">
        <f t="shared" si="45"/>
        <v>0.32915580170527919</v>
      </c>
      <c r="L124" s="14">
        <f t="shared" si="45"/>
        <v>0.35658545184738577</v>
      </c>
      <c r="M124" s="14">
        <f t="shared" si="45"/>
        <v>0.3840151019894924</v>
      </c>
      <c r="N124" s="14">
        <f t="shared" si="45"/>
        <v>0.39772992706054572</v>
      </c>
      <c r="O124" s="14">
        <f t="shared" si="45"/>
        <v>0.43887440227370561</v>
      </c>
      <c r="P124" s="14">
        <f t="shared" si="45"/>
        <v>0.46630405241581219</v>
      </c>
      <c r="Q124" s="14">
        <f t="shared" si="45"/>
        <v>0.4800188774868655</v>
      </c>
      <c r="R124" s="14">
        <f t="shared" si="38"/>
        <v>0.49373370255791882</v>
      </c>
      <c r="S124" s="14">
        <f t="shared" si="44"/>
        <v>0.50059111509344545</v>
      </c>
      <c r="T124" s="14">
        <f t="shared" si="44"/>
        <v>0.50059111509344545</v>
      </c>
      <c r="U124" s="14">
        <f t="shared" si="44"/>
        <v>0.50059111509344545</v>
      </c>
      <c r="V124" s="14">
        <f t="shared" si="44"/>
        <v>0.49373370255791882</v>
      </c>
      <c r="W124" s="14">
        <f t="shared" si="44"/>
        <v>0.42515957720265229</v>
      </c>
      <c r="X124" s="14">
        <f t="shared" si="44"/>
        <v>0.3840151019894924</v>
      </c>
      <c r="Y124" s="14">
        <f t="shared" si="44"/>
        <v>0.34287062677633251</v>
      </c>
      <c r="Z124" s="14">
        <f t="shared" si="44"/>
        <v>0.32915580170527919</v>
      </c>
      <c r="AA124" s="14">
        <f t="shared" si="44"/>
        <v>0.31544097663422588</v>
      </c>
      <c r="AB124" s="14">
        <f t="shared" si="44"/>
        <v>0.30172615156317262</v>
      </c>
      <c r="AC124" s="14">
        <f t="shared" si="40"/>
        <v>8.016315254030653</v>
      </c>
    </row>
    <row r="125" spans="1:29" hidden="1" x14ac:dyDescent="0.2">
      <c r="A125" s="27" t="str">
        <f t="shared" si="41"/>
        <v>Northern Lights, Inc - MT</v>
      </c>
      <c r="B125" s="11" t="s">
        <v>94</v>
      </c>
      <c r="C125" s="11" t="s">
        <v>56</v>
      </c>
      <c r="D125" s="12">
        <f>VLOOKUP($A125,'EIA Soure Data'!$A$5:$X$156,'EIA Soure Data'!F$1,0)</f>
        <v>41167</v>
      </c>
      <c r="E125" s="12">
        <f>VLOOKUP($A125,'EIA Soure Data'!$A$5:$X$156,'EIA Soure Data'!J$1,0)</f>
        <v>7346</v>
      </c>
      <c r="F125" s="12">
        <f>VLOOKUP($A125,'EIA Soure Data'!$A$5:$X$156,'EIA Soure Data'!N$1,0)</f>
        <v>48034</v>
      </c>
      <c r="G125" s="12">
        <f>VLOOKUP($A125,'EIA Soure Data'!$A$5:$X$156,'EIA Soure Data'!V$1,0)</f>
        <v>96547</v>
      </c>
      <c r="H125" s="13">
        <f t="shared" si="39"/>
        <v>6.2268406763053635E-4</v>
      </c>
      <c r="I125" s="14">
        <f t="shared" si="45"/>
        <v>0.12453681352610727</v>
      </c>
      <c r="J125" s="14">
        <f t="shared" si="45"/>
        <v>0.13699049487871801</v>
      </c>
      <c r="K125" s="14">
        <f t="shared" si="45"/>
        <v>0.14944417623132872</v>
      </c>
      <c r="L125" s="14">
        <f t="shared" si="45"/>
        <v>0.16189785758393946</v>
      </c>
      <c r="M125" s="14">
        <f t="shared" si="45"/>
        <v>0.17435153893655017</v>
      </c>
      <c r="N125" s="14">
        <f t="shared" si="45"/>
        <v>0.18057837961285553</v>
      </c>
      <c r="O125" s="14">
        <f t="shared" si="45"/>
        <v>0.19925890164177162</v>
      </c>
      <c r="P125" s="14">
        <f t="shared" si="45"/>
        <v>0.21171258299438236</v>
      </c>
      <c r="Q125" s="14">
        <f t="shared" si="45"/>
        <v>0.21793942367068772</v>
      </c>
      <c r="R125" s="14">
        <f t="shared" si="38"/>
        <v>0.22416626434699308</v>
      </c>
      <c r="S125" s="14">
        <f t="shared" si="44"/>
        <v>0.22727968468514576</v>
      </c>
      <c r="T125" s="14">
        <f t="shared" si="44"/>
        <v>0.22727968468514576</v>
      </c>
      <c r="U125" s="14">
        <f t="shared" si="44"/>
        <v>0.22727968468514576</v>
      </c>
      <c r="V125" s="14">
        <f t="shared" si="44"/>
        <v>0.22416626434699308</v>
      </c>
      <c r="W125" s="14">
        <f t="shared" si="44"/>
        <v>0.19303206096546627</v>
      </c>
      <c r="X125" s="14">
        <f t="shared" si="44"/>
        <v>0.17435153893655017</v>
      </c>
      <c r="Y125" s="14">
        <f t="shared" si="44"/>
        <v>0.15567101690763407</v>
      </c>
      <c r="Z125" s="14">
        <f t="shared" si="44"/>
        <v>0.14944417623132872</v>
      </c>
      <c r="AA125" s="14">
        <f t="shared" si="44"/>
        <v>0.14321733555502336</v>
      </c>
      <c r="AB125" s="14">
        <f t="shared" si="44"/>
        <v>0.13699049487871801</v>
      </c>
      <c r="AC125" s="14">
        <f t="shared" si="40"/>
        <v>3.6395883753004847</v>
      </c>
    </row>
    <row r="126" spans="1:29" hidden="1" x14ac:dyDescent="0.2">
      <c r="A126" s="27" t="str">
        <f t="shared" si="41"/>
        <v>Northern Lights, Inc - WA</v>
      </c>
      <c r="B126" s="11" t="s">
        <v>94</v>
      </c>
      <c r="C126" s="11" t="s">
        <v>14</v>
      </c>
      <c r="D126" s="12">
        <f>VLOOKUP($A126,'EIA Soure Data'!$A$5:$X$156,'EIA Soure Data'!F$1,0)</f>
        <v>112</v>
      </c>
      <c r="E126" s="12">
        <f>VLOOKUP($A126,'EIA Soure Data'!$A$5:$X$156,'EIA Soure Data'!J$1,0)</f>
        <v>0</v>
      </c>
      <c r="F126" s="12">
        <f>VLOOKUP($A126,'EIA Soure Data'!$A$5:$X$156,'EIA Soure Data'!N$1,0)</f>
        <v>0</v>
      </c>
      <c r="G126" s="12">
        <f>VLOOKUP($A126,'EIA Soure Data'!$A$5:$X$156,'EIA Soure Data'!V$1,0)</f>
        <v>112</v>
      </c>
      <c r="H126" s="13">
        <f t="shared" si="39"/>
        <v>7.2234886194931043E-7</v>
      </c>
      <c r="I126" s="14">
        <f t="shared" si="45"/>
        <v>1.4446977238986207E-4</v>
      </c>
      <c r="J126" s="14">
        <f t="shared" si="45"/>
        <v>1.589167496288483E-4</v>
      </c>
      <c r="K126" s="14">
        <f t="shared" si="45"/>
        <v>1.733637268678345E-4</v>
      </c>
      <c r="L126" s="14">
        <f t="shared" si="45"/>
        <v>1.8781070410682071E-4</v>
      </c>
      <c r="M126" s="14">
        <f t="shared" si="45"/>
        <v>2.0225768134580693E-4</v>
      </c>
      <c r="N126" s="14">
        <f t="shared" si="45"/>
        <v>2.0948116996530002E-4</v>
      </c>
      <c r="O126" s="14">
        <f t="shared" si="45"/>
        <v>2.3115163582377934E-4</v>
      </c>
      <c r="P126" s="14">
        <f t="shared" si="45"/>
        <v>2.4559861306276557E-4</v>
      </c>
      <c r="Q126" s="14">
        <f t="shared" si="45"/>
        <v>2.5282210168225863E-4</v>
      </c>
      <c r="R126" s="14">
        <f t="shared" si="38"/>
        <v>2.6004559030175174E-4</v>
      </c>
      <c r="S126" s="14">
        <f t="shared" si="44"/>
        <v>2.6365733461149833E-4</v>
      </c>
      <c r="T126" s="14">
        <f t="shared" si="44"/>
        <v>2.6365733461149833E-4</v>
      </c>
      <c r="U126" s="14">
        <f t="shared" si="44"/>
        <v>2.6365733461149833E-4</v>
      </c>
      <c r="V126" s="14">
        <f t="shared" si="44"/>
        <v>2.6004559030175174E-4</v>
      </c>
      <c r="W126" s="14">
        <f t="shared" si="44"/>
        <v>2.2392814720428622E-4</v>
      </c>
      <c r="X126" s="14">
        <f t="shared" si="44"/>
        <v>2.0225768134580693E-4</v>
      </c>
      <c r="Y126" s="14">
        <f t="shared" si="44"/>
        <v>1.8058721548732762E-4</v>
      </c>
      <c r="Z126" s="14">
        <f t="shared" si="44"/>
        <v>1.733637268678345E-4</v>
      </c>
      <c r="AA126" s="14">
        <f t="shared" si="44"/>
        <v>1.6614023824834139E-4</v>
      </c>
      <c r="AB126" s="14">
        <f t="shared" si="44"/>
        <v>1.589167496288483E-4</v>
      </c>
      <c r="AC126" s="14">
        <f t="shared" si="40"/>
        <v>4.2221290980937196E-3</v>
      </c>
    </row>
    <row r="127" spans="1:29" hidden="1" x14ac:dyDescent="0.2">
      <c r="A127" s="27" t="str">
        <f t="shared" si="41"/>
        <v>Northern Wasco County PUD - OR</v>
      </c>
      <c r="B127" s="11" t="s">
        <v>95</v>
      </c>
      <c r="C127" s="11" t="s">
        <v>22</v>
      </c>
      <c r="D127" s="12">
        <f>VLOOKUP($A127,'EIA Soure Data'!$A$5:$X$156,'EIA Soure Data'!F$1,0)</f>
        <v>139818</v>
      </c>
      <c r="E127" s="12">
        <f>VLOOKUP($A127,'EIA Soure Data'!$A$5:$X$156,'EIA Soure Data'!J$1,0)</f>
        <v>16931</v>
      </c>
      <c r="F127" s="12">
        <f>VLOOKUP($A127,'EIA Soure Data'!$A$5:$X$156,'EIA Soure Data'!N$1,0)</f>
        <v>423189</v>
      </c>
      <c r="G127" s="12">
        <f>VLOOKUP($A127,'EIA Soure Data'!$A$5:$X$156,'EIA Soure Data'!V$1,0)</f>
        <v>579938</v>
      </c>
      <c r="H127" s="13">
        <f t="shared" si="39"/>
        <v>3.74033530626035E-3</v>
      </c>
      <c r="I127" s="14">
        <f t="shared" si="45"/>
        <v>0.74806706125207001</v>
      </c>
      <c r="J127" s="14">
        <f t="shared" si="45"/>
        <v>0.82287376737727702</v>
      </c>
      <c r="K127" s="14">
        <f t="shared" si="45"/>
        <v>0.89768047350248403</v>
      </c>
      <c r="L127" s="14">
        <f t="shared" si="45"/>
        <v>0.97248717962769105</v>
      </c>
      <c r="M127" s="14">
        <f t="shared" si="45"/>
        <v>1.0472938857528979</v>
      </c>
      <c r="N127" s="14">
        <f t="shared" si="45"/>
        <v>1.0846972388155014</v>
      </c>
      <c r="O127" s="14">
        <f t="shared" si="45"/>
        <v>1.196907298003312</v>
      </c>
      <c r="P127" s="14">
        <f t="shared" si="45"/>
        <v>1.2717140041285191</v>
      </c>
      <c r="Q127" s="14">
        <f t="shared" si="45"/>
        <v>1.3091173571911225</v>
      </c>
      <c r="R127" s="14">
        <f t="shared" si="38"/>
        <v>1.346520710253726</v>
      </c>
      <c r="S127" s="14">
        <f t="shared" si="44"/>
        <v>1.3652223867850277</v>
      </c>
      <c r="T127" s="14">
        <f t="shared" si="44"/>
        <v>1.3652223867850277</v>
      </c>
      <c r="U127" s="14">
        <f t="shared" si="44"/>
        <v>1.3652223867850277</v>
      </c>
      <c r="V127" s="14">
        <f t="shared" si="44"/>
        <v>1.346520710253726</v>
      </c>
      <c r="W127" s="14">
        <f t="shared" si="44"/>
        <v>1.1595039449407085</v>
      </c>
      <c r="X127" s="14">
        <f t="shared" si="44"/>
        <v>1.0472938857528979</v>
      </c>
      <c r="Y127" s="14">
        <f t="shared" si="44"/>
        <v>0.93508382656508748</v>
      </c>
      <c r="Z127" s="14">
        <f t="shared" si="44"/>
        <v>0.89768047350248403</v>
      </c>
      <c r="AA127" s="14">
        <f t="shared" si="44"/>
        <v>0.86027712043988047</v>
      </c>
      <c r="AB127" s="14">
        <f t="shared" si="44"/>
        <v>0.82287376737727702</v>
      </c>
      <c r="AC127" s="14">
        <f t="shared" si="40"/>
        <v>21.862259865091747</v>
      </c>
    </row>
    <row r="128" spans="1:29" hidden="1" x14ac:dyDescent="0.2">
      <c r="A128" s="27" t="str">
        <f t="shared" si="41"/>
        <v>NorthWestern Energy LLC - MT</v>
      </c>
      <c r="B128" s="11" t="s">
        <v>92</v>
      </c>
      <c r="C128" s="11" t="s">
        <v>56</v>
      </c>
      <c r="D128" s="12">
        <f>E205</f>
        <v>602163.84224681719</v>
      </c>
      <c r="E128" s="12">
        <f t="shared" ref="E128:G128" si="46">F205</f>
        <v>822690.22002249304</v>
      </c>
      <c r="F128" s="12">
        <f t="shared" si="46"/>
        <v>152254.45992689178</v>
      </c>
      <c r="G128" s="12">
        <f t="shared" si="46"/>
        <v>1577108.5221962021</v>
      </c>
      <c r="H128" s="13">
        <f t="shared" si="39"/>
        <v>1.0171629876598084E-2</v>
      </c>
      <c r="I128" s="14">
        <f t="shared" si="45"/>
        <v>2.0343259753196166</v>
      </c>
      <c r="J128" s="14">
        <f t="shared" si="45"/>
        <v>2.2377585728515785</v>
      </c>
      <c r="K128" s="14">
        <f t="shared" si="45"/>
        <v>2.4411911703835401</v>
      </c>
      <c r="L128" s="14">
        <f t="shared" si="45"/>
        <v>2.6446237679155016</v>
      </c>
      <c r="M128" s="14">
        <f t="shared" si="45"/>
        <v>2.8480563654474635</v>
      </c>
      <c r="N128" s="14">
        <f t="shared" si="45"/>
        <v>2.9497726642134441</v>
      </c>
      <c r="O128" s="14">
        <f t="shared" si="45"/>
        <v>3.254921560511387</v>
      </c>
      <c r="P128" s="14">
        <f t="shared" si="45"/>
        <v>3.4583541580433486</v>
      </c>
      <c r="Q128" s="14">
        <f t="shared" si="45"/>
        <v>3.5600704568093295</v>
      </c>
      <c r="R128" s="14">
        <f t="shared" si="38"/>
        <v>3.6617867555753101</v>
      </c>
      <c r="S128" s="14">
        <f t="shared" si="44"/>
        <v>3.7126449049583008</v>
      </c>
      <c r="T128" s="14">
        <f t="shared" si="44"/>
        <v>3.7126449049583008</v>
      </c>
      <c r="U128" s="14">
        <f t="shared" si="44"/>
        <v>3.7126449049583008</v>
      </c>
      <c r="V128" s="14">
        <f t="shared" si="44"/>
        <v>3.6617867555753101</v>
      </c>
      <c r="W128" s="14">
        <f t="shared" si="44"/>
        <v>3.1532052617454061</v>
      </c>
      <c r="X128" s="14">
        <f t="shared" si="44"/>
        <v>2.8480563654474635</v>
      </c>
      <c r="Y128" s="14">
        <f t="shared" si="44"/>
        <v>2.542907469149521</v>
      </c>
      <c r="Z128" s="14">
        <f t="shared" si="44"/>
        <v>2.4411911703835401</v>
      </c>
      <c r="AA128" s="14">
        <f t="shared" si="44"/>
        <v>2.3394748716175591</v>
      </c>
      <c r="AB128" s="14">
        <f t="shared" si="44"/>
        <v>2.2377585728515785</v>
      </c>
      <c r="AC128" s="14">
        <f t="shared" si="40"/>
        <v>59.453176628715802</v>
      </c>
    </row>
    <row r="129" spans="1:29" hidden="1" x14ac:dyDescent="0.2">
      <c r="A129" s="27" t="str">
        <f t="shared" si="41"/>
        <v>Ohop Mutual Light Company, Inc - WA</v>
      </c>
      <c r="B129" s="11" t="s">
        <v>96</v>
      </c>
      <c r="C129" s="11" t="s">
        <v>14</v>
      </c>
      <c r="D129" s="12">
        <f>VLOOKUP($A129,'EIA Soure Data'!$A$5:$X$156,'EIA Soure Data'!F$1,0)</f>
        <v>75949</v>
      </c>
      <c r="E129" s="12">
        <f>VLOOKUP($A129,'EIA Soure Data'!$A$5:$X$156,'EIA Soure Data'!J$1,0)</f>
        <v>3745</v>
      </c>
      <c r="F129" s="12">
        <f>VLOOKUP($A129,'EIA Soure Data'!$A$5:$X$156,'EIA Soure Data'!N$1,0)</f>
        <v>47</v>
      </c>
      <c r="G129" s="12">
        <f>VLOOKUP($A129,'EIA Soure Data'!$A$5:$X$156,'EIA Soure Data'!V$1,0)</f>
        <v>79741</v>
      </c>
      <c r="H129" s="13">
        <f t="shared" ref="H129:H162" si="47">G129/PNWSales_Total</f>
        <v>5.1429304107767824E-4</v>
      </c>
      <c r="I129" s="14">
        <f t="shared" si="45"/>
        <v>0.10285860821553565</v>
      </c>
      <c r="J129" s="14">
        <f t="shared" si="45"/>
        <v>0.11314446903708922</v>
      </c>
      <c r="K129" s="14">
        <f t="shared" si="45"/>
        <v>0.12343032985864277</v>
      </c>
      <c r="L129" s="14">
        <f t="shared" si="45"/>
        <v>0.13371619068019633</v>
      </c>
      <c r="M129" s="14">
        <f t="shared" si="45"/>
        <v>0.14400205150174991</v>
      </c>
      <c r="N129" s="14">
        <f t="shared" si="45"/>
        <v>0.14914498191252668</v>
      </c>
      <c r="O129" s="14">
        <f t="shared" si="45"/>
        <v>0.16457377314485705</v>
      </c>
      <c r="P129" s="14">
        <f t="shared" si="45"/>
        <v>0.1748596339664106</v>
      </c>
      <c r="Q129" s="14">
        <f t="shared" si="45"/>
        <v>0.1800025643771874</v>
      </c>
      <c r="R129" s="14">
        <f t="shared" si="38"/>
        <v>0.18514549478796416</v>
      </c>
      <c r="S129" s="14">
        <f t="shared" si="44"/>
        <v>0.18771695999335256</v>
      </c>
      <c r="T129" s="14">
        <f t="shared" si="44"/>
        <v>0.18771695999335256</v>
      </c>
      <c r="U129" s="14">
        <f t="shared" si="44"/>
        <v>0.18771695999335256</v>
      </c>
      <c r="V129" s="14">
        <f t="shared" si="44"/>
        <v>0.18514549478796416</v>
      </c>
      <c r="W129" s="14">
        <f t="shared" si="44"/>
        <v>0.15943084273408026</v>
      </c>
      <c r="X129" s="14">
        <f t="shared" si="44"/>
        <v>0.14400205150174991</v>
      </c>
      <c r="Y129" s="14">
        <f t="shared" si="44"/>
        <v>0.12857326026941956</v>
      </c>
      <c r="Z129" s="14">
        <f t="shared" si="44"/>
        <v>0.12343032985864277</v>
      </c>
      <c r="AA129" s="14">
        <f t="shared" si="44"/>
        <v>0.118287399447866</v>
      </c>
      <c r="AB129" s="14">
        <f t="shared" si="44"/>
        <v>0.11314446903708922</v>
      </c>
      <c r="AC129" s="14">
        <f t="shared" ref="AC129:AC163" si="48">$H129*AC$33</f>
        <v>3.0060428250990294</v>
      </c>
    </row>
    <row r="130" spans="1:29" hidden="1" x14ac:dyDescent="0.2">
      <c r="A130" s="27" t="str">
        <f t="shared" ref="A130:A161" si="49">B130&amp;" - "&amp;C130</f>
        <v>Okanogan County Elec Coop, Inc - WA</v>
      </c>
      <c r="B130" s="11" t="s">
        <v>98</v>
      </c>
      <c r="C130" s="11" t="s">
        <v>14</v>
      </c>
      <c r="D130" s="12">
        <f>VLOOKUP($A130,'EIA Soure Data'!$A$5:$X$156,'EIA Soure Data'!F$1,0)</f>
        <v>34578</v>
      </c>
      <c r="E130" s="12">
        <f>VLOOKUP($A130,'EIA Soure Data'!$A$5:$X$156,'EIA Soure Data'!J$1,0)</f>
        <v>16808</v>
      </c>
      <c r="F130" s="12">
        <f>VLOOKUP($A130,'EIA Soure Data'!$A$5:$X$156,'EIA Soure Data'!N$1,0)</f>
        <v>0</v>
      </c>
      <c r="G130" s="12">
        <f>VLOOKUP($A130,'EIA Soure Data'!$A$5:$X$156,'EIA Soure Data'!V$1,0)</f>
        <v>51386</v>
      </c>
      <c r="H130" s="13">
        <f t="shared" si="47"/>
        <v>3.3141623767970774E-4</v>
      </c>
      <c r="I130" s="14">
        <f t="shared" si="45"/>
        <v>6.6283247535941545E-2</v>
      </c>
      <c r="J130" s="14">
        <f t="shared" si="45"/>
        <v>7.2911572289535709E-2</v>
      </c>
      <c r="K130" s="14">
        <f t="shared" si="45"/>
        <v>7.9539897043129859E-2</v>
      </c>
      <c r="L130" s="14">
        <f t="shared" si="45"/>
        <v>8.6168221796724009E-2</v>
      </c>
      <c r="M130" s="14">
        <f t="shared" si="45"/>
        <v>9.2796546550318174E-2</v>
      </c>
      <c r="N130" s="14">
        <f t="shared" si="45"/>
        <v>9.6110708927115249E-2</v>
      </c>
      <c r="O130" s="14">
        <f t="shared" si="45"/>
        <v>0.10605319605750647</v>
      </c>
      <c r="P130" s="14">
        <f t="shared" si="45"/>
        <v>0.11268152081110064</v>
      </c>
      <c r="Q130" s="14">
        <f t="shared" si="45"/>
        <v>0.11599568318789771</v>
      </c>
      <c r="R130" s="14">
        <f t="shared" si="38"/>
        <v>0.11930984556469479</v>
      </c>
      <c r="S130" s="14">
        <f t="shared" si="44"/>
        <v>0.12096692675309333</v>
      </c>
      <c r="T130" s="14">
        <f t="shared" si="44"/>
        <v>0.12096692675309333</v>
      </c>
      <c r="U130" s="14">
        <f t="shared" si="44"/>
        <v>0.12096692675309333</v>
      </c>
      <c r="V130" s="14">
        <f t="shared" si="44"/>
        <v>0.11930984556469479</v>
      </c>
      <c r="W130" s="14">
        <f t="shared" si="44"/>
        <v>0.1027390336807094</v>
      </c>
      <c r="X130" s="14">
        <f t="shared" si="44"/>
        <v>9.2796546550318174E-2</v>
      </c>
      <c r="Y130" s="14">
        <f t="shared" si="44"/>
        <v>8.2854059419926934E-2</v>
      </c>
      <c r="Z130" s="14">
        <f t="shared" si="44"/>
        <v>7.9539897043129859E-2</v>
      </c>
      <c r="AA130" s="14">
        <f t="shared" si="44"/>
        <v>7.6225734666332784E-2</v>
      </c>
      <c r="AB130" s="14">
        <f t="shared" si="44"/>
        <v>7.2911572289535709E-2</v>
      </c>
      <c r="AC130" s="14">
        <f t="shared" si="48"/>
        <v>1.9371279092378917</v>
      </c>
    </row>
    <row r="131" spans="1:29" hidden="1" x14ac:dyDescent="0.2">
      <c r="A131" s="27" t="str">
        <f t="shared" si="49"/>
        <v>Orcas Power &amp; Light Coop - WA</v>
      </c>
      <c r="B131" s="11" t="s">
        <v>100</v>
      </c>
      <c r="C131" s="11" t="s">
        <v>14</v>
      </c>
      <c r="D131" s="12">
        <f>VLOOKUP($A131,'EIA Soure Data'!$A$5:$X$156,'EIA Soure Data'!F$1,0)</f>
        <v>137744</v>
      </c>
      <c r="E131" s="12">
        <f>VLOOKUP($A131,'EIA Soure Data'!$A$5:$X$156,'EIA Soure Data'!J$1,0)</f>
        <v>54315</v>
      </c>
      <c r="F131" s="12">
        <f>VLOOKUP($A131,'EIA Soure Data'!$A$5:$X$156,'EIA Soure Data'!N$1,0)</f>
        <v>0</v>
      </c>
      <c r="G131" s="12">
        <f>VLOOKUP($A131,'EIA Soure Data'!$A$5:$X$156,'EIA Soure Data'!V$1,0)</f>
        <v>192059</v>
      </c>
      <c r="H131" s="13">
        <f t="shared" si="47"/>
        <v>1.2386928578314519E-3</v>
      </c>
      <c r="I131" s="14">
        <f t="shared" ref="I131:Q143" si="50">$H131*I$33</f>
        <v>0.24773857156629039</v>
      </c>
      <c r="J131" s="14">
        <f t="shared" si="50"/>
        <v>0.27251242872291942</v>
      </c>
      <c r="K131" s="14">
        <f t="shared" si="50"/>
        <v>0.29728628587954847</v>
      </c>
      <c r="L131" s="14">
        <f t="shared" si="50"/>
        <v>0.32206014303617753</v>
      </c>
      <c r="M131" s="14">
        <f t="shared" si="50"/>
        <v>0.34683400019280652</v>
      </c>
      <c r="N131" s="14">
        <f t="shared" si="50"/>
        <v>0.35922092877112105</v>
      </c>
      <c r="O131" s="14">
        <f t="shared" si="50"/>
        <v>0.39638171450606463</v>
      </c>
      <c r="P131" s="14">
        <f t="shared" si="50"/>
        <v>0.42115557166269363</v>
      </c>
      <c r="Q131" s="14">
        <f t="shared" si="50"/>
        <v>0.43354250024100816</v>
      </c>
      <c r="R131" s="14">
        <f t="shared" si="38"/>
        <v>0.44592942881932268</v>
      </c>
      <c r="S131" s="14">
        <f t="shared" si="44"/>
        <v>0.45212289310847997</v>
      </c>
      <c r="T131" s="14">
        <f t="shared" si="44"/>
        <v>0.45212289310847997</v>
      </c>
      <c r="U131" s="14">
        <f t="shared" si="44"/>
        <v>0.45212289310847997</v>
      </c>
      <c r="V131" s="14">
        <f t="shared" si="44"/>
        <v>0.44592942881932268</v>
      </c>
      <c r="W131" s="14">
        <f t="shared" si="44"/>
        <v>0.3839947859277501</v>
      </c>
      <c r="X131" s="14">
        <f t="shared" si="44"/>
        <v>0.34683400019280652</v>
      </c>
      <c r="Y131" s="14">
        <f t="shared" si="44"/>
        <v>0.309673214457863</v>
      </c>
      <c r="Z131" s="14">
        <f t="shared" si="44"/>
        <v>0.29728628587954847</v>
      </c>
      <c r="AA131" s="14">
        <f t="shared" si="44"/>
        <v>0.28489935730123395</v>
      </c>
      <c r="AB131" s="14">
        <f t="shared" si="44"/>
        <v>0.27251242872291942</v>
      </c>
      <c r="AC131" s="14">
        <f t="shared" si="48"/>
        <v>7.2401597540248366</v>
      </c>
    </row>
    <row r="132" spans="1:29" hidden="1" x14ac:dyDescent="0.2">
      <c r="A132" s="27" t="str">
        <f t="shared" si="49"/>
        <v>Oregon Trail El Cons Coop, Inc - OR</v>
      </c>
      <c r="B132" s="11" t="s">
        <v>99</v>
      </c>
      <c r="C132" s="11" t="s">
        <v>22</v>
      </c>
      <c r="D132" s="12">
        <f>VLOOKUP($A132,'EIA Soure Data'!$A$5:$X$156,'EIA Soure Data'!F$1,0)</f>
        <v>282560</v>
      </c>
      <c r="E132" s="12">
        <f>VLOOKUP($A132,'EIA Soure Data'!$A$5:$X$156,'EIA Soure Data'!J$1,0)</f>
        <v>232027</v>
      </c>
      <c r="F132" s="12">
        <f>VLOOKUP($A132,'EIA Soure Data'!$A$5:$X$156,'EIA Soure Data'!N$1,0)</f>
        <v>99435</v>
      </c>
      <c r="G132" s="12">
        <f>VLOOKUP($A132,'EIA Soure Data'!$A$5:$X$156,'EIA Soure Data'!V$1,0)</f>
        <v>614022</v>
      </c>
      <c r="H132" s="13">
        <f t="shared" si="47"/>
        <v>3.9601615438557098E-3</v>
      </c>
      <c r="I132" s="14">
        <f t="shared" si="50"/>
        <v>0.79203230877114195</v>
      </c>
      <c r="J132" s="14">
        <f t="shared" si="50"/>
        <v>0.87123553964825617</v>
      </c>
      <c r="K132" s="14">
        <f t="shared" si="50"/>
        <v>0.9504387705253704</v>
      </c>
      <c r="L132" s="14">
        <f t="shared" si="50"/>
        <v>1.0296420014024845</v>
      </c>
      <c r="M132" s="14">
        <f t="shared" si="50"/>
        <v>1.1088452322795987</v>
      </c>
      <c r="N132" s="14">
        <f t="shared" si="50"/>
        <v>1.1484468477181557</v>
      </c>
      <c r="O132" s="14">
        <f t="shared" si="50"/>
        <v>1.2672516940338272</v>
      </c>
      <c r="P132" s="14">
        <f t="shared" si="50"/>
        <v>1.3464549249109414</v>
      </c>
      <c r="Q132" s="14">
        <f t="shared" si="50"/>
        <v>1.3860565403494984</v>
      </c>
      <c r="R132" s="14">
        <f t="shared" si="38"/>
        <v>1.4256581557880554</v>
      </c>
      <c r="S132" s="14">
        <f t="shared" si="44"/>
        <v>1.445458963507334</v>
      </c>
      <c r="T132" s="14">
        <f t="shared" si="44"/>
        <v>1.445458963507334</v>
      </c>
      <c r="U132" s="14">
        <f t="shared" si="44"/>
        <v>1.445458963507334</v>
      </c>
      <c r="V132" s="14">
        <f t="shared" si="44"/>
        <v>1.4256581557880554</v>
      </c>
      <c r="W132" s="14">
        <f t="shared" si="44"/>
        <v>1.22765007859527</v>
      </c>
      <c r="X132" s="14">
        <f t="shared" si="44"/>
        <v>1.1088452322795987</v>
      </c>
      <c r="Y132" s="14">
        <f t="shared" si="44"/>
        <v>0.99004038596392741</v>
      </c>
      <c r="Z132" s="14">
        <f t="shared" si="44"/>
        <v>0.9504387705253704</v>
      </c>
      <c r="AA132" s="14">
        <f t="shared" si="44"/>
        <v>0.91083715508681329</v>
      </c>
      <c r="AB132" s="14">
        <f t="shared" si="44"/>
        <v>0.87123553964825617</v>
      </c>
      <c r="AC132" s="14">
        <f t="shared" si="48"/>
        <v>23.147144223836623</v>
      </c>
    </row>
    <row r="133" spans="1:29" hidden="1" x14ac:dyDescent="0.2">
      <c r="A133" s="27" t="str">
        <f t="shared" si="49"/>
        <v>PacifiCorp - ID</v>
      </c>
      <c r="B133" s="11" t="s">
        <v>102</v>
      </c>
      <c r="C133" s="11" t="s">
        <v>19</v>
      </c>
      <c r="D133" s="12">
        <f>VLOOKUP($A133,'EIA Soure Data'!$A$5:$X$156,'EIA Soure Data'!F$1,0)</f>
        <v>705128</v>
      </c>
      <c r="E133" s="12">
        <f>VLOOKUP($A133,'EIA Soure Data'!$A$5:$X$156,'EIA Soure Data'!J$1,0)</f>
        <v>396715</v>
      </c>
      <c r="F133" s="12">
        <f>VLOOKUP($A133,'EIA Soure Data'!$A$5:$X$156,'EIA Soure Data'!N$1,0)</f>
        <v>2224451</v>
      </c>
      <c r="G133" s="12">
        <f>VLOOKUP($A133,'EIA Soure Data'!$A$5:$X$156,'EIA Soure Data'!V$1,0)</f>
        <v>3326294</v>
      </c>
      <c r="H133" s="13">
        <f t="shared" si="47"/>
        <v>2.1453077548293033E-2</v>
      </c>
      <c r="I133" s="14">
        <f t="shared" si="50"/>
        <v>4.2906155096586067</v>
      </c>
      <c r="J133" s="14">
        <f t="shared" si="50"/>
        <v>4.7196770606244671</v>
      </c>
      <c r="K133" s="14">
        <f t="shared" si="50"/>
        <v>5.1487386115903284</v>
      </c>
      <c r="L133" s="14">
        <f t="shared" si="50"/>
        <v>5.5778001625561888</v>
      </c>
      <c r="M133" s="14">
        <f t="shared" si="50"/>
        <v>6.0068617135220492</v>
      </c>
      <c r="N133" s="14">
        <f t="shared" si="50"/>
        <v>6.2213924890049794</v>
      </c>
      <c r="O133" s="14">
        <f t="shared" si="50"/>
        <v>6.8649848154537709</v>
      </c>
      <c r="P133" s="14">
        <f t="shared" si="50"/>
        <v>7.2940463664196313</v>
      </c>
      <c r="Q133" s="14">
        <f t="shared" si="50"/>
        <v>7.5085771419025615</v>
      </c>
      <c r="R133" s="14">
        <f t="shared" si="38"/>
        <v>7.7231079173854917</v>
      </c>
      <c r="S133" s="14">
        <f t="shared" si="44"/>
        <v>7.8303733051269573</v>
      </c>
      <c r="T133" s="14">
        <f t="shared" si="44"/>
        <v>7.8303733051269573</v>
      </c>
      <c r="U133" s="14">
        <f t="shared" si="44"/>
        <v>7.8303733051269573</v>
      </c>
      <c r="V133" s="14">
        <f t="shared" si="44"/>
        <v>7.7231079173854917</v>
      </c>
      <c r="W133" s="14">
        <f t="shared" si="44"/>
        <v>6.6504540399708407</v>
      </c>
      <c r="X133" s="14">
        <f t="shared" si="44"/>
        <v>6.0068617135220492</v>
      </c>
      <c r="Y133" s="14">
        <f t="shared" si="44"/>
        <v>5.3632693870732586</v>
      </c>
      <c r="Z133" s="14">
        <f t="shared" si="44"/>
        <v>5.1487386115903284</v>
      </c>
      <c r="AA133" s="14">
        <f t="shared" si="44"/>
        <v>4.9342078361073973</v>
      </c>
      <c r="AB133" s="14">
        <f t="shared" si="44"/>
        <v>4.7196770606244671</v>
      </c>
      <c r="AC133" s="14">
        <f t="shared" si="48"/>
        <v>125.39323826977278</v>
      </c>
    </row>
    <row r="134" spans="1:29" hidden="1" x14ac:dyDescent="0.2">
      <c r="A134" s="11" t="str">
        <f t="shared" si="49"/>
        <v>PacifiCorp - OR</v>
      </c>
      <c r="B134" s="11" t="s">
        <v>102</v>
      </c>
      <c r="C134" s="11" t="s">
        <v>22</v>
      </c>
      <c r="D134" s="12">
        <f>VLOOKUP($A134,'EIA Soure Data'!$A$5:$X$156,'EIA Soure Data'!F$1,0)</f>
        <v>5452440</v>
      </c>
      <c r="E134" s="12">
        <f>VLOOKUP($A134,'EIA Soure Data'!$A$5:$X$156,'EIA Soure Data'!J$1,0)</f>
        <v>4811165</v>
      </c>
      <c r="F134" s="12">
        <f>VLOOKUP($A134,'EIA Soure Data'!$A$5:$X$156,'EIA Soure Data'!N$1,0)</f>
        <v>2436673</v>
      </c>
      <c r="G134" s="12">
        <f>VLOOKUP($A134,'EIA Soure Data'!$A$5:$X$156,'EIA Soure Data'!V$1,0)</f>
        <v>12717172</v>
      </c>
      <c r="H134" s="13">
        <f t="shared" si="47"/>
        <v>8.2019952869764615E-2</v>
      </c>
      <c r="I134" s="14">
        <f t="shared" si="50"/>
        <v>16.403990573952925</v>
      </c>
      <c r="J134" s="14">
        <f t="shared" si="50"/>
        <v>18.044389631348213</v>
      </c>
      <c r="K134" s="14">
        <f t="shared" si="50"/>
        <v>19.684788688743506</v>
      </c>
      <c r="L134" s="14">
        <f t="shared" si="50"/>
        <v>21.325187746138798</v>
      </c>
      <c r="M134" s="14">
        <f t="shared" si="50"/>
        <v>22.965586803534091</v>
      </c>
      <c r="N134" s="14">
        <f t="shared" si="50"/>
        <v>23.785786332231737</v>
      </c>
      <c r="O134" s="14">
        <f t="shared" si="50"/>
        <v>26.246384918324676</v>
      </c>
      <c r="P134" s="14">
        <f t="shared" si="50"/>
        <v>27.886783975719968</v>
      </c>
      <c r="Q134" s="14">
        <f t="shared" si="50"/>
        <v>28.706983504417614</v>
      </c>
      <c r="R134" s="14">
        <f t="shared" si="38"/>
        <v>29.527183033115261</v>
      </c>
      <c r="S134" s="14">
        <f t="shared" si="44"/>
        <v>29.937282797464086</v>
      </c>
      <c r="T134" s="14">
        <f t="shared" si="44"/>
        <v>29.937282797464086</v>
      </c>
      <c r="U134" s="14">
        <f t="shared" si="44"/>
        <v>29.937282797464086</v>
      </c>
      <c r="V134" s="14">
        <f t="shared" si="44"/>
        <v>29.527183033115261</v>
      </c>
      <c r="W134" s="14">
        <f t="shared" si="44"/>
        <v>25.42618538962703</v>
      </c>
      <c r="X134" s="14">
        <f t="shared" si="44"/>
        <v>22.965586803534091</v>
      </c>
      <c r="Y134" s="14">
        <f t="shared" si="44"/>
        <v>20.504988217441152</v>
      </c>
      <c r="Z134" s="14">
        <f t="shared" si="44"/>
        <v>19.684788688743506</v>
      </c>
      <c r="AA134" s="14">
        <f t="shared" si="44"/>
        <v>18.86458916004586</v>
      </c>
      <c r="AB134" s="14">
        <f t="shared" si="44"/>
        <v>18.044389631348213</v>
      </c>
      <c r="AC134" s="14">
        <f t="shared" si="48"/>
        <v>479.40662452377416</v>
      </c>
    </row>
    <row r="135" spans="1:29" hidden="1" x14ac:dyDescent="0.2">
      <c r="A135" s="27" t="str">
        <f t="shared" si="49"/>
        <v>PacifiCorp - WA</v>
      </c>
      <c r="B135" s="11" t="s">
        <v>102</v>
      </c>
      <c r="C135" s="11" t="s">
        <v>14</v>
      </c>
      <c r="D135" s="12">
        <f>VLOOKUP($A135,'EIA Soure Data'!$A$5:$X$156,'EIA Soure Data'!F$1,0)</f>
        <v>1621177</v>
      </c>
      <c r="E135" s="12">
        <f>VLOOKUP($A135,'EIA Soure Data'!$A$5:$X$156,'EIA Soure Data'!J$1,0)</f>
        <v>1411549</v>
      </c>
      <c r="F135" s="12">
        <f>VLOOKUP($A135,'EIA Soure Data'!$A$5:$X$156,'EIA Soure Data'!N$1,0)</f>
        <v>951905</v>
      </c>
      <c r="G135" s="12">
        <f>VLOOKUP($A135,'EIA Soure Data'!$A$5:$X$156,'EIA Soure Data'!V$1,0)</f>
        <v>3984631</v>
      </c>
      <c r="H135" s="13">
        <f t="shared" si="47"/>
        <v>2.5699050608374491E-2</v>
      </c>
      <c r="I135" s="14">
        <f t="shared" si="50"/>
        <v>5.1398101216748984</v>
      </c>
      <c r="J135" s="14">
        <f t="shared" si="50"/>
        <v>5.6537911338423879</v>
      </c>
      <c r="K135" s="14">
        <f t="shared" si="50"/>
        <v>6.1677721460098773</v>
      </c>
      <c r="L135" s="14">
        <f t="shared" si="50"/>
        <v>6.6817531581773677</v>
      </c>
      <c r="M135" s="14">
        <f t="shared" si="50"/>
        <v>7.1957341703448572</v>
      </c>
      <c r="N135" s="14">
        <f t="shared" si="50"/>
        <v>7.4527246764286019</v>
      </c>
      <c r="O135" s="14">
        <f t="shared" si="50"/>
        <v>8.223696194679837</v>
      </c>
      <c r="P135" s="14">
        <f t="shared" si="50"/>
        <v>8.7376772068473265</v>
      </c>
      <c r="Q135" s="14">
        <f t="shared" si="50"/>
        <v>8.9946677129310721</v>
      </c>
      <c r="R135" s="14">
        <f t="shared" si="38"/>
        <v>9.251658219014816</v>
      </c>
      <c r="S135" s="14">
        <f t="shared" si="44"/>
        <v>9.3801534720566888</v>
      </c>
      <c r="T135" s="14">
        <f t="shared" si="44"/>
        <v>9.3801534720566888</v>
      </c>
      <c r="U135" s="14">
        <f t="shared" si="44"/>
        <v>9.3801534720566888</v>
      </c>
      <c r="V135" s="14">
        <f t="shared" si="44"/>
        <v>9.251658219014816</v>
      </c>
      <c r="W135" s="14">
        <f t="shared" si="44"/>
        <v>7.9667056885960923</v>
      </c>
      <c r="X135" s="14">
        <f t="shared" si="44"/>
        <v>7.1957341703448572</v>
      </c>
      <c r="Y135" s="14">
        <f t="shared" si="44"/>
        <v>6.424762652093623</v>
      </c>
      <c r="Z135" s="14">
        <f t="shared" si="44"/>
        <v>6.1677721460098773</v>
      </c>
      <c r="AA135" s="14">
        <f t="shared" si="44"/>
        <v>5.9107816399261326</v>
      </c>
      <c r="AB135" s="14">
        <f t="shared" si="44"/>
        <v>5.6537911338423879</v>
      </c>
      <c r="AC135" s="14">
        <f t="shared" si="48"/>
        <v>150.2109508059489</v>
      </c>
    </row>
    <row r="136" spans="1:29" hidden="1" x14ac:dyDescent="0.2">
      <c r="A136" s="27" t="str">
        <f t="shared" si="49"/>
        <v>Parkland Light &amp; Water Company - WA</v>
      </c>
      <c r="B136" s="11" t="s">
        <v>104</v>
      </c>
      <c r="C136" s="11" t="s">
        <v>14</v>
      </c>
      <c r="D136" s="12">
        <f>VLOOKUP($A136,'EIA Soure Data'!$A$5:$X$156,'EIA Soure Data'!F$1,0)</f>
        <v>55989</v>
      </c>
      <c r="E136" s="12">
        <f>VLOOKUP($A136,'EIA Soure Data'!$A$5:$X$156,'EIA Soure Data'!J$1,0)</f>
        <v>58062</v>
      </c>
      <c r="F136" s="12">
        <f>VLOOKUP($A136,'EIA Soure Data'!$A$5:$X$156,'EIA Soure Data'!N$1,0)</f>
        <v>0</v>
      </c>
      <c r="G136" s="12">
        <f>VLOOKUP($A136,'EIA Soure Data'!$A$5:$X$156,'EIA Soure Data'!V$1,0)</f>
        <v>114051</v>
      </c>
      <c r="H136" s="13">
        <f t="shared" si="47"/>
        <v>7.3557687548375715E-4</v>
      </c>
      <c r="I136" s="14">
        <f t="shared" si="50"/>
        <v>0.14711537509675143</v>
      </c>
      <c r="J136" s="14">
        <f t="shared" si="50"/>
        <v>0.16182691260642657</v>
      </c>
      <c r="K136" s="14">
        <f t="shared" si="50"/>
        <v>0.17653845011610172</v>
      </c>
      <c r="L136" s="14">
        <f t="shared" si="50"/>
        <v>0.19124998762577686</v>
      </c>
      <c r="M136" s="14">
        <f t="shared" si="50"/>
        <v>0.20596152513545199</v>
      </c>
      <c r="N136" s="14">
        <f t="shared" si="50"/>
        <v>0.21331729389028958</v>
      </c>
      <c r="O136" s="14">
        <f t="shared" si="50"/>
        <v>0.23538460015480228</v>
      </c>
      <c r="P136" s="14">
        <f t="shared" si="50"/>
        <v>0.25009613766447741</v>
      </c>
      <c r="Q136" s="14">
        <f t="shared" si="50"/>
        <v>0.25745190641931498</v>
      </c>
      <c r="R136" s="14">
        <f t="shared" si="38"/>
        <v>0.2648076751741526</v>
      </c>
      <c r="S136" s="14">
        <f t="shared" si="44"/>
        <v>0.26848555955157138</v>
      </c>
      <c r="T136" s="14">
        <f t="shared" si="44"/>
        <v>0.26848555955157138</v>
      </c>
      <c r="U136" s="14">
        <f t="shared" si="44"/>
        <v>0.26848555955157138</v>
      </c>
      <c r="V136" s="14">
        <f t="shared" si="44"/>
        <v>0.2648076751741526</v>
      </c>
      <c r="W136" s="14">
        <f t="shared" si="44"/>
        <v>0.22802883139996472</v>
      </c>
      <c r="X136" s="14">
        <f t="shared" si="44"/>
        <v>0.20596152513545199</v>
      </c>
      <c r="Y136" s="14">
        <f t="shared" si="44"/>
        <v>0.18389421887093929</v>
      </c>
      <c r="Z136" s="14">
        <f t="shared" si="44"/>
        <v>0.17653845011610172</v>
      </c>
      <c r="AA136" s="14">
        <f t="shared" si="44"/>
        <v>0.16918268136126413</v>
      </c>
      <c r="AB136" s="14">
        <f t="shared" si="44"/>
        <v>0.16182691260642657</v>
      </c>
      <c r="AC136" s="14">
        <f t="shared" si="48"/>
        <v>4.2994468372025603</v>
      </c>
    </row>
    <row r="137" spans="1:29" hidden="1" x14ac:dyDescent="0.2">
      <c r="A137" s="27" t="str">
        <f t="shared" si="49"/>
        <v>Peninsula Light Company - WA</v>
      </c>
      <c r="B137" s="11" t="s">
        <v>107</v>
      </c>
      <c r="C137" s="11" t="s">
        <v>14</v>
      </c>
      <c r="D137" s="12">
        <f>VLOOKUP($A137,'EIA Soure Data'!$A$5:$X$156,'EIA Soure Data'!F$1,0)</f>
        <v>413950</v>
      </c>
      <c r="E137" s="12">
        <f>VLOOKUP($A137,'EIA Soure Data'!$A$5:$X$156,'EIA Soure Data'!J$1,0)</f>
        <v>152537</v>
      </c>
      <c r="F137" s="12">
        <f>VLOOKUP($A137,'EIA Soure Data'!$A$5:$X$156,'EIA Soure Data'!N$1,0)</f>
        <v>0</v>
      </c>
      <c r="G137" s="12">
        <f>VLOOKUP($A137,'EIA Soure Data'!$A$5:$X$156,'EIA Soure Data'!V$1,0)</f>
        <v>566487</v>
      </c>
      <c r="H137" s="13">
        <f>G137/PNWSales_Total</f>
        <v>3.6535824978489199E-3</v>
      </c>
      <c r="I137" s="14">
        <f t="shared" ref="I137:AC138" si="51">$H137*I$33</f>
        <v>0.73071649956978402</v>
      </c>
      <c r="J137" s="14">
        <f t="shared" si="51"/>
        <v>0.80378814952676236</v>
      </c>
      <c r="K137" s="14">
        <f t="shared" si="51"/>
        <v>0.87685979948374082</v>
      </c>
      <c r="L137" s="14">
        <f t="shared" si="51"/>
        <v>0.94993144944071917</v>
      </c>
      <c r="M137" s="14">
        <f t="shared" si="51"/>
        <v>1.0230030993976975</v>
      </c>
      <c r="N137" s="14">
        <f t="shared" si="51"/>
        <v>1.0595389243761868</v>
      </c>
      <c r="O137" s="14">
        <f t="shared" si="51"/>
        <v>1.1691463993116544</v>
      </c>
      <c r="P137" s="14">
        <f t="shared" si="51"/>
        <v>1.2422180492686328</v>
      </c>
      <c r="Q137" s="14">
        <f t="shared" si="51"/>
        <v>1.2787538742471221</v>
      </c>
      <c r="R137" s="14">
        <f t="shared" si="51"/>
        <v>1.3152896992256111</v>
      </c>
      <c r="S137" s="14">
        <f t="shared" si="51"/>
        <v>1.3335576117148558</v>
      </c>
      <c r="T137" s="14">
        <f t="shared" si="51"/>
        <v>1.3335576117148558</v>
      </c>
      <c r="U137" s="14">
        <f t="shared" si="51"/>
        <v>1.3335576117148558</v>
      </c>
      <c r="V137" s="14">
        <f t="shared" si="51"/>
        <v>1.3152896992256111</v>
      </c>
      <c r="W137" s="14">
        <f t="shared" si="51"/>
        <v>1.1326105743331651</v>
      </c>
      <c r="X137" s="14">
        <f t="shared" si="51"/>
        <v>1.0230030993976975</v>
      </c>
      <c r="Y137" s="14">
        <f t="shared" si="51"/>
        <v>0.91339562446222999</v>
      </c>
      <c r="Z137" s="14">
        <f t="shared" si="51"/>
        <v>0.87685979948374082</v>
      </c>
      <c r="AA137" s="14">
        <f t="shared" si="51"/>
        <v>0.84032397450525154</v>
      </c>
      <c r="AB137" s="14">
        <f t="shared" si="51"/>
        <v>0.80378814952676236</v>
      </c>
      <c r="AC137" s="14">
        <f t="shared" si="51"/>
        <v>21.355189699926935</v>
      </c>
    </row>
    <row r="138" spans="1:29" hidden="1" x14ac:dyDescent="0.2">
      <c r="A138" s="27" t="s">
        <v>455</v>
      </c>
      <c r="B138" s="11" t="s">
        <v>259</v>
      </c>
      <c r="C138" s="11" t="s">
        <v>14</v>
      </c>
      <c r="D138" s="12">
        <v>138527</v>
      </c>
      <c r="E138" s="12">
        <v>111404</v>
      </c>
      <c r="F138" s="12">
        <v>465941</v>
      </c>
      <c r="G138" s="12">
        <v>715872</v>
      </c>
      <c r="H138" s="13">
        <f>G138/PNWSales_Total</f>
        <v>4.6170475401908643E-3</v>
      </c>
      <c r="I138" s="14">
        <f t="shared" si="51"/>
        <v>0.9234095080381729</v>
      </c>
      <c r="J138" s="14">
        <f t="shared" si="51"/>
        <v>1.0157504588419901</v>
      </c>
      <c r="K138" s="14">
        <f t="shared" si="51"/>
        <v>1.1080914096458074</v>
      </c>
      <c r="L138" s="14">
        <f t="shared" si="51"/>
        <v>1.2004323604496248</v>
      </c>
      <c r="M138" s="14">
        <f t="shared" si="51"/>
        <v>1.2927733112534421</v>
      </c>
      <c r="N138" s="14">
        <f t="shared" si="51"/>
        <v>1.3389437866553506</v>
      </c>
      <c r="O138" s="14">
        <f t="shared" si="51"/>
        <v>1.4774552128610765</v>
      </c>
      <c r="P138" s="14">
        <f t="shared" si="51"/>
        <v>1.5697961636648938</v>
      </c>
      <c r="Q138" s="14">
        <f t="shared" si="51"/>
        <v>1.6159666390668024</v>
      </c>
      <c r="R138" s="14">
        <f t="shared" si="51"/>
        <v>1.6621371144687112</v>
      </c>
      <c r="S138" s="14">
        <f t="shared" si="51"/>
        <v>1.6852223521696654</v>
      </c>
      <c r="T138" s="14">
        <f t="shared" si="51"/>
        <v>1.6852223521696654</v>
      </c>
      <c r="U138" s="14">
        <f t="shared" si="51"/>
        <v>1.6852223521696654</v>
      </c>
      <c r="V138" s="14">
        <f t="shared" si="51"/>
        <v>1.6621371144687112</v>
      </c>
      <c r="W138" s="14">
        <f t="shared" si="51"/>
        <v>1.431284737459168</v>
      </c>
      <c r="X138" s="14">
        <f t="shared" si="51"/>
        <v>1.2927733112534421</v>
      </c>
      <c r="Y138" s="14">
        <f t="shared" si="51"/>
        <v>1.154261885047716</v>
      </c>
      <c r="Z138" s="14">
        <f t="shared" si="51"/>
        <v>1.1080914096458074</v>
      </c>
      <c r="AA138" s="14">
        <f t="shared" si="51"/>
        <v>1.0619209342438989</v>
      </c>
      <c r="AB138" s="14">
        <f t="shared" si="51"/>
        <v>1.0157504588419901</v>
      </c>
      <c r="AC138" s="14">
        <f t="shared" si="51"/>
        <v>26.986642872415601</v>
      </c>
    </row>
    <row r="139" spans="1:29" hidden="1" x14ac:dyDescent="0.2">
      <c r="A139" s="11" t="str">
        <f>B139&amp;" - "&amp;C139</f>
        <v>Portland General Electric Company - OR</v>
      </c>
      <c r="B139" s="11" t="s">
        <v>109</v>
      </c>
      <c r="C139" s="11" t="s">
        <v>22</v>
      </c>
      <c r="D139" s="12">
        <f>VLOOKUP($A139,'EIA Soure Data'!$A$5:$X$156,'EIA Soure Data'!F$1,0)</f>
        <v>7452448</v>
      </c>
      <c r="E139" s="12">
        <f>VLOOKUP($A139,'EIA Soure Data'!$A$5:$X$156,'EIA Soure Data'!J$1,0)</f>
        <v>6871593</v>
      </c>
      <c r="F139" s="12">
        <f>VLOOKUP($A139,'EIA Soure Data'!$A$5:$X$156,'EIA Soure Data'!N$1,0)</f>
        <v>3350647</v>
      </c>
      <c r="G139" s="12">
        <f>VLOOKUP($A139,'EIA Soure Data'!$A$5:$X$156,'EIA Soure Data'!V$1,0)</f>
        <v>17683065</v>
      </c>
      <c r="H139" s="13">
        <f t="shared" si="47"/>
        <v>0.11404769534397931</v>
      </c>
      <c r="I139" s="14">
        <f t="shared" si="50"/>
        <v>22.809539068795861</v>
      </c>
      <c r="J139" s="14">
        <f t="shared" si="50"/>
        <v>25.090492975675449</v>
      </c>
      <c r="K139" s="14">
        <f t="shared" si="50"/>
        <v>27.371446882555034</v>
      </c>
      <c r="L139" s="14">
        <f t="shared" si="50"/>
        <v>29.652400789434619</v>
      </c>
      <c r="M139" s="14">
        <f t="shared" si="50"/>
        <v>31.933354696314208</v>
      </c>
      <c r="N139" s="14">
        <f t="shared" si="50"/>
        <v>33.073831649753998</v>
      </c>
      <c r="O139" s="14">
        <f t="shared" si="50"/>
        <v>36.495262510073381</v>
      </c>
      <c r="P139" s="14">
        <f t="shared" si="50"/>
        <v>38.776216416952963</v>
      </c>
      <c r="Q139" s="14">
        <f t="shared" si="50"/>
        <v>39.916693370392757</v>
      </c>
      <c r="R139" s="14">
        <f t="shared" si="38"/>
        <v>41.057170323832551</v>
      </c>
      <c r="S139" s="14">
        <f t="shared" si="44"/>
        <v>41.627408800552445</v>
      </c>
      <c r="T139" s="14">
        <f t="shared" si="44"/>
        <v>41.627408800552445</v>
      </c>
      <c r="U139" s="14">
        <f t="shared" si="44"/>
        <v>41.627408800552445</v>
      </c>
      <c r="V139" s="14">
        <f t="shared" si="44"/>
        <v>41.057170323832551</v>
      </c>
      <c r="W139" s="14">
        <f t="shared" si="44"/>
        <v>35.354785556633587</v>
      </c>
      <c r="X139" s="14">
        <f t="shared" si="44"/>
        <v>31.933354696314208</v>
      </c>
      <c r="Y139" s="14">
        <f t="shared" si="44"/>
        <v>28.511923835994828</v>
      </c>
      <c r="Z139" s="14">
        <f t="shared" si="44"/>
        <v>27.371446882555034</v>
      </c>
      <c r="AA139" s="14">
        <f t="shared" si="44"/>
        <v>26.23096992911524</v>
      </c>
      <c r="AB139" s="14">
        <f t="shared" si="44"/>
        <v>25.090492975675449</v>
      </c>
      <c r="AC139" s="14">
        <f t="shared" si="48"/>
        <v>666.60877928555908</v>
      </c>
    </row>
    <row r="140" spans="1:29" hidden="1" x14ac:dyDescent="0.2">
      <c r="A140" s="1" t="s">
        <v>396</v>
      </c>
      <c r="B140" s="286" t="s">
        <v>397</v>
      </c>
      <c r="C140" s="287" t="s">
        <v>14</v>
      </c>
      <c r="D140" s="12">
        <f>VLOOKUP($A140,'EIA Soure Data'!$A$5:$X$156,'EIA Soure Data'!F$1,0)</f>
        <v>0</v>
      </c>
      <c r="E140" s="12">
        <f>VLOOKUP($A140,'EIA Soure Data'!$A$5:$X$156,'EIA Soure Data'!J$1,0)</f>
        <v>320</v>
      </c>
      <c r="F140" s="12">
        <f>VLOOKUP($A140,'EIA Soure Data'!$A$5:$X$156,'EIA Soure Data'!N$1,0)</f>
        <v>0</v>
      </c>
      <c r="G140" s="12">
        <f>VLOOKUP($A140,'EIA Soure Data'!$A$5:$X$156,'EIA Soure Data'!V$1,0)</f>
        <v>320</v>
      </c>
      <c r="H140" s="13">
        <f t="shared" ref="H140" si="52">G140/PNWSales_Total</f>
        <v>2.0638538912837442E-6</v>
      </c>
      <c r="I140" s="14">
        <f t="shared" si="50"/>
        <v>4.1277077825674883E-4</v>
      </c>
      <c r="J140" s="14">
        <f t="shared" si="50"/>
        <v>4.5404785608242371E-4</v>
      </c>
      <c r="K140" s="14">
        <f t="shared" si="50"/>
        <v>4.9532493390809864E-4</v>
      </c>
      <c r="L140" s="14">
        <f t="shared" si="50"/>
        <v>5.3660201173377352E-4</v>
      </c>
      <c r="M140" s="14">
        <f t="shared" si="50"/>
        <v>5.778790895594484E-4</v>
      </c>
      <c r="N140" s="14">
        <f t="shared" si="50"/>
        <v>5.9851762847228584E-4</v>
      </c>
      <c r="O140" s="14">
        <f t="shared" si="50"/>
        <v>6.6043324521079816E-4</v>
      </c>
      <c r="P140" s="14">
        <f t="shared" si="50"/>
        <v>7.0171032303647303E-4</v>
      </c>
      <c r="Q140" s="14">
        <f t="shared" si="50"/>
        <v>7.2234886194931047E-4</v>
      </c>
      <c r="R140" s="14">
        <f t="shared" si="38"/>
        <v>7.4298740086214791E-4</v>
      </c>
      <c r="S140" s="14">
        <f t="shared" si="44"/>
        <v>7.5330667031856663E-4</v>
      </c>
      <c r="T140" s="14">
        <f t="shared" si="44"/>
        <v>7.5330667031856663E-4</v>
      </c>
      <c r="U140" s="14">
        <f t="shared" si="44"/>
        <v>7.5330667031856663E-4</v>
      </c>
      <c r="V140" s="14">
        <f t="shared" si="44"/>
        <v>7.4298740086214791E-4</v>
      </c>
      <c r="W140" s="14">
        <f t="shared" si="44"/>
        <v>6.3979470629796072E-4</v>
      </c>
      <c r="X140" s="14">
        <f t="shared" si="44"/>
        <v>5.778790895594484E-4</v>
      </c>
      <c r="Y140" s="14">
        <f t="shared" si="44"/>
        <v>5.1596347282093608E-4</v>
      </c>
      <c r="Z140" s="14">
        <f t="shared" si="44"/>
        <v>4.9532493390809864E-4</v>
      </c>
      <c r="AA140" s="14">
        <f t="shared" si="44"/>
        <v>4.7468639499526115E-4</v>
      </c>
      <c r="AB140" s="14">
        <f t="shared" si="44"/>
        <v>4.5404785608242371E-4</v>
      </c>
      <c r="AC140" s="14">
        <f t="shared" si="48"/>
        <v>1.2063225994553485E-2</v>
      </c>
    </row>
    <row r="141" spans="1:29" hidden="1" x14ac:dyDescent="0.2">
      <c r="A141" s="27" t="str">
        <f t="shared" ref="A141:A185" si="53">B141&amp;" - "&amp;C141</f>
        <v>PUD No 1 of Benton County - WA</v>
      </c>
      <c r="B141" s="11" t="s">
        <v>24</v>
      </c>
      <c r="C141" s="11" t="s">
        <v>14</v>
      </c>
      <c r="D141" s="12">
        <f>VLOOKUP($A141,'EIA Soure Data'!$A$5:$X$156,'EIA Soure Data'!F$1,0)</f>
        <v>654775</v>
      </c>
      <c r="E141" s="12">
        <f>VLOOKUP($A141,'EIA Soure Data'!$A$5:$X$156,'EIA Soure Data'!J$1,0)</f>
        <v>511341</v>
      </c>
      <c r="F141" s="12">
        <f>VLOOKUP($A141,'EIA Soure Data'!$A$5:$X$156,'EIA Soure Data'!N$1,0)</f>
        <v>426686</v>
      </c>
      <c r="G141" s="12">
        <f>VLOOKUP($A141,'EIA Soure Data'!$A$5:$X$156,'EIA Soure Data'!V$1,0)</f>
        <v>1592802</v>
      </c>
      <c r="H141" s="13">
        <f t="shared" si="47"/>
        <v>1.0272845642951656E-2</v>
      </c>
      <c r="I141" s="14">
        <f t="shared" si="50"/>
        <v>2.0545691285903311</v>
      </c>
      <c r="J141" s="14">
        <f t="shared" si="50"/>
        <v>2.2600260414493643</v>
      </c>
      <c r="K141" s="14">
        <f t="shared" si="50"/>
        <v>2.4654829543083974</v>
      </c>
      <c r="L141" s="14">
        <f t="shared" si="50"/>
        <v>2.6709398671674305</v>
      </c>
      <c r="M141" s="14">
        <f t="shared" si="50"/>
        <v>2.8763967800264636</v>
      </c>
      <c r="N141" s="14">
        <f t="shared" si="50"/>
        <v>2.9791252364559804</v>
      </c>
      <c r="O141" s="14">
        <f t="shared" si="50"/>
        <v>3.2873106057445298</v>
      </c>
      <c r="P141" s="14">
        <f t="shared" si="50"/>
        <v>3.4927675186035634</v>
      </c>
      <c r="Q141" s="14">
        <f t="shared" si="50"/>
        <v>3.5954959750330797</v>
      </c>
      <c r="R141" s="14">
        <f t="shared" si="38"/>
        <v>3.6982244314625965</v>
      </c>
      <c r="S141" s="14">
        <f t="shared" si="44"/>
        <v>3.7495886596773547</v>
      </c>
      <c r="T141" s="14">
        <f t="shared" si="44"/>
        <v>3.7495886596773547</v>
      </c>
      <c r="U141" s="14">
        <f t="shared" si="44"/>
        <v>3.7495886596773547</v>
      </c>
      <c r="V141" s="14">
        <f t="shared" si="44"/>
        <v>3.6982244314625965</v>
      </c>
      <c r="W141" s="14">
        <f t="shared" si="44"/>
        <v>3.1845821493150135</v>
      </c>
      <c r="X141" s="14">
        <f t="shared" si="44"/>
        <v>2.8763967800264636</v>
      </c>
      <c r="Y141" s="14">
        <f t="shared" si="44"/>
        <v>2.5682114107379141</v>
      </c>
      <c r="Z141" s="14">
        <f t="shared" si="44"/>
        <v>2.4654829543083974</v>
      </c>
      <c r="AA141" s="14">
        <f t="shared" si="44"/>
        <v>2.362754497878881</v>
      </c>
      <c r="AB141" s="14">
        <f t="shared" si="44"/>
        <v>2.2600260414493643</v>
      </c>
      <c r="AC141" s="14">
        <f t="shared" si="48"/>
        <v>60.044782783052433</v>
      </c>
    </row>
    <row r="142" spans="1:29" hidden="1" x14ac:dyDescent="0.2">
      <c r="A142" s="27" t="str">
        <f t="shared" si="53"/>
        <v>PUD No 1 of Chelan County - WA</v>
      </c>
      <c r="B142" s="11" t="s">
        <v>33</v>
      </c>
      <c r="C142" s="11" t="s">
        <v>14</v>
      </c>
      <c r="D142" s="12">
        <f>VLOOKUP($A142,'EIA Soure Data'!$A$5:$X$156,'EIA Soure Data'!F$1,0)</f>
        <v>737441</v>
      </c>
      <c r="E142" s="12">
        <f>VLOOKUP($A142,'EIA Soure Data'!$A$5:$X$156,'EIA Soure Data'!J$1,0)</f>
        <v>450790</v>
      </c>
      <c r="F142" s="12">
        <f>VLOOKUP($A142,'EIA Soure Data'!$A$5:$X$156,'EIA Soure Data'!N$1,0)</f>
        <v>333101</v>
      </c>
      <c r="G142" s="12">
        <f>VLOOKUP($A142,'EIA Soure Data'!$A$5:$X$156,'EIA Soure Data'!V$1,0)</f>
        <v>1521332</v>
      </c>
      <c r="H142" s="13">
        <f t="shared" si="47"/>
        <v>9.8118967754202528E-3</v>
      </c>
      <c r="I142" s="14">
        <f t="shared" si="50"/>
        <v>1.9623793550840505</v>
      </c>
      <c r="J142" s="14">
        <f t="shared" si="50"/>
        <v>2.1586172905924554</v>
      </c>
      <c r="K142" s="14">
        <f t="shared" si="50"/>
        <v>2.3548552261008608</v>
      </c>
      <c r="L142" s="14">
        <f t="shared" si="50"/>
        <v>2.5510931616092658</v>
      </c>
      <c r="M142" s="14">
        <f t="shared" si="50"/>
        <v>2.7473310971176708</v>
      </c>
      <c r="N142" s="14">
        <f t="shared" si="50"/>
        <v>2.8454500648718732</v>
      </c>
      <c r="O142" s="14">
        <f t="shared" si="50"/>
        <v>3.1398069681344811</v>
      </c>
      <c r="P142" s="14">
        <f t="shared" si="50"/>
        <v>3.3360449036428861</v>
      </c>
      <c r="Q142" s="14">
        <f t="shared" si="50"/>
        <v>3.4341638713970886</v>
      </c>
      <c r="R142" s="14">
        <f t="shared" si="38"/>
        <v>3.532282839151291</v>
      </c>
      <c r="S142" s="14">
        <f t="shared" si="44"/>
        <v>3.5813423230283923</v>
      </c>
      <c r="T142" s="14">
        <f t="shared" si="44"/>
        <v>3.5813423230283923</v>
      </c>
      <c r="U142" s="14">
        <f t="shared" si="44"/>
        <v>3.5813423230283923</v>
      </c>
      <c r="V142" s="14">
        <f t="shared" si="44"/>
        <v>3.532282839151291</v>
      </c>
      <c r="W142" s="14">
        <f t="shared" si="44"/>
        <v>3.0416880003802782</v>
      </c>
      <c r="X142" s="14">
        <f t="shared" si="44"/>
        <v>2.7473310971176708</v>
      </c>
      <c r="Y142" s="14">
        <f t="shared" si="44"/>
        <v>2.4529741938550633</v>
      </c>
      <c r="Z142" s="14">
        <f t="shared" si="44"/>
        <v>2.3548552261008608</v>
      </c>
      <c r="AA142" s="14">
        <f t="shared" si="44"/>
        <v>2.2567362583466584</v>
      </c>
      <c r="AB142" s="14">
        <f t="shared" si="44"/>
        <v>2.1586172905924554</v>
      </c>
      <c r="AC142" s="14">
        <f t="shared" si="48"/>
        <v>57.350536652331378</v>
      </c>
    </row>
    <row r="143" spans="1:29" hidden="1" x14ac:dyDescent="0.2">
      <c r="A143" s="27" t="str">
        <f t="shared" si="53"/>
        <v>PUD No 1 of Clallam County - WA</v>
      </c>
      <c r="B143" s="11" t="s">
        <v>36</v>
      </c>
      <c r="C143" s="11" t="s">
        <v>14</v>
      </c>
      <c r="D143" s="12">
        <f>VLOOKUP($A143,'EIA Soure Data'!$A$5:$X$156,'EIA Soure Data'!F$1,0)</f>
        <v>436871</v>
      </c>
      <c r="E143" s="12">
        <f>VLOOKUP($A143,'EIA Soure Data'!$A$5:$X$156,'EIA Soure Data'!J$1,0)</f>
        <v>165147</v>
      </c>
      <c r="F143" s="12">
        <f>VLOOKUP($A143,'EIA Soure Data'!$A$5:$X$156,'EIA Soure Data'!N$1,0)</f>
        <v>29418</v>
      </c>
      <c r="G143" s="12">
        <f>VLOOKUP($A143,'EIA Soure Data'!$A$5:$X$156,'EIA Soure Data'!V$1,0)</f>
        <v>631436</v>
      </c>
      <c r="H143" s="13">
        <f t="shared" si="47"/>
        <v>4.0724738928020069E-3</v>
      </c>
      <c r="I143" s="14">
        <f t="shared" si="50"/>
        <v>0.81449477856040142</v>
      </c>
      <c r="J143" s="14">
        <f t="shared" si="50"/>
        <v>0.89594425641644149</v>
      </c>
      <c r="K143" s="14">
        <f t="shared" si="50"/>
        <v>0.97739373427248166</v>
      </c>
      <c r="L143" s="14">
        <f t="shared" si="50"/>
        <v>1.0588432121285218</v>
      </c>
      <c r="M143" s="14">
        <f t="shared" si="50"/>
        <v>1.140292689984562</v>
      </c>
      <c r="N143" s="14">
        <f t="shared" si="50"/>
        <v>1.1810174289125821</v>
      </c>
      <c r="O143" s="14">
        <f t="shared" si="50"/>
        <v>1.3031916456966421</v>
      </c>
      <c r="P143" s="14">
        <f t="shared" si="50"/>
        <v>1.3846411235526823</v>
      </c>
      <c r="Q143" s="14">
        <f t="shared" si="50"/>
        <v>1.4253658624807024</v>
      </c>
      <c r="R143" s="14">
        <f t="shared" si="38"/>
        <v>1.4660906014087225</v>
      </c>
      <c r="S143" s="14">
        <f t="shared" si="44"/>
        <v>1.4864529708727325</v>
      </c>
      <c r="T143" s="14">
        <f t="shared" si="44"/>
        <v>1.4864529708727325</v>
      </c>
      <c r="U143" s="14">
        <f t="shared" si="44"/>
        <v>1.4864529708727325</v>
      </c>
      <c r="V143" s="14">
        <f t="shared" si="44"/>
        <v>1.4660906014087225</v>
      </c>
      <c r="W143" s="14">
        <f t="shared" si="44"/>
        <v>1.2624669067686221</v>
      </c>
      <c r="X143" s="14">
        <f t="shared" si="44"/>
        <v>1.140292689984562</v>
      </c>
      <c r="Y143" s="14">
        <f t="shared" si="44"/>
        <v>1.0181184732005018</v>
      </c>
      <c r="Z143" s="14">
        <f t="shared" si="44"/>
        <v>0.97739373427248166</v>
      </c>
      <c r="AA143" s="14">
        <f t="shared" si="44"/>
        <v>0.93666899534446157</v>
      </c>
      <c r="AB143" s="14">
        <f t="shared" si="44"/>
        <v>0.89594425641644149</v>
      </c>
      <c r="AC143" s="14">
        <f t="shared" si="48"/>
        <v>23.803609903427731</v>
      </c>
    </row>
    <row r="144" spans="1:29" hidden="1" x14ac:dyDescent="0.2">
      <c r="A144" s="27" t="str">
        <f t="shared" si="53"/>
        <v>PUD No 1 of Clark County - WA</v>
      </c>
      <c r="B144" s="11" t="s">
        <v>37</v>
      </c>
      <c r="C144" s="11" t="s">
        <v>14</v>
      </c>
      <c r="D144" s="12">
        <f>VLOOKUP($A144,'EIA Soure Data'!$A$5:$X$156,'EIA Soure Data'!F$1,0)</f>
        <v>2256838</v>
      </c>
      <c r="E144" s="12">
        <f>VLOOKUP($A144,'EIA Soure Data'!$A$5:$X$156,'EIA Soure Data'!J$1,0)</f>
        <v>1304920</v>
      </c>
      <c r="F144" s="12">
        <f>VLOOKUP($A144,'EIA Soure Data'!$A$5:$X$156,'EIA Soure Data'!N$1,0)</f>
        <v>788772</v>
      </c>
      <c r="G144" s="12">
        <f>VLOOKUP($A144,'EIA Soure Data'!$A$5:$X$156,'EIA Soure Data'!V$1,0)</f>
        <v>4350530</v>
      </c>
      <c r="H144" s="13">
        <f t="shared" si="47"/>
        <v>2.8058932092645834E-2</v>
      </c>
      <c r="I144" s="14">
        <f t="shared" ref="I144:Q153" si="54">$H144*I$33</f>
        <v>5.6117864185291664</v>
      </c>
      <c r="J144" s="14">
        <f t="shared" si="54"/>
        <v>6.1729650603820838</v>
      </c>
      <c r="K144" s="14">
        <f t="shared" si="54"/>
        <v>6.7341437022350004</v>
      </c>
      <c r="L144" s="14">
        <f t="shared" si="54"/>
        <v>7.2953223440879169</v>
      </c>
      <c r="M144" s="14">
        <f t="shared" si="54"/>
        <v>7.8565009859408335</v>
      </c>
      <c r="N144" s="14">
        <f t="shared" si="54"/>
        <v>8.1370903068672913</v>
      </c>
      <c r="O144" s="14">
        <f t="shared" si="54"/>
        <v>8.9788582696466666</v>
      </c>
      <c r="P144" s="14">
        <f t="shared" si="54"/>
        <v>9.540036911499584</v>
      </c>
      <c r="Q144" s="14">
        <f t="shared" si="54"/>
        <v>9.8206262324260418</v>
      </c>
      <c r="R144" s="14">
        <f t="shared" si="38"/>
        <v>10.1012155533525</v>
      </c>
      <c r="S144" s="14">
        <f t="shared" si="44"/>
        <v>10.241510213815729</v>
      </c>
      <c r="T144" s="14">
        <f t="shared" si="44"/>
        <v>10.241510213815729</v>
      </c>
      <c r="U144" s="14">
        <f t="shared" si="44"/>
        <v>10.241510213815729</v>
      </c>
      <c r="V144" s="14">
        <f t="shared" si="44"/>
        <v>10.1012155533525</v>
      </c>
      <c r="W144" s="14">
        <f t="shared" si="44"/>
        <v>8.6982689487202087</v>
      </c>
      <c r="X144" s="14">
        <f t="shared" si="44"/>
        <v>7.8565009859408335</v>
      </c>
      <c r="Y144" s="14">
        <f t="shared" ref="S144:AB171" si="55">$H144*Y$33</f>
        <v>7.0147330231614582</v>
      </c>
      <c r="Z144" s="14">
        <f t="shared" si="55"/>
        <v>6.7341437022350004</v>
      </c>
      <c r="AA144" s="14">
        <f t="shared" si="55"/>
        <v>6.4535543813085416</v>
      </c>
      <c r="AB144" s="14">
        <f t="shared" si="55"/>
        <v>6.1729650603820838</v>
      </c>
      <c r="AC144" s="14">
        <f t="shared" si="48"/>
        <v>164.00445808151491</v>
      </c>
    </row>
    <row r="145" spans="1:29" hidden="1" x14ac:dyDescent="0.2">
      <c r="A145" s="27" t="str">
        <f t="shared" si="53"/>
        <v>PUD No 1 of Cowlitz County - WA</v>
      </c>
      <c r="B145" s="11" t="s">
        <v>44</v>
      </c>
      <c r="C145" s="11" t="s">
        <v>14</v>
      </c>
      <c r="D145" s="12">
        <f>VLOOKUP($A145,'EIA Soure Data'!$A$5:$X$156,'EIA Soure Data'!F$1,0)</f>
        <v>743566</v>
      </c>
      <c r="E145" s="12">
        <f>VLOOKUP($A145,'EIA Soure Data'!$A$5:$X$156,'EIA Soure Data'!J$1,0)</f>
        <v>375473</v>
      </c>
      <c r="F145" s="12">
        <f>VLOOKUP($A145,'EIA Soure Data'!$A$5:$X$156,'EIA Soure Data'!N$1,0)</f>
        <v>3567022</v>
      </c>
      <c r="G145" s="12">
        <f>VLOOKUP($A145,'EIA Soure Data'!$A$5:$X$156,'EIA Soure Data'!V$1,0)</f>
        <v>4686061</v>
      </c>
      <c r="H145" s="13">
        <f t="shared" si="47"/>
        <v>3.0222953842634355E-2</v>
      </c>
      <c r="I145" s="14">
        <f t="shared" si="54"/>
        <v>6.0445907685268709</v>
      </c>
      <c r="J145" s="14">
        <f t="shared" si="54"/>
        <v>6.6490498453795581</v>
      </c>
      <c r="K145" s="14">
        <f t="shared" si="54"/>
        <v>7.2535089222322453</v>
      </c>
      <c r="L145" s="14">
        <f t="shared" si="54"/>
        <v>7.8579679990849325</v>
      </c>
      <c r="M145" s="14">
        <f t="shared" si="54"/>
        <v>8.4624270759376188</v>
      </c>
      <c r="N145" s="14">
        <f t="shared" si="54"/>
        <v>8.7646566143639628</v>
      </c>
      <c r="O145" s="14">
        <f t="shared" si="54"/>
        <v>9.6713452296429931</v>
      </c>
      <c r="P145" s="14">
        <f t="shared" si="54"/>
        <v>10.275804306495681</v>
      </c>
      <c r="Q145" s="14">
        <f t="shared" si="54"/>
        <v>10.578033844922023</v>
      </c>
      <c r="R145" s="14">
        <f t="shared" si="38"/>
        <v>10.880263383348368</v>
      </c>
      <c r="S145" s="14">
        <f t="shared" si="55"/>
        <v>11.03137815256154</v>
      </c>
      <c r="T145" s="14">
        <f t="shared" si="55"/>
        <v>11.03137815256154</v>
      </c>
      <c r="U145" s="14">
        <f t="shared" si="55"/>
        <v>11.03137815256154</v>
      </c>
      <c r="V145" s="14">
        <f t="shared" si="55"/>
        <v>10.880263383348368</v>
      </c>
      <c r="W145" s="14">
        <f t="shared" si="55"/>
        <v>9.3691156912166509</v>
      </c>
      <c r="X145" s="14">
        <f t="shared" si="55"/>
        <v>8.4624270759376188</v>
      </c>
      <c r="Y145" s="14">
        <f t="shared" si="55"/>
        <v>7.5557384606585885</v>
      </c>
      <c r="Z145" s="14">
        <f t="shared" si="55"/>
        <v>7.2535089222322453</v>
      </c>
      <c r="AA145" s="14">
        <f t="shared" si="55"/>
        <v>6.9512793838059013</v>
      </c>
      <c r="AB145" s="14">
        <f t="shared" si="55"/>
        <v>6.6490498453795581</v>
      </c>
      <c r="AC145" s="14">
        <f t="shared" si="48"/>
        <v>176.65316521019781</v>
      </c>
    </row>
    <row r="146" spans="1:29" hidden="1" x14ac:dyDescent="0.2">
      <c r="A146" s="27" t="str">
        <f t="shared" si="53"/>
        <v>PUD No 1 of Douglas County - WA</v>
      </c>
      <c r="B146" s="11" t="s">
        <v>46</v>
      </c>
      <c r="C146" s="11" t="s">
        <v>14</v>
      </c>
      <c r="D146" s="12">
        <f>VLOOKUP($A146,'EIA Soure Data'!$A$5:$X$156,'EIA Soure Data'!F$1,0)</f>
        <v>373938</v>
      </c>
      <c r="E146" s="12">
        <f>VLOOKUP($A146,'EIA Soure Data'!$A$5:$X$156,'EIA Soure Data'!J$1,0)</f>
        <v>186311</v>
      </c>
      <c r="F146" s="12">
        <f>VLOOKUP($A146,'EIA Soure Data'!$A$5:$X$156,'EIA Soure Data'!N$1,0)</f>
        <v>74788</v>
      </c>
      <c r="G146" s="12">
        <f>VLOOKUP($A146,'EIA Soure Data'!$A$5:$X$156,'EIA Soure Data'!V$1,0)</f>
        <v>635037</v>
      </c>
      <c r="H146" s="13">
        <f t="shared" si="47"/>
        <v>4.0956986986223597E-3</v>
      </c>
      <c r="I146" s="14">
        <f t="shared" si="54"/>
        <v>0.81913973972447196</v>
      </c>
      <c r="J146" s="14">
        <f t="shared" si="54"/>
        <v>0.90105371369691911</v>
      </c>
      <c r="K146" s="14">
        <f t="shared" si="54"/>
        <v>0.98296768766936626</v>
      </c>
      <c r="L146" s="14">
        <f t="shared" si="54"/>
        <v>1.0648816616418135</v>
      </c>
      <c r="M146" s="14">
        <f t="shared" si="54"/>
        <v>1.1467956356142608</v>
      </c>
      <c r="N146" s="14">
        <f t="shared" si="54"/>
        <v>1.1877526226004842</v>
      </c>
      <c r="O146" s="14">
        <f t="shared" si="54"/>
        <v>1.3106235835591551</v>
      </c>
      <c r="P146" s="14">
        <f t="shared" si="54"/>
        <v>1.3925375575316024</v>
      </c>
      <c r="Q146" s="14">
        <f t="shared" si="54"/>
        <v>1.433494544517826</v>
      </c>
      <c r="R146" s="14">
        <f t="shared" si="38"/>
        <v>1.4744515315040494</v>
      </c>
      <c r="S146" s="14">
        <f t="shared" si="55"/>
        <v>1.4949300249971613</v>
      </c>
      <c r="T146" s="14">
        <f t="shared" si="55"/>
        <v>1.4949300249971613</v>
      </c>
      <c r="U146" s="14">
        <f t="shared" si="55"/>
        <v>1.4949300249971613</v>
      </c>
      <c r="V146" s="14">
        <f t="shared" si="55"/>
        <v>1.4744515315040494</v>
      </c>
      <c r="W146" s="14">
        <f t="shared" si="55"/>
        <v>1.2696665965729315</v>
      </c>
      <c r="X146" s="14">
        <f t="shared" si="55"/>
        <v>1.1467956356142608</v>
      </c>
      <c r="Y146" s="14">
        <f t="shared" si="55"/>
        <v>1.0239246746555899</v>
      </c>
      <c r="Z146" s="14">
        <f t="shared" si="55"/>
        <v>0.98296768766936626</v>
      </c>
      <c r="AA146" s="14">
        <f t="shared" si="55"/>
        <v>0.94201070068314274</v>
      </c>
      <c r="AB146" s="14">
        <f t="shared" si="55"/>
        <v>0.90105371369691911</v>
      </c>
      <c r="AC146" s="14">
        <f t="shared" si="48"/>
        <v>23.939358893447693</v>
      </c>
    </row>
    <row r="147" spans="1:29" hidden="1" x14ac:dyDescent="0.2">
      <c r="A147" s="27" t="str">
        <f t="shared" si="53"/>
        <v>PUD No 1 of Ferry County - WA</v>
      </c>
      <c r="B147" s="11" t="s">
        <v>58</v>
      </c>
      <c r="C147" s="11" t="s">
        <v>14</v>
      </c>
      <c r="D147" s="12">
        <f>VLOOKUP($A147,'EIA Soure Data'!$A$5:$X$156,'EIA Soure Data'!F$1,0)</f>
        <v>32869</v>
      </c>
      <c r="E147" s="12">
        <f>VLOOKUP($A147,'EIA Soure Data'!$A$5:$X$156,'EIA Soure Data'!J$1,0)</f>
        <v>9346</v>
      </c>
      <c r="F147" s="12">
        <f>VLOOKUP($A147,'EIA Soure Data'!$A$5:$X$156,'EIA Soure Data'!N$1,0)</f>
        <v>51331</v>
      </c>
      <c r="G147" s="12">
        <f>VLOOKUP($A147,'EIA Soure Data'!$A$5:$X$156,'EIA Soure Data'!V$1,0)</f>
        <v>93546</v>
      </c>
      <c r="H147" s="13">
        <f t="shared" si="47"/>
        <v>6.0332898785634098E-4</v>
      </c>
      <c r="I147" s="14">
        <f t="shared" si="54"/>
        <v>0.12066579757126819</v>
      </c>
      <c r="J147" s="14">
        <f t="shared" si="54"/>
        <v>0.13273237732839502</v>
      </c>
      <c r="K147" s="14">
        <f t="shared" si="54"/>
        <v>0.14479895708552185</v>
      </c>
      <c r="L147" s="14">
        <f t="shared" si="54"/>
        <v>0.15686553684264865</v>
      </c>
      <c r="M147" s="14">
        <f t="shared" si="54"/>
        <v>0.16893211659977547</v>
      </c>
      <c r="N147" s="14">
        <f t="shared" si="54"/>
        <v>0.17496540647833889</v>
      </c>
      <c r="O147" s="14">
        <f t="shared" si="54"/>
        <v>0.19306527611402913</v>
      </c>
      <c r="P147" s="14">
        <f t="shared" si="54"/>
        <v>0.20513185587115593</v>
      </c>
      <c r="Q147" s="14">
        <f t="shared" si="54"/>
        <v>0.21116514574971934</v>
      </c>
      <c r="R147" s="14">
        <f t="shared" si="38"/>
        <v>0.21719843562828275</v>
      </c>
      <c r="S147" s="14">
        <f t="shared" si="55"/>
        <v>0.22021508056756445</v>
      </c>
      <c r="T147" s="14">
        <f t="shared" si="55"/>
        <v>0.22021508056756445</v>
      </c>
      <c r="U147" s="14">
        <f t="shared" si="55"/>
        <v>0.22021508056756445</v>
      </c>
      <c r="V147" s="14">
        <f t="shared" si="55"/>
        <v>0.21719843562828275</v>
      </c>
      <c r="W147" s="14">
        <f t="shared" si="55"/>
        <v>0.18703198623546571</v>
      </c>
      <c r="X147" s="14">
        <f t="shared" si="55"/>
        <v>0.16893211659977547</v>
      </c>
      <c r="Y147" s="14">
        <f t="shared" si="55"/>
        <v>0.15083224696408523</v>
      </c>
      <c r="Z147" s="14">
        <f t="shared" si="55"/>
        <v>0.14479895708552185</v>
      </c>
      <c r="AA147" s="14">
        <f t="shared" si="55"/>
        <v>0.13876566720695843</v>
      </c>
      <c r="AB147" s="14">
        <f t="shared" si="55"/>
        <v>0.13273237732839502</v>
      </c>
      <c r="AC147" s="14">
        <f t="shared" si="48"/>
        <v>3.5264579340203128</v>
      </c>
    </row>
    <row r="148" spans="1:29" hidden="1" x14ac:dyDescent="0.2">
      <c r="A148" s="27" t="str">
        <f t="shared" si="53"/>
        <v>PUD No 1 of Franklin County - WA</v>
      </c>
      <c r="B148" s="11" t="s">
        <v>61</v>
      </c>
      <c r="C148" s="11" t="s">
        <v>14</v>
      </c>
      <c r="D148" s="12">
        <f>VLOOKUP($A148,'EIA Soure Data'!$A$5:$X$156,'EIA Soure Data'!F$1,0)</f>
        <v>321335</v>
      </c>
      <c r="E148" s="12">
        <f>VLOOKUP($A148,'EIA Soure Data'!$A$5:$X$156,'EIA Soure Data'!J$1,0)</f>
        <v>343362</v>
      </c>
      <c r="F148" s="12">
        <f>VLOOKUP($A148,'EIA Soure Data'!$A$5:$X$156,'EIA Soure Data'!N$1,0)</f>
        <v>285322</v>
      </c>
      <c r="G148" s="12">
        <f>VLOOKUP($A148,'EIA Soure Data'!$A$5:$X$156,'EIA Soure Data'!V$1,0)</f>
        <v>950019</v>
      </c>
      <c r="H148" s="13">
        <f t="shared" si="47"/>
        <v>6.1271887810734104E-3</v>
      </c>
      <c r="I148" s="14">
        <f t="shared" si="54"/>
        <v>1.2254377562146821</v>
      </c>
      <c r="J148" s="14">
        <f t="shared" si="54"/>
        <v>1.3479815318361503</v>
      </c>
      <c r="K148" s="14">
        <f t="shared" si="54"/>
        <v>1.4705253074576186</v>
      </c>
      <c r="L148" s="14">
        <f t="shared" si="54"/>
        <v>1.5930690830790868</v>
      </c>
      <c r="M148" s="14">
        <f t="shared" si="54"/>
        <v>1.7156128587005548</v>
      </c>
      <c r="N148" s="14">
        <f t="shared" si="54"/>
        <v>1.7768847465112889</v>
      </c>
      <c r="O148" s="14">
        <f t="shared" si="54"/>
        <v>1.9607004099434913</v>
      </c>
      <c r="P148" s="14">
        <f t="shared" si="54"/>
        <v>2.0832441855649595</v>
      </c>
      <c r="Q148" s="14">
        <f t="shared" si="54"/>
        <v>2.1445160733756938</v>
      </c>
      <c r="R148" s="14">
        <f t="shared" si="38"/>
        <v>2.2057879611864277</v>
      </c>
      <c r="S148" s="14">
        <f t="shared" si="55"/>
        <v>2.2364239050917947</v>
      </c>
      <c r="T148" s="14">
        <f t="shared" si="55"/>
        <v>2.2364239050917947</v>
      </c>
      <c r="U148" s="14">
        <f t="shared" si="55"/>
        <v>2.2364239050917947</v>
      </c>
      <c r="V148" s="14">
        <f t="shared" si="55"/>
        <v>2.2057879611864277</v>
      </c>
      <c r="W148" s="14">
        <f t="shared" si="55"/>
        <v>1.8994285221327571</v>
      </c>
      <c r="X148" s="14">
        <f t="shared" si="55"/>
        <v>1.7156128587005548</v>
      </c>
      <c r="Y148" s="14">
        <f t="shared" si="55"/>
        <v>1.5317971952683527</v>
      </c>
      <c r="Z148" s="14">
        <f t="shared" si="55"/>
        <v>1.4705253074576186</v>
      </c>
      <c r="AA148" s="14">
        <f t="shared" si="55"/>
        <v>1.4092534196468844</v>
      </c>
      <c r="AB148" s="14">
        <f t="shared" si="55"/>
        <v>1.3479815318361503</v>
      </c>
      <c r="AC148" s="14">
        <f t="shared" si="48"/>
        <v>35.813418425374081</v>
      </c>
    </row>
    <row r="149" spans="1:29" hidden="1" x14ac:dyDescent="0.2">
      <c r="A149" s="27" t="str">
        <f t="shared" si="53"/>
        <v>PUD No 1 of Grays Harbor Cnty - WA</v>
      </c>
      <c r="B149" s="11" t="s">
        <v>64</v>
      </c>
      <c r="C149" s="11" t="s">
        <v>14</v>
      </c>
      <c r="D149" s="12">
        <f>VLOOKUP($A149,'EIA Soure Data'!$A$5:$X$156,'EIA Soure Data'!F$1,0)</f>
        <v>477890</v>
      </c>
      <c r="E149" s="12">
        <f>VLOOKUP($A149,'EIA Soure Data'!$A$5:$X$156,'EIA Soure Data'!J$1,0)</f>
        <v>281585</v>
      </c>
      <c r="F149" s="12">
        <f>VLOOKUP($A149,'EIA Soure Data'!$A$5:$X$156,'EIA Soure Data'!N$1,0)</f>
        <v>131206</v>
      </c>
      <c r="G149" s="12">
        <f>VLOOKUP($A149,'EIA Soure Data'!$A$5:$X$156,'EIA Soure Data'!V$1,0)</f>
        <v>890681</v>
      </c>
      <c r="H149" s="13">
        <f t="shared" si="47"/>
        <v>5.7444857741953013E-3</v>
      </c>
      <c r="I149" s="14">
        <f t="shared" si="54"/>
        <v>1.1488971548390603</v>
      </c>
      <c r="J149" s="14">
        <f t="shared" si="54"/>
        <v>1.2637868703229662</v>
      </c>
      <c r="K149" s="14">
        <f t="shared" si="54"/>
        <v>1.3786765858068724</v>
      </c>
      <c r="L149" s="14">
        <f t="shared" si="54"/>
        <v>1.4935663012907783</v>
      </c>
      <c r="M149" s="14">
        <f t="shared" si="54"/>
        <v>1.6084560167746844</v>
      </c>
      <c r="N149" s="14">
        <f t="shared" si="54"/>
        <v>1.6659008745166375</v>
      </c>
      <c r="O149" s="14">
        <f t="shared" si="54"/>
        <v>1.8382354477424965</v>
      </c>
      <c r="P149" s="14">
        <f t="shared" si="54"/>
        <v>1.9531251632264024</v>
      </c>
      <c r="Q149" s="14">
        <f t="shared" si="54"/>
        <v>2.0105700209683555</v>
      </c>
      <c r="R149" s="14">
        <f t="shared" si="38"/>
        <v>2.0680148787103083</v>
      </c>
      <c r="S149" s="14">
        <f t="shared" si="55"/>
        <v>2.096737307581285</v>
      </c>
      <c r="T149" s="14">
        <f t="shared" si="55"/>
        <v>2.096737307581285</v>
      </c>
      <c r="U149" s="14">
        <f t="shared" si="55"/>
        <v>2.096737307581285</v>
      </c>
      <c r="V149" s="14">
        <f t="shared" si="55"/>
        <v>2.0680148787103083</v>
      </c>
      <c r="W149" s="14">
        <f t="shared" si="55"/>
        <v>1.7807905900005434</v>
      </c>
      <c r="X149" s="14">
        <f t="shared" si="55"/>
        <v>1.6084560167746844</v>
      </c>
      <c r="Y149" s="14">
        <f t="shared" si="55"/>
        <v>1.4361214435488254</v>
      </c>
      <c r="Z149" s="14">
        <f t="shared" si="55"/>
        <v>1.3786765858068724</v>
      </c>
      <c r="AA149" s="14">
        <f t="shared" si="55"/>
        <v>1.3212317280649193</v>
      </c>
      <c r="AB149" s="14">
        <f t="shared" si="55"/>
        <v>1.2637868703229662</v>
      </c>
      <c r="AC149" s="14">
        <f t="shared" si="48"/>
        <v>33.576519350171537</v>
      </c>
    </row>
    <row r="150" spans="1:29" hidden="1" x14ac:dyDescent="0.2">
      <c r="A150" s="27" t="str">
        <f t="shared" si="53"/>
        <v>PUD No 1 of Kittitas County - WA</v>
      </c>
      <c r="B150" s="11" t="s">
        <v>72</v>
      </c>
      <c r="C150" s="11" t="s">
        <v>14</v>
      </c>
      <c r="D150" s="12">
        <f>VLOOKUP($A150,'EIA Soure Data'!$A$5:$X$156,'EIA Soure Data'!F$1,0)</f>
        <v>52928</v>
      </c>
      <c r="E150" s="12">
        <f>VLOOKUP($A150,'EIA Soure Data'!$A$5:$X$156,'EIA Soure Data'!J$1,0)</f>
        <v>23193</v>
      </c>
      <c r="F150" s="12">
        <f>VLOOKUP($A150,'EIA Soure Data'!$A$5:$X$156,'EIA Soure Data'!N$1,0)</f>
        <v>6129</v>
      </c>
      <c r="G150" s="12">
        <f>VLOOKUP($A150,'EIA Soure Data'!$A$5:$X$156,'EIA Soure Data'!V$1,0)</f>
        <v>82250</v>
      </c>
      <c r="H150" s="13">
        <f t="shared" si="47"/>
        <v>5.3047494549402483E-4</v>
      </c>
      <c r="I150" s="14">
        <f t="shared" si="54"/>
        <v>0.10609498909880496</v>
      </c>
      <c r="J150" s="14">
        <f t="shared" si="54"/>
        <v>0.11670448800868546</v>
      </c>
      <c r="K150" s="14">
        <f t="shared" si="54"/>
        <v>0.12731398691856596</v>
      </c>
      <c r="L150" s="14">
        <f t="shared" si="54"/>
        <v>0.13792348582844646</v>
      </c>
      <c r="M150" s="14">
        <f t="shared" si="54"/>
        <v>0.14853298473832696</v>
      </c>
      <c r="N150" s="14">
        <f t="shared" si="54"/>
        <v>0.15383773419326721</v>
      </c>
      <c r="O150" s="14">
        <f t="shared" si="54"/>
        <v>0.16975198255808793</v>
      </c>
      <c r="P150" s="14">
        <f t="shared" si="54"/>
        <v>0.18036148146796843</v>
      </c>
      <c r="Q150" s="14">
        <f t="shared" si="54"/>
        <v>0.18566623092290868</v>
      </c>
      <c r="R150" s="14">
        <f t="shared" si="38"/>
        <v>0.19097098037784893</v>
      </c>
      <c r="S150" s="14">
        <f t="shared" si="55"/>
        <v>0.19362335510531906</v>
      </c>
      <c r="T150" s="14">
        <f t="shared" si="55"/>
        <v>0.19362335510531906</v>
      </c>
      <c r="U150" s="14">
        <f t="shared" si="55"/>
        <v>0.19362335510531906</v>
      </c>
      <c r="V150" s="14">
        <f t="shared" si="55"/>
        <v>0.19097098037784893</v>
      </c>
      <c r="W150" s="14">
        <f t="shared" si="55"/>
        <v>0.16444723310314771</v>
      </c>
      <c r="X150" s="14">
        <f t="shared" si="55"/>
        <v>0.14853298473832696</v>
      </c>
      <c r="Y150" s="14">
        <f t="shared" si="55"/>
        <v>0.13261873637350621</v>
      </c>
      <c r="Z150" s="14">
        <f t="shared" si="55"/>
        <v>0.12731398691856596</v>
      </c>
      <c r="AA150" s="14">
        <f t="shared" si="55"/>
        <v>0.12200923746362571</v>
      </c>
      <c r="AB150" s="14">
        <f t="shared" si="55"/>
        <v>0.11670448800868546</v>
      </c>
      <c r="AC150" s="14">
        <f t="shared" si="48"/>
        <v>3.1006260564125752</v>
      </c>
    </row>
    <row r="151" spans="1:29" hidden="1" x14ac:dyDescent="0.2">
      <c r="A151" s="27" t="str">
        <f t="shared" si="53"/>
        <v>PUD No 1 of Klickitat County - WA</v>
      </c>
      <c r="B151" s="27" t="s">
        <v>73</v>
      </c>
      <c r="C151" s="11" t="s">
        <v>14</v>
      </c>
      <c r="D151" s="12">
        <f>VLOOKUP($A151,'EIA Soure Data'!$A$5:$X$156,'EIA Soure Data'!F$1,0)</f>
        <v>141095</v>
      </c>
      <c r="E151" s="12">
        <f>VLOOKUP($A151,'EIA Soure Data'!$A$5:$X$156,'EIA Soure Data'!J$1,0)</f>
        <v>92576</v>
      </c>
      <c r="F151" s="12">
        <f>VLOOKUP($A151,'EIA Soure Data'!$A$5:$X$156,'EIA Soure Data'!N$1,0)</f>
        <v>89563</v>
      </c>
      <c r="G151" s="12">
        <f>VLOOKUP($A151,'EIA Soure Data'!$A$5:$X$156,'EIA Soure Data'!V$1,0)</f>
        <v>323234</v>
      </c>
      <c r="H151" s="13">
        <f t="shared" si="47"/>
        <v>2.0847117146725303E-3</v>
      </c>
      <c r="I151" s="14">
        <f t="shared" si="54"/>
        <v>0.41694234293450605</v>
      </c>
      <c r="J151" s="14">
        <f t="shared" si="54"/>
        <v>0.45863657722795664</v>
      </c>
      <c r="K151" s="14">
        <f t="shared" si="54"/>
        <v>0.50033081152140724</v>
      </c>
      <c r="L151" s="14">
        <f t="shared" si="54"/>
        <v>0.54202504581485789</v>
      </c>
      <c r="M151" s="14">
        <f t="shared" si="54"/>
        <v>0.58371928010830854</v>
      </c>
      <c r="N151" s="14">
        <f t="shared" si="54"/>
        <v>0.60456639725503381</v>
      </c>
      <c r="O151" s="14">
        <f t="shared" si="54"/>
        <v>0.66710774869520972</v>
      </c>
      <c r="P151" s="14">
        <f t="shared" si="54"/>
        <v>0.70880198298866026</v>
      </c>
      <c r="Q151" s="14">
        <f t="shared" si="54"/>
        <v>0.72964910013538564</v>
      </c>
      <c r="R151" s="14">
        <f t="shared" si="38"/>
        <v>0.75049621728211091</v>
      </c>
      <c r="S151" s="14">
        <f t="shared" si="55"/>
        <v>0.76091977585547355</v>
      </c>
      <c r="T151" s="14">
        <f t="shared" si="55"/>
        <v>0.76091977585547355</v>
      </c>
      <c r="U151" s="14">
        <f t="shared" si="55"/>
        <v>0.76091977585547355</v>
      </c>
      <c r="V151" s="14">
        <f t="shared" si="55"/>
        <v>0.75049621728211091</v>
      </c>
      <c r="W151" s="14">
        <f t="shared" si="55"/>
        <v>0.64626063154848434</v>
      </c>
      <c r="X151" s="14">
        <f t="shared" si="55"/>
        <v>0.58371928010830854</v>
      </c>
      <c r="Y151" s="14">
        <f t="shared" si="55"/>
        <v>0.52117792866813262</v>
      </c>
      <c r="Z151" s="14">
        <f t="shared" si="55"/>
        <v>0.50033081152140724</v>
      </c>
      <c r="AA151" s="14">
        <f t="shared" si="55"/>
        <v>0.47948369437468197</v>
      </c>
      <c r="AB151" s="14">
        <f t="shared" si="55"/>
        <v>0.45863657722795664</v>
      </c>
      <c r="AC151" s="14">
        <f t="shared" si="48"/>
        <v>12.18513997226094</v>
      </c>
    </row>
    <row r="152" spans="1:29" hidden="1" x14ac:dyDescent="0.2">
      <c r="A152" s="27" t="str">
        <f t="shared" si="53"/>
        <v>PUD No 1 of Lewis County - WA</v>
      </c>
      <c r="B152" s="27" t="s">
        <v>77</v>
      </c>
      <c r="C152" s="11" t="s">
        <v>14</v>
      </c>
      <c r="D152" s="12">
        <f>VLOOKUP($A152,'EIA Soure Data'!$A$5:$X$156,'EIA Soure Data'!F$1,0)</f>
        <v>452347</v>
      </c>
      <c r="E152" s="12">
        <f>VLOOKUP($A152,'EIA Soure Data'!$A$5:$X$156,'EIA Soure Data'!J$1,0)</f>
        <v>215094</v>
      </c>
      <c r="F152" s="12">
        <f>VLOOKUP($A152,'EIA Soure Data'!$A$5:$X$156,'EIA Soure Data'!N$1,0)</f>
        <v>270775</v>
      </c>
      <c r="G152" s="12">
        <f>VLOOKUP($A152,'EIA Soure Data'!$A$5:$X$156,'EIA Soure Data'!V$1,0)</f>
        <v>938216</v>
      </c>
      <c r="H152" s="13">
        <f t="shared" si="47"/>
        <v>6.0510648202020912E-3</v>
      </c>
      <c r="I152" s="14">
        <f t="shared" si="54"/>
        <v>1.2102129640404182</v>
      </c>
      <c r="J152" s="14">
        <f t="shared" si="54"/>
        <v>1.33123426044446</v>
      </c>
      <c r="K152" s="14">
        <f t="shared" si="54"/>
        <v>1.4522555568485018</v>
      </c>
      <c r="L152" s="14">
        <f t="shared" si="54"/>
        <v>1.5732768532525436</v>
      </c>
      <c r="M152" s="14">
        <f t="shared" si="54"/>
        <v>1.6942981496565857</v>
      </c>
      <c r="N152" s="14">
        <f t="shared" si="54"/>
        <v>1.7548087978586064</v>
      </c>
      <c r="O152" s="14">
        <f t="shared" si="54"/>
        <v>1.9363407424646693</v>
      </c>
      <c r="P152" s="14">
        <f t="shared" si="54"/>
        <v>2.0573620388687108</v>
      </c>
      <c r="Q152" s="14">
        <f t="shared" si="54"/>
        <v>2.1178726870707321</v>
      </c>
      <c r="R152" s="14">
        <f t="shared" si="38"/>
        <v>2.1783833352727529</v>
      </c>
      <c r="S152" s="14">
        <f t="shared" si="55"/>
        <v>2.2086386593737632</v>
      </c>
      <c r="T152" s="14">
        <f t="shared" si="55"/>
        <v>2.2086386593737632</v>
      </c>
      <c r="U152" s="14">
        <f t="shared" si="55"/>
        <v>2.2086386593737632</v>
      </c>
      <c r="V152" s="14">
        <f t="shared" si="55"/>
        <v>2.1783833352727529</v>
      </c>
      <c r="W152" s="14">
        <f t="shared" si="55"/>
        <v>1.8758300942626482</v>
      </c>
      <c r="X152" s="14">
        <f t="shared" si="55"/>
        <v>1.6942981496565857</v>
      </c>
      <c r="Y152" s="14">
        <f t="shared" si="55"/>
        <v>1.5127662050505228</v>
      </c>
      <c r="Z152" s="14">
        <f t="shared" si="55"/>
        <v>1.4522555568485018</v>
      </c>
      <c r="AA152" s="14">
        <f t="shared" si="55"/>
        <v>1.391744908646481</v>
      </c>
      <c r="AB152" s="14">
        <f t="shared" si="55"/>
        <v>1.33123426044446</v>
      </c>
      <c r="AC152" s="14">
        <f t="shared" si="48"/>
        <v>35.368473874081225</v>
      </c>
    </row>
    <row r="153" spans="1:29" hidden="1" x14ac:dyDescent="0.2">
      <c r="A153" s="27" t="str">
        <f t="shared" si="53"/>
        <v>PUD No 1 of Mason County - WA</v>
      </c>
      <c r="B153" s="11" t="s">
        <v>140</v>
      </c>
      <c r="C153" s="11" t="s">
        <v>14</v>
      </c>
      <c r="D153" s="12">
        <f>VLOOKUP($A153,'EIA Soure Data'!$A$5:$X$156,'EIA Soure Data'!F$1,0)</f>
        <v>53492</v>
      </c>
      <c r="E153" s="12">
        <f>VLOOKUP($A153,'EIA Soure Data'!$A$5:$X$156,'EIA Soure Data'!J$1,0)</f>
        <v>15229</v>
      </c>
      <c r="F153" s="12">
        <f>VLOOKUP($A153,'EIA Soure Data'!$A$5:$X$156,'EIA Soure Data'!N$1,0)</f>
        <v>0</v>
      </c>
      <c r="G153" s="12">
        <f>VLOOKUP($A153,'EIA Soure Data'!$A$5:$X$156,'EIA Soure Data'!V$1,0)</f>
        <v>68721</v>
      </c>
      <c r="H153" s="13">
        <f t="shared" si="47"/>
        <v>4.4321907269659431E-4</v>
      </c>
      <c r="I153" s="14">
        <f t="shared" si="54"/>
        <v>8.8643814539318855E-2</v>
      </c>
      <c r="J153" s="14">
        <f t="shared" si="54"/>
        <v>9.7508195993250751E-2</v>
      </c>
      <c r="K153" s="14">
        <f t="shared" si="54"/>
        <v>0.10637257744718263</v>
      </c>
      <c r="L153" s="14">
        <f t="shared" si="54"/>
        <v>0.11523695890111452</v>
      </c>
      <c r="M153" s="14">
        <f t="shared" si="54"/>
        <v>0.12410134035504641</v>
      </c>
      <c r="N153" s="14">
        <f t="shared" si="54"/>
        <v>0.12853353108201235</v>
      </c>
      <c r="O153" s="14">
        <f t="shared" si="54"/>
        <v>0.14183010326291018</v>
      </c>
      <c r="P153" s="14">
        <f t="shared" si="54"/>
        <v>0.15069448471684208</v>
      </c>
      <c r="Q153" s="14">
        <f t="shared" si="54"/>
        <v>0.15512667544380801</v>
      </c>
      <c r="R153" s="14">
        <f t="shared" si="38"/>
        <v>0.15955886617077394</v>
      </c>
      <c r="S153" s="14">
        <f t="shared" si="55"/>
        <v>0.16177496153425691</v>
      </c>
      <c r="T153" s="14">
        <f t="shared" si="55"/>
        <v>0.16177496153425691</v>
      </c>
      <c r="U153" s="14">
        <f t="shared" si="55"/>
        <v>0.16177496153425691</v>
      </c>
      <c r="V153" s="14">
        <f t="shared" si="55"/>
        <v>0.15955886617077394</v>
      </c>
      <c r="W153" s="14">
        <f t="shared" si="55"/>
        <v>0.13739791253594424</v>
      </c>
      <c r="X153" s="14">
        <f t="shared" si="55"/>
        <v>0.12410134035504641</v>
      </c>
      <c r="Y153" s="14">
        <f t="shared" si="55"/>
        <v>0.11080476817414858</v>
      </c>
      <c r="Z153" s="14">
        <f t="shared" si="55"/>
        <v>0.10637257744718263</v>
      </c>
      <c r="AA153" s="14">
        <f t="shared" si="55"/>
        <v>0.10194038672021669</v>
      </c>
      <c r="AB153" s="14">
        <f t="shared" si="55"/>
        <v>9.7508195993250751E-2</v>
      </c>
      <c r="AC153" s="14">
        <f t="shared" si="48"/>
        <v>2.5906154799115937</v>
      </c>
    </row>
    <row r="154" spans="1:29" hidden="1" x14ac:dyDescent="0.2">
      <c r="A154" s="27" t="str">
        <f t="shared" si="53"/>
        <v>PUD No 1 of Okanogan County - WA</v>
      </c>
      <c r="B154" s="27" t="s">
        <v>97</v>
      </c>
      <c r="C154" s="11" t="s">
        <v>14</v>
      </c>
      <c r="D154" s="12">
        <f>VLOOKUP($A154,'EIA Soure Data'!$A$5:$X$156,'EIA Soure Data'!F$1,0)</f>
        <v>289164</v>
      </c>
      <c r="E154" s="12">
        <f>VLOOKUP($A154,'EIA Soure Data'!$A$5:$X$156,'EIA Soure Data'!J$1,0)</f>
        <v>259331</v>
      </c>
      <c r="F154" s="12">
        <f>VLOOKUP($A154,'EIA Soure Data'!$A$5:$X$156,'EIA Soure Data'!N$1,0)</f>
        <v>21602</v>
      </c>
      <c r="G154" s="12">
        <f>VLOOKUP($A154,'EIA Soure Data'!$A$5:$X$156,'EIA Soure Data'!V$1,0)</f>
        <v>570097</v>
      </c>
      <c r="H154" s="13">
        <f t="shared" si="47"/>
        <v>3.6768653495599644E-3</v>
      </c>
      <c r="I154" s="14">
        <f t="shared" ref="I154:Q163" si="56">$H154*I$33</f>
        <v>0.73537306991199292</v>
      </c>
      <c r="J154" s="14">
        <f t="shared" si="56"/>
        <v>0.80891037690319212</v>
      </c>
      <c r="K154" s="14">
        <f t="shared" si="56"/>
        <v>0.88244768389439143</v>
      </c>
      <c r="L154" s="14">
        <f t="shared" si="56"/>
        <v>0.95598499088559075</v>
      </c>
      <c r="M154" s="14">
        <f t="shared" si="56"/>
        <v>1.0295222978767899</v>
      </c>
      <c r="N154" s="14">
        <f t="shared" si="56"/>
        <v>1.0662909513723897</v>
      </c>
      <c r="O154" s="14">
        <f t="shared" si="56"/>
        <v>1.1765969118591886</v>
      </c>
      <c r="P154" s="14">
        <f t="shared" si="56"/>
        <v>1.2501342188503879</v>
      </c>
      <c r="Q154" s="14">
        <f t="shared" si="56"/>
        <v>1.2869028723459874</v>
      </c>
      <c r="R154" s="14">
        <f t="shared" si="38"/>
        <v>1.3236715258415872</v>
      </c>
      <c r="S154" s="14">
        <f t="shared" si="55"/>
        <v>1.3420558525893871</v>
      </c>
      <c r="T154" s="14">
        <f t="shared" si="55"/>
        <v>1.3420558525893871</v>
      </c>
      <c r="U154" s="14">
        <f t="shared" si="55"/>
        <v>1.3420558525893871</v>
      </c>
      <c r="V154" s="14">
        <f t="shared" si="55"/>
        <v>1.3236715258415872</v>
      </c>
      <c r="W154" s="14">
        <f t="shared" si="55"/>
        <v>1.139828258363589</v>
      </c>
      <c r="X154" s="14">
        <f t="shared" si="55"/>
        <v>1.0295222978767899</v>
      </c>
      <c r="Y154" s="14">
        <f t="shared" si="55"/>
        <v>0.91921633738999109</v>
      </c>
      <c r="Z154" s="14">
        <f t="shared" si="55"/>
        <v>0.88244768389439143</v>
      </c>
      <c r="AA154" s="14">
        <f t="shared" si="55"/>
        <v>0.84567903039879178</v>
      </c>
      <c r="AB154" s="14">
        <f t="shared" si="55"/>
        <v>0.80891037690319212</v>
      </c>
      <c r="AC154" s="14">
        <f t="shared" si="48"/>
        <v>21.491277968177993</v>
      </c>
    </row>
    <row r="155" spans="1:29" hidden="1" x14ac:dyDescent="0.2">
      <c r="A155" s="27" t="str">
        <f t="shared" si="53"/>
        <v>PUD No 1 of Pend Oreille Cnty - WA</v>
      </c>
      <c r="B155" s="11" t="s">
        <v>106</v>
      </c>
      <c r="C155" s="11" t="s">
        <v>14</v>
      </c>
      <c r="D155" s="12">
        <f>VLOOKUP($A155,'EIA Soure Data'!$A$5:$X$156,'EIA Soure Data'!F$1,0)</f>
        <v>133607</v>
      </c>
      <c r="E155" s="12">
        <f>VLOOKUP($A155,'EIA Soure Data'!$A$5:$X$156,'EIA Soure Data'!J$1,0)</f>
        <v>46194</v>
      </c>
      <c r="F155" s="12">
        <f>VLOOKUP($A155,'EIA Soure Data'!$A$5:$X$156,'EIA Soure Data'!N$1,0)</f>
        <v>805935</v>
      </c>
      <c r="G155" s="12">
        <f>VLOOKUP($A155,'EIA Soure Data'!$A$5:$X$156,'EIA Soure Data'!V$1,0)</f>
        <v>985736</v>
      </c>
      <c r="H155" s="13">
        <f t="shared" si="47"/>
        <v>6.3575471230577271E-3</v>
      </c>
      <c r="I155" s="14">
        <f t="shared" si="56"/>
        <v>1.2715094246115455</v>
      </c>
      <c r="J155" s="14">
        <f t="shared" si="56"/>
        <v>1.3986603670727</v>
      </c>
      <c r="K155" s="14">
        <f t="shared" si="56"/>
        <v>1.5258113095338546</v>
      </c>
      <c r="L155" s="14">
        <f t="shared" si="56"/>
        <v>1.6529622519950091</v>
      </c>
      <c r="M155" s="14">
        <f t="shared" si="56"/>
        <v>1.7801131944561637</v>
      </c>
      <c r="N155" s="14">
        <f t="shared" si="56"/>
        <v>1.8436886656867408</v>
      </c>
      <c r="O155" s="14">
        <f t="shared" si="56"/>
        <v>2.0344150793784728</v>
      </c>
      <c r="P155" s="14">
        <f t="shared" si="56"/>
        <v>2.1615660218396271</v>
      </c>
      <c r="Q155" s="14">
        <f t="shared" si="56"/>
        <v>2.2251414930702045</v>
      </c>
      <c r="R155" s="14">
        <f t="shared" si="38"/>
        <v>2.2887169643007819</v>
      </c>
      <c r="S155" s="14">
        <f t="shared" si="55"/>
        <v>2.3205046999160706</v>
      </c>
      <c r="T155" s="14">
        <f t="shared" si="55"/>
        <v>2.3205046999160706</v>
      </c>
      <c r="U155" s="14">
        <f t="shared" si="55"/>
        <v>2.3205046999160706</v>
      </c>
      <c r="V155" s="14">
        <f t="shared" si="55"/>
        <v>2.2887169643007819</v>
      </c>
      <c r="W155" s="14">
        <f t="shared" si="55"/>
        <v>1.9708396081478954</v>
      </c>
      <c r="X155" s="14">
        <f t="shared" si="55"/>
        <v>1.7801131944561637</v>
      </c>
      <c r="Y155" s="14">
        <f t="shared" si="55"/>
        <v>1.5893867807644317</v>
      </c>
      <c r="Z155" s="14">
        <f t="shared" si="55"/>
        <v>1.5258113095338546</v>
      </c>
      <c r="AA155" s="14">
        <f t="shared" si="55"/>
        <v>1.4622358383032772</v>
      </c>
      <c r="AB155" s="14">
        <f t="shared" si="55"/>
        <v>1.3986603670727</v>
      </c>
      <c r="AC155" s="14">
        <f t="shared" si="48"/>
        <v>37.159862934272418</v>
      </c>
    </row>
    <row r="156" spans="1:29" hidden="1" x14ac:dyDescent="0.2">
      <c r="A156" s="27" t="str">
        <f t="shared" si="53"/>
        <v>PUD No 1 of Skamania County - WA</v>
      </c>
      <c r="B156" s="11" t="s">
        <v>119</v>
      </c>
      <c r="C156" s="11" t="s">
        <v>14</v>
      </c>
      <c r="D156" s="12">
        <f>VLOOKUP($A156,'EIA Soure Data'!$A$5:$X$156,'EIA Soure Data'!F$1,0)</f>
        <v>75513</v>
      </c>
      <c r="E156" s="12">
        <f>VLOOKUP($A156,'EIA Soure Data'!$A$5:$X$156,'EIA Soure Data'!J$1,0)</f>
        <v>21145</v>
      </c>
      <c r="F156" s="12">
        <f>VLOOKUP($A156,'EIA Soure Data'!$A$5:$X$156,'EIA Soure Data'!N$1,0)</f>
        <v>27366</v>
      </c>
      <c r="G156" s="12">
        <f>VLOOKUP($A156,'EIA Soure Data'!$A$5:$X$156,'EIA Soure Data'!V$1,0)</f>
        <v>124024</v>
      </c>
      <c r="H156" s="13">
        <f t="shared" si="47"/>
        <v>7.9989817191429709E-4</v>
      </c>
      <c r="I156" s="14">
        <f t="shared" si="56"/>
        <v>0.15997963438285942</v>
      </c>
      <c r="J156" s="14">
        <f t="shared" si="56"/>
        <v>0.17597759782114536</v>
      </c>
      <c r="K156" s="14">
        <f t="shared" si="56"/>
        <v>0.1919755612594313</v>
      </c>
      <c r="L156" s="14">
        <f t="shared" si="56"/>
        <v>0.20797352469771724</v>
      </c>
      <c r="M156" s="14">
        <f t="shared" si="56"/>
        <v>0.22397148813600318</v>
      </c>
      <c r="N156" s="14">
        <f t="shared" si="56"/>
        <v>0.23197046985514616</v>
      </c>
      <c r="O156" s="14">
        <f t="shared" si="56"/>
        <v>0.25596741501257508</v>
      </c>
      <c r="P156" s="14">
        <f t="shared" si="56"/>
        <v>0.271965378450861</v>
      </c>
      <c r="Q156" s="14">
        <f t="shared" si="56"/>
        <v>0.27996436017000398</v>
      </c>
      <c r="R156" s="14">
        <f t="shared" si="38"/>
        <v>0.28796334188914696</v>
      </c>
      <c r="S156" s="14">
        <f t="shared" si="55"/>
        <v>0.29196283274871843</v>
      </c>
      <c r="T156" s="14">
        <f t="shared" si="55"/>
        <v>0.29196283274871843</v>
      </c>
      <c r="U156" s="14">
        <f t="shared" si="55"/>
        <v>0.29196283274871843</v>
      </c>
      <c r="V156" s="14">
        <f t="shared" si="55"/>
        <v>0.28796334188914696</v>
      </c>
      <c r="W156" s="14">
        <f t="shared" si="55"/>
        <v>0.2479684332934321</v>
      </c>
      <c r="X156" s="14">
        <f t="shared" si="55"/>
        <v>0.22397148813600318</v>
      </c>
      <c r="Y156" s="14">
        <f t="shared" si="55"/>
        <v>0.19997454297857428</v>
      </c>
      <c r="Z156" s="14">
        <f t="shared" si="55"/>
        <v>0.1919755612594313</v>
      </c>
      <c r="AA156" s="14">
        <f t="shared" si="55"/>
        <v>0.18397657954028834</v>
      </c>
      <c r="AB156" s="14">
        <f t="shared" si="55"/>
        <v>0.17597759782114536</v>
      </c>
      <c r="AC156" s="14">
        <f t="shared" si="48"/>
        <v>4.6754048148390668</v>
      </c>
    </row>
    <row r="157" spans="1:29" hidden="1" x14ac:dyDescent="0.2">
      <c r="A157" s="27" t="str">
        <f t="shared" si="53"/>
        <v>PUD No 1 of Snohomish County - WA</v>
      </c>
      <c r="B157" s="11" t="s">
        <v>120</v>
      </c>
      <c r="C157" s="11" t="s">
        <v>14</v>
      </c>
      <c r="D157" s="12">
        <f>VLOOKUP($A157,'EIA Soure Data'!$A$5:$X$156,'EIA Soure Data'!F$1,0)</f>
        <v>3493641</v>
      </c>
      <c r="E157" s="12">
        <f>VLOOKUP($A157,'EIA Soure Data'!$A$5:$X$156,'EIA Soure Data'!J$1,0)</f>
        <v>2398351</v>
      </c>
      <c r="F157" s="12">
        <f>VLOOKUP($A157,'EIA Soure Data'!$A$5:$X$156,'EIA Soure Data'!N$1,0)</f>
        <v>829188</v>
      </c>
      <c r="G157" s="12">
        <f>VLOOKUP($A157,'EIA Soure Data'!$A$5:$X$156,'EIA Soure Data'!V$1,0)</f>
        <v>6721180</v>
      </c>
      <c r="H157" s="13">
        <f t="shared" si="47"/>
        <v>4.3348542178182736E-2</v>
      </c>
      <c r="I157" s="14">
        <f t="shared" si="56"/>
        <v>8.6697084356365473</v>
      </c>
      <c r="J157" s="14">
        <f t="shared" si="56"/>
        <v>9.536679279200202</v>
      </c>
      <c r="K157" s="14">
        <f t="shared" si="56"/>
        <v>10.403650122763857</v>
      </c>
      <c r="L157" s="14">
        <f t="shared" si="56"/>
        <v>11.270620966327511</v>
      </c>
      <c r="M157" s="14">
        <f t="shared" si="56"/>
        <v>12.137591809891166</v>
      </c>
      <c r="N157" s="14">
        <f t="shared" si="56"/>
        <v>12.571077231672994</v>
      </c>
      <c r="O157" s="14">
        <f t="shared" si="56"/>
        <v>13.871533497018476</v>
      </c>
      <c r="P157" s="14">
        <f t="shared" si="56"/>
        <v>14.73850434058213</v>
      </c>
      <c r="Q157" s="14">
        <f t="shared" si="56"/>
        <v>15.171989762363957</v>
      </c>
      <c r="R157" s="14">
        <f t="shared" si="38"/>
        <v>15.605475184145785</v>
      </c>
      <c r="S157" s="14">
        <f t="shared" si="55"/>
        <v>15.822217895036699</v>
      </c>
      <c r="T157" s="14">
        <f t="shared" si="55"/>
        <v>15.822217895036699</v>
      </c>
      <c r="U157" s="14">
        <f t="shared" si="55"/>
        <v>15.822217895036699</v>
      </c>
      <c r="V157" s="14">
        <f t="shared" si="55"/>
        <v>15.605475184145785</v>
      </c>
      <c r="W157" s="14">
        <f t="shared" si="55"/>
        <v>13.438048075236647</v>
      </c>
      <c r="X157" s="14">
        <f t="shared" si="55"/>
        <v>12.137591809891166</v>
      </c>
      <c r="Y157" s="14">
        <f t="shared" si="55"/>
        <v>10.837135544545685</v>
      </c>
      <c r="Z157" s="14">
        <f t="shared" si="55"/>
        <v>10.403650122763857</v>
      </c>
      <c r="AA157" s="14">
        <f t="shared" si="55"/>
        <v>9.9701647009820284</v>
      </c>
      <c r="AB157" s="14">
        <f t="shared" si="55"/>
        <v>9.536679279200202</v>
      </c>
      <c r="AC157" s="14">
        <f t="shared" si="48"/>
        <v>253.3722290314781</v>
      </c>
    </row>
    <row r="158" spans="1:29" hidden="1" x14ac:dyDescent="0.2">
      <c r="A158" s="27" t="str">
        <f t="shared" si="53"/>
        <v>PUD No 1 of Whatcom County - WA</v>
      </c>
      <c r="B158" s="27" t="s">
        <v>147</v>
      </c>
      <c r="C158" s="11" t="s">
        <v>14</v>
      </c>
      <c r="D158" s="12">
        <f>VLOOKUP($A158,'EIA Soure Data'!$A$5:$X$156,'EIA Soure Data'!F$1,0)</f>
        <v>0</v>
      </c>
      <c r="E158" s="12">
        <f>VLOOKUP($A158,'EIA Soure Data'!$A$5:$X$156,'EIA Soure Data'!J$1,0)</f>
        <v>0</v>
      </c>
      <c r="F158" s="12">
        <f>VLOOKUP($A158,'EIA Soure Data'!$A$5:$X$156,'EIA Soure Data'!N$1,0)</f>
        <v>213677</v>
      </c>
      <c r="G158" s="12">
        <f>VLOOKUP($A158,'EIA Soure Data'!$A$5:$X$156,'EIA Soure Data'!V$1,0)</f>
        <v>213677</v>
      </c>
      <c r="H158" s="13">
        <f t="shared" si="47"/>
        <v>1.3781190872744894E-3</v>
      </c>
      <c r="I158" s="14">
        <f t="shared" si="56"/>
        <v>0.27562381745489789</v>
      </c>
      <c r="J158" s="14">
        <f t="shared" si="56"/>
        <v>0.3031861992003877</v>
      </c>
      <c r="K158" s="14">
        <f t="shared" si="56"/>
        <v>0.33074858094587745</v>
      </c>
      <c r="L158" s="14">
        <f t="shared" si="56"/>
        <v>0.35831096269136725</v>
      </c>
      <c r="M158" s="14">
        <f t="shared" si="56"/>
        <v>0.38587334443685706</v>
      </c>
      <c r="N158" s="14">
        <f t="shared" si="56"/>
        <v>0.39965453530960193</v>
      </c>
      <c r="O158" s="14">
        <f t="shared" si="56"/>
        <v>0.44099810792783661</v>
      </c>
      <c r="P158" s="14">
        <f t="shared" si="56"/>
        <v>0.46856048967332642</v>
      </c>
      <c r="Q158" s="14">
        <f t="shared" si="56"/>
        <v>0.48234168054607129</v>
      </c>
      <c r="R158" s="14">
        <f t="shared" si="38"/>
        <v>0.49612287141881617</v>
      </c>
      <c r="S158" s="14">
        <f t="shared" si="55"/>
        <v>0.50301346685518866</v>
      </c>
      <c r="T158" s="14">
        <f t="shared" si="55"/>
        <v>0.50301346685518866</v>
      </c>
      <c r="U158" s="14">
        <f t="shared" si="55"/>
        <v>0.50301346685518866</v>
      </c>
      <c r="V158" s="14">
        <f t="shared" si="55"/>
        <v>0.49612287141881617</v>
      </c>
      <c r="W158" s="14">
        <f t="shared" si="55"/>
        <v>0.42721691705509174</v>
      </c>
      <c r="X158" s="14">
        <f t="shared" si="55"/>
        <v>0.38587334443685706</v>
      </c>
      <c r="Y158" s="14">
        <f t="shared" si="55"/>
        <v>0.34452977181862238</v>
      </c>
      <c r="Z158" s="14">
        <f t="shared" si="55"/>
        <v>0.33074858094587745</v>
      </c>
      <c r="AA158" s="14">
        <f t="shared" si="55"/>
        <v>0.31696739007313257</v>
      </c>
      <c r="AB158" s="14">
        <f t="shared" si="55"/>
        <v>0.3031861992003877</v>
      </c>
      <c r="AC158" s="14">
        <f t="shared" si="48"/>
        <v>8.0551060651193911</v>
      </c>
    </row>
    <row r="159" spans="1:29" hidden="1" x14ac:dyDescent="0.2">
      <c r="A159" s="27" t="str">
        <f t="shared" si="53"/>
        <v>PUD No 1 Wahkiakum County - WA</v>
      </c>
      <c r="B159" s="11" t="s">
        <v>111</v>
      </c>
      <c r="C159" s="11" t="s">
        <v>14</v>
      </c>
      <c r="D159" s="12">
        <f>VLOOKUP($A159,'EIA Soure Data'!$A$5:$X$156,'EIA Soure Data'!F$1,0)</f>
        <v>29316</v>
      </c>
      <c r="E159" s="12">
        <f>VLOOKUP($A159,'EIA Soure Data'!$A$5:$X$156,'EIA Soure Data'!J$1,0)</f>
        <v>10074</v>
      </c>
      <c r="F159" s="12">
        <f>VLOOKUP($A159,'EIA Soure Data'!$A$5:$X$156,'EIA Soure Data'!N$1,0)</f>
        <v>0</v>
      </c>
      <c r="G159" s="12">
        <f>VLOOKUP($A159,'EIA Soure Data'!$A$5:$X$156,'EIA Soure Data'!V$1,0)</f>
        <v>39390</v>
      </c>
      <c r="H159" s="13">
        <f t="shared" si="47"/>
        <v>2.5404751493020837E-4</v>
      </c>
      <c r="I159" s="14">
        <f t="shared" si="56"/>
        <v>5.0809502986041671E-2</v>
      </c>
      <c r="J159" s="14">
        <f t="shared" si="56"/>
        <v>5.5890453284645841E-2</v>
      </c>
      <c r="K159" s="14">
        <f t="shared" si="56"/>
        <v>6.0971403583250011E-2</v>
      </c>
      <c r="L159" s="14">
        <f t="shared" si="56"/>
        <v>6.6052353881854181E-2</v>
      </c>
      <c r="M159" s="14">
        <f t="shared" si="56"/>
        <v>7.1133304180458337E-2</v>
      </c>
      <c r="N159" s="14">
        <f t="shared" si="56"/>
        <v>7.3673779329760422E-2</v>
      </c>
      <c r="O159" s="14">
        <f t="shared" si="56"/>
        <v>8.1295204777666677E-2</v>
      </c>
      <c r="P159" s="14">
        <f t="shared" si="56"/>
        <v>8.6376155076270847E-2</v>
      </c>
      <c r="Q159" s="14">
        <f t="shared" si="56"/>
        <v>8.8916630225572932E-2</v>
      </c>
      <c r="R159" s="14">
        <f t="shared" si="38"/>
        <v>9.1457105374875017E-2</v>
      </c>
      <c r="S159" s="14">
        <f t="shared" si="55"/>
        <v>9.2727342949526059E-2</v>
      </c>
      <c r="T159" s="14">
        <f t="shared" si="55"/>
        <v>9.2727342949526059E-2</v>
      </c>
      <c r="U159" s="14">
        <f t="shared" si="55"/>
        <v>9.2727342949526059E-2</v>
      </c>
      <c r="V159" s="14">
        <f t="shared" si="55"/>
        <v>9.1457105374875017E-2</v>
      </c>
      <c r="W159" s="14">
        <f t="shared" si="55"/>
        <v>7.8754729628364592E-2</v>
      </c>
      <c r="X159" s="14">
        <f t="shared" si="55"/>
        <v>7.1133304180458337E-2</v>
      </c>
      <c r="Y159" s="14">
        <f t="shared" si="55"/>
        <v>6.3511878732552096E-2</v>
      </c>
      <c r="Z159" s="14">
        <f t="shared" si="55"/>
        <v>6.0971403583250011E-2</v>
      </c>
      <c r="AA159" s="14">
        <f t="shared" si="55"/>
        <v>5.8430928433947926E-2</v>
      </c>
      <c r="AB159" s="14">
        <f t="shared" si="55"/>
        <v>5.5890453284645841E-2</v>
      </c>
      <c r="AC159" s="14">
        <f t="shared" si="48"/>
        <v>1.4849077247670679</v>
      </c>
    </row>
    <row r="160" spans="1:29" hidden="1" x14ac:dyDescent="0.2">
      <c r="A160" s="27" t="str">
        <f t="shared" si="53"/>
        <v>PUD No 2 of Grant County - WA</v>
      </c>
      <c r="B160" s="11" t="s">
        <v>105</v>
      </c>
      <c r="C160" s="11" t="s">
        <v>14</v>
      </c>
      <c r="D160" s="12">
        <f>VLOOKUP($A160,'EIA Soure Data'!$A$5:$X$156,'EIA Soure Data'!F$1,0)</f>
        <v>728619</v>
      </c>
      <c r="E160" s="12">
        <f>VLOOKUP($A160,'EIA Soure Data'!$A$5:$X$156,'EIA Soure Data'!J$1,0)</f>
        <v>706959</v>
      </c>
      <c r="F160" s="12">
        <f>VLOOKUP($A160,'EIA Soure Data'!$A$5:$X$156,'EIA Soure Data'!N$1,0)</f>
        <v>2442612</v>
      </c>
      <c r="G160" s="12">
        <f>VLOOKUP($A160,'EIA Soure Data'!$A$5:$X$156,'EIA Soure Data'!V$1,0)</f>
        <v>3878190</v>
      </c>
      <c r="H160" s="13">
        <f t="shared" si="47"/>
        <v>2.5012554758242822E-2</v>
      </c>
      <c r="I160" s="14">
        <f t="shared" si="56"/>
        <v>5.0025109516485644</v>
      </c>
      <c r="J160" s="14">
        <f t="shared" si="56"/>
        <v>5.5027620468134213</v>
      </c>
      <c r="K160" s="14">
        <f t="shared" si="56"/>
        <v>6.0030131419782773</v>
      </c>
      <c r="L160" s="14">
        <f t="shared" si="56"/>
        <v>6.5032642371431333</v>
      </c>
      <c r="M160" s="14">
        <f t="shared" si="56"/>
        <v>7.0035153323079902</v>
      </c>
      <c r="N160" s="14">
        <f t="shared" si="56"/>
        <v>7.2536408798904182</v>
      </c>
      <c r="O160" s="14">
        <f t="shared" si="56"/>
        <v>8.0040175226377031</v>
      </c>
      <c r="P160" s="14">
        <f t="shared" si="56"/>
        <v>8.504268617802559</v>
      </c>
      <c r="Q160" s="14">
        <f t="shared" si="56"/>
        <v>8.754394165384987</v>
      </c>
      <c r="R160" s="14">
        <f t="shared" si="38"/>
        <v>9.004519712967415</v>
      </c>
      <c r="S160" s="14">
        <f t="shared" si="55"/>
        <v>9.1295824867586308</v>
      </c>
      <c r="T160" s="14">
        <f t="shared" si="55"/>
        <v>9.1295824867586308</v>
      </c>
      <c r="U160" s="14">
        <f t="shared" si="55"/>
        <v>9.1295824867586308</v>
      </c>
      <c r="V160" s="14">
        <f t="shared" si="55"/>
        <v>9.004519712967415</v>
      </c>
      <c r="W160" s="14">
        <f t="shared" si="55"/>
        <v>7.7538919750552751</v>
      </c>
      <c r="X160" s="14">
        <f t="shared" si="55"/>
        <v>7.0035153323079902</v>
      </c>
      <c r="Y160" s="14">
        <f t="shared" si="55"/>
        <v>6.2531386895607053</v>
      </c>
      <c r="Z160" s="14">
        <f t="shared" si="55"/>
        <v>6.0030131419782773</v>
      </c>
      <c r="AA160" s="14">
        <f t="shared" si="55"/>
        <v>5.7528875943958493</v>
      </c>
      <c r="AB160" s="14">
        <f t="shared" si="55"/>
        <v>5.5027620468134213</v>
      </c>
      <c r="AC160" s="14">
        <f t="shared" si="48"/>
        <v>146.19838256192929</v>
      </c>
    </row>
    <row r="161" spans="1:29" hidden="1" x14ac:dyDescent="0.2">
      <c r="A161" s="27" t="str">
        <f t="shared" si="53"/>
        <v>PUD No 2 of Pacific County - WA</v>
      </c>
      <c r="B161" s="11" t="s">
        <v>101</v>
      </c>
      <c r="C161" s="11" t="s">
        <v>14</v>
      </c>
      <c r="D161" s="12">
        <f>VLOOKUP($A161,'EIA Soure Data'!$A$5:$X$156,'EIA Soure Data'!F$1,0)</f>
        <v>180606</v>
      </c>
      <c r="E161" s="12">
        <f>VLOOKUP($A161,'EIA Soure Data'!$A$5:$X$156,'EIA Soure Data'!J$1,0)</f>
        <v>85964</v>
      </c>
      <c r="F161" s="12">
        <f>VLOOKUP($A161,'EIA Soure Data'!$A$5:$X$156,'EIA Soure Data'!N$1,0)</f>
        <v>19218</v>
      </c>
      <c r="G161" s="12">
        <f>VLOOKUP($A161,'EIA Soure Data'!$A$5:$X$156,'EIA Soure Data'!V$1,0)</f>
        <v>285788</v>
      </c>
      <c r="H161" s="13">
        <f t="shared" si="47"/>
        <v>1.8432021121318708E-3</v>
      </c>
      <c r="I161" s="14">
        <f t="shared" si="56"/>
        <v>0.36864042242637418</v>
      </c>
      <c r="J161" s="14">
        <f t="shared" si="56"/>
        <v>0.40550446466901158</v>
      </c>
      <c r="K161" s="14">
        <f t="shared" si="56"/>
        <v>0.44236850691164897</v>
      </c>
      <c r="L161" s="14">
        <f t="shared" si="56"/>
        <v>0.47923254915428642</v>
      </c>
      <c r="M161" s="14">
        <f t="shared" si="56"/>
        <v>0.51609659139692388</v>
      </c>
      <c r="N161" s="14">
        <f t="shared" si="56"/>
        <v>0.53452861251824257</v>
      </c>
      <c r="O161" s="14">
        <f t="shared" si="56"/>
        <v>0.58982467588219867</v>
      </c>
      <c r="P161" s="14">
        <f t="shared" si="56"/>
        <v>0.62668871812483606</v>
      </c>
      <c r="Q161" s="14">
        <f t="shared" si="56"/>
        <v>0.64512073924615476</v>
      </c>
      <c r="R161" s="14">
        <f t="shared" si="38"/>
        <v>0.66355276036747346</v>
      </c>
      <c r="S161" s="14">
        <f t="shared" si="55"/>
        <v>0.67276877092813281</v>
      </c>
      <c r="T161" s="14">
        <f t="shared" si="55"/>
        <v>0.67276877092813281</v>
      </c>
      <c r="U161" s="14">
        <f t="shared" si="55"/>
        <v>0.67276877092813281</v>
      </c>
      <c r="V161" s="14">
        <f t="shared" si="55"/>
        <v>0.66355276036747346</v>
      </c>
      <c r="W161" s="14">
        <f t="shared" si="55"/>
        <v>0.57139265476087997</v>
      </c>
      <c r="X161" s="14">
        <f t="shared" si="55"/>
        <v>0.51609659139692388</v>
      </c>
      <c r="Y161" s="14">
        <f t="shared" si="55"/>
        <v>0.46080052803296767</v>
      </c>
      <c r="Z161" s="14">
        <f t="shared" si="55"/>
        <v>0.44236850691164897</v>
      </c>
      <c r="AA161" s="14">
        <f t="shared" si="55"/>
        <v>0.42393648579033028</v>
      </c>
      <c r="AB161" s="14">
        <f t="shared" si="55"/>
        <v>0.40550446466901158</v>
      </c>
      <c r="AC161" s="14">
        <f t="shared" si="48"/>
        <v>10.773516345410785</v>
      </c>
    </row>
    <row r="162" spans="1:29" hidden="1" x14ac:dyDescent="0.2">
      <c r="A162" s="27" t="str">
        <f t="shared" si="53"/>
        <v>PUD No 3 of Mason County - WA</v>
      </c>
      <c r="B162" s="11" t="s">
        <v>112</v>
      </c>
      <c r="C162" s="11" t="s">
        <v>14</v>
      </c>
      <c r="D162" s="12">
        <f>VLOOKUP($A162,'EIA Soure Data'!$A$5:$X$156,'EIA Soure Data'!F$1,0)</f>
        <v>418585</v>
      </c>
      <c r="E162" s="12">
        <f>VLOOKUP($A162,'EIA Soure Data'!$A$5:$X$156,'EIA Soure Data'!J$1,0)</f>
        <v>185524</v>
      </c>
      <c r="F162" s="12">
        <f>VLOOKUP($A162,'EIA Soure Data'!$A$5:$X$156,'EIA Soure Data'!N$1,0)</f>
        <v>50458</v>
      </c>
      <c r="G162" s="12">
        <f>VLOOKUP($A162,'EIA Soure Data'!$A$5:$X$156,'EIA Soure Data'!V$1,0)</f>
        <v>654567</v>
      </c>
      <c r="H162" s="13">
        <f t="shared" si="47"/>
        <v>4.2216582814247703E-3</v>
      </c>
      <c r="I162" s="14">
        <f t="shared" si="56"/>
        <v>0.8443316562849541</v>
      </c>
      <c r="J162" s="14">
        <f t="shared" si="56"/>
        <v>0.92876482191344945</v>
      </c>
      <c r="K162" s="14">
        <f t="shared" si="56"/>
        <v>1.0131979875419448</v>
      </c>
      <c r="L162" s="14">
        <f t="shared" si="56"/>
        <v>1.0976311531704404</v>
      </c>
      <c r="M162" s="14">
        <f t="shared" si="56"/>
        <v>1.1820643187989357</v>
      </c>
      <c r="N162" s="14">
        <f t="shared" si="56"/>
        <v>1.2242809016131835</v>
      </c>
      <c r="O162" s="14">
        <f t="shared" si="56"/>
        <v>1.3509306500559264</v>
      </c>
      <c r="P162" s="14">
        <f t="shared" si="56"/>
        <v>1.435363815684422</v>
      </c>
      <c r="Q162" s="14">
        <f t="shared" si="56"/>
        <v>1.4775803984986695</v>
      </c>
      <c r="R162" s="14">
        <f t="shared" ref="R162:R193" si="57">$H162*R$33</f>
        <v>1.5197969813129173</v>
      </c>
      <c r="S162" s="14">
        <f t="shared" si="55"/>
        <v>1.5409052727200412</v>
      </c>
      <c r="T162" s="14">
        <f t="shared" si="55"/>
        <v>1.5409052727200412</v>
      </c>
      <c r="U162" s="14">
        <f t="shared" si="55"/>
        <v>1.5409052727200412</v>
      </c>
      <c r="V162" s="14">
        <f t="shared" si="55"/>
        <v>1.5197969813129173</v>
      </c>
      <c r="W162" s="14">
        <f t="shared" si="55"/>
        <v>1.3087140672416788</v>
      </c>
      <c r="X162" s="14">
        <f t="shared" si="55"/>
        <v>1.1820643187989357</v>
      </c>
      <c r="Y162" s="14">
        <f t="shared" si="55"/>
        <v>1.0554145703561926</v>
      </c>
      <c r="Z162" s="14">
        <f t="shared" si="55"/>
        <v>1.0131979875419448</v>
      </c>
      <c r="AA162" s="14">
        <f t="shared" si="55"/>
        <v>0.97098140472769712</v>
      </c>
      <c r="AB162" s="14">
        <f t="shared" si="55"/>
        <v>0.92876482191344945</v>
      </c>
      <c r="AC162" s="14">
        <f t="shared" si="48"/>
        <v>24.675592654927783</v>
      </c>
    </row>
    <row r="163" spans="1:29" hidden="1" x14ac:dyDescent="0.2">
      <c r="A163" s="27" t="str">
        <f t="shared" si="53"/>
        <v>Puget Sound Energy Inc - WA</v>
      </c>
      <c r="B163" s="11" t="s">
        <v>13</v>
      </c>
      <c r="C163" s="11" t="s">
        <v>14</v>
      </c>
      <c r="D163" s="12">
        <f>VLOOKUP($A163,'EIA Soure Data'!$A$5:$X$156,'EIA Soure Data'!F$1,0)</f>
        <v>10609011</v>
      </c>
      <c r="E163" s="12">
        <f>VLOOKUP($A163,'EIA Soure Data'!$A$5:$X$156,'EIA Soure Data'!J$1,0)</f>
        <v>9138486</v>
      </c>
      <c r="F163" s="12">
        <f>VLOOKUP($A163,'EIA Soure Data'!$A$5:$X$156,'EIA Soure Data'!N$1,0)</f>
        <v>1153642</v>
      </c>
      <c r="G163" s="12">
        <f>VLOOKUP($A163,'EIA Soure Data'!$A$5:$X$156,'EIA Soure Data'!V$1,0)</f>
        <v>20904907</v>
      </c>
      <c r="H163" s="13">
        <f t="shared" ref="H163:H185" si="58">G163/PNWSales_Total</f>
        <v>0.13482710518398369</v>
      </c>
      <c r="I163" s="14">
        <f t="shared" si="56"/>
        <v>26.965421036796737</v>
      </c>
      <c r="J163" s="14">
        <f t="shared" si="56"/>
        <v>29.661963140476413</v>
      </c>
      <c r="K163" s="14">
        <f t="shared" si="56"/>
        <v>32.358505244156085</v>
      </c>
      <c r="L163" s="14">
        <f t="shared" si="56"/>
        <v>35.05504734783576</v>
      </c>
      <c r="M163" s="14">
        <f t="shared" si="56"/>
        <v>37.751589451515436</v>
      </c>
      <c r="N163" s="14">
        <f t="shared" si="56"/>
        <v>39.099860503355274</v>
      </c>
      <c r="O163" s="14">
        <f t="shared" si="56"/>
        <v>43.14467365887478</v>
      </c>
      <c r="P163" s="14">
        <f t="shared" si="56"/>
        <v>45.841215762554455</v>
      </c>
      <c r="Q163" s="14">
        <f t="shared" si="56"/>
        <v>47.189486814394293</v>
      </c>
      <c r="R163" s="14">
        <f t="shared" si="57"/>
        <v>48.537757866234131</v>
      </c>
      <c r="S163" s="14">
        <f t="shared" si="55"/>
        <v>49.211893392154046</v>
      </c>
      <c r="T163" s="14">
        <f t="shared" si="55"/>
        <v>49.211893392154046</v>
      </c>
      <c r="U163" s="14">
        <f t="shared" si="55"/>
        <v>49.211893392154046</v>
      </c>
      <c r="V163" s="14">
        <f t="shared" si="55"/>
        <v>48.537757866234131</v>
      </c>
      <c r="W163" s="14">
        <f t="shared" si="55"/>
        <v>41.796402607034942</v>
      </c>
      <c r="X163" s="14">
        <f t="shared" si="55"/>
        <v>37.751589451515436</v>
      </c>
      <c r="Y163" s="14">
        <f t="shared" si="55"/>
        <v>33.706776295995923</v>
      </c>
      <c r="Z163" s="14">
        <f t="shared" si="55"/>
        <v>32.358505244156085</v>
      </c>
      <c r="AA163" s="14">
        <f t="shared" si="55"/>
        <v>31.010234192316251</v>
      </c>
      <c r="AB163" s="14">
        <f t="shared" si="55"/>
        <v>29.661963140476413</v>
      </c>
      <c r="AC163" s="14">
        <f t="shared" si="48"/>
        <v>788.06442980038469</v>
      </c>
    </row>
    <row r="164" spans="1:29" hidden="1" x14ac:dyDescent="0.2">
      <c r="A164" s="27" t="str">
        <f t="shared" si="53"/>
        <v>Raft River Rural Elec Coop Inc - ID</v>
      </c>
      <c r="B164" s="11" t="s">
        <v>141</v>
      </c>
      <c r="C164" s="11" t="s">
        <v>19</v>
      </c>
      <c r="D164" s="12">
        <f>VLOOKUP($A164,'EIA Soure Data'!$A$5:$X$156,'EIA Soure Data'!F$1,0)</f>
        <v>22518</v>
      </c>
      <c r="E164" s="12">
        <f>VLOOKUP($A164,'EIA Soure Data'!$A$5:$X$156,'EIA Soure Data'!J$1,0)</f>
        <v>33261</v>
      </c>
      <c r="F164" s="12">
        <f>VLOOKUP($A164,'EIA Soure Data'!$A$5:$X$156,'EIA Soure Data'!N$1,0)</f>
        <v>123002</v>
      </c>
      <c r="G164" s="12">
        <f>VLOOKUP($A164,'EIA Soure Data'!$A$5:$X$156,'EIA Soure Data'!V$1,0)</f>
        <v>178781</v>
      </c>
      <c r="H164" s="13">
        <f t="shared" si="58"/>
        <v>1.153055820429997E-3</v>
      </c>
      <c r="I164" s="14">
        <f t="shared" ref="I164:Q174" si="59">$H164*I$33</f>
        <v>0.23061116408599941</v>
      </c>
      <c r="J164" s="14">
        <f t="shared" si="59"/>
        <v>0.25367228049459933</v>
      </c>
      <c r="K164" s="14">
        <f t="shared" si="59"/>
        <v>0.27673339690319926</v>
      </c>
      <c r="L164" s="14">
        <f t="shared" si="59"/>
        <v>0.29979451331179924</v>
      </c>
      <c r="M164" s="14">
        <f t="shared" si="59"/>
        <v>0.32285562972039916</v>
      </c>
      <c r="N164" s="14">
        <f t="shared" si="59"/>
        <v>0.33438618792469915</v>
      </c>
      <c r="O164" s="14">
        <f t="shared" si="59"/>
        <v>0.36897786253759901</v>
      </c>
      <c r="P164" s="14">
        <f t="shared" si="59"/>
        <v>0.39203897894619899</v>
      </c>
      <c r="Q164" s="14">
        <f t="shared" si="59"/>
        <v>0.40356953715049892</v>
      </c>
      <c r="R164" s="14">
        <f t="shared" si="57"/>
        <v>0.41510009535479891</v>
      </c>
      <c r="S164" s="14">
        <f t="shared" si="55"/>
        <v>0.42086537445694888</v>
      </c>
      <c r="T164" s="14">
        <f t="shared" si="55"/>
        <v>0.42086537445694888</v>
      </c>
      <c r="U164" s="14">
        <f t="shared" si="55"/>
        <v>0.42086537445694888</v>
      </c>
      <c r="V164" s="14">
        <f t="shared" si="55"/>
        <v>0.41510009535479891</v>
      </c>
      <c r="W164" s="14">
        <f t="shared" si="55"/>
        <v>0.35744730433329908</v>
      </c>
      <c r="X164" s="14">
        <f t="shared" si="55"/>
        <v>0.32285562972039916</v>
      </c>
      <c r="Y164" s="14">
        <f t="shared" si="55"/>
        <v>0.28826395510749925</v>
      </c>
      <c r="Z164" s="14">
        <f t="shared" si="55"/>
        <v>0.27673339690319926</v>
      </c>
      <c r="AA164" s="14">
        <f t="shared" si="55"/>
        <v>0.26520283869889932</v>
      </c>
      <c r="AB164" s="14">
        <f t="shared" si="55"/>
        <v>0.25367228049459933</v>
      </c>
      <c r="AC164" s="14">
        <f t="shared" ref="AC164:AC195" si="60">$H164*AC$33</f>
        <v>6.7396112704133326</v>
      </c>
    </row>
    <row r="165" spans="1:29" x14ac:dyDescent="0.2">
      <c r="A165" s="27" t="str">
        <f t="shared" si="53"/>
        <v>Raft River Rural Elec Coop Inc - NV</v>
      </c>
      <c r="B165" s="11" t="s">
        <v>141</v>
      </c>
      <c r="C165" s="11" t="s">
        <v>82</v>
      </c>
      <c r="D165" s="12">
        <f>VLOOKUP($A165,'EIA Soure Data'!$A$5:$X$156,'EIA Soure Data'!F$1,0)</f>
        <v>16159</v>
      </c>
      <c r="E165" s="12">
        <f>VLOOKUP($A165,'EIA Soure Data'!$A$5:$X$156,'EIA Soure Data'!J$1,0)</f>
        <v>35129</v>
      </c>
      <c r="F165" s="12">
        <f>VLOOKUP($A165,'EIA Soure Data'!$A$5:$X$156,'EIA Soure Data'!N$1,0)</f>
        <v>2855</v>
      </c>
      <c r="G165" s="12">
        <f>VLOOKUP($A165,'EIA Soure Data'!$A$5:$X$156,'EIA Soure Data'!V$1,0)</f>
        <v>54143</v>
      </c>
      <c r="H165" s="13">
        <f t="shared" si="58"/>
        <v>3.4919762886179926E-4</v>
      </c>
      <c r="I165" s="14">
        <f t="shared" si="59"/>
        <v>6.9839525772359856E-2</v>
      </c>
      <c r="J165" s="14">
        <f t="shared" si="59"/>
        <v>7.6823478349595839E-2</v>
      </c>
      <c r="K165" s="14">
        <f t="shared" si="59"/>
        <v>8.3807430926831822E-2</v>
      </c>
      <c r="L165" s="14">
        <f t="shared" si="59"/>
        <v>9.0791383504067805E-2</v>
      </c>
      <c r="M165" s="14">
        <f t="shared" si="59"/>
        <v>9.7775336081303788E-2</v>
      </c>
      <c r="N165" s="14">
        <f t="shared" si="59"/>
        <v>0.10126731236992179</v>
      </c>
      <c r="O165" s="14">
        <f t="shared" si="59"/>
        <v>0.11174324123577577</v>
      </c>
      <c r="P165" s="14">
        <f t="shared" si="59"/>
        <v>0.11872719381301175</v>
      </c>
      <c r="Q165" s="14">
        <f t="shared" si="59"/>
        <v>0.12221917010162975</v>
      </c>
      <c r="R165" s="14">
        <f t="shared" si="57"/>
        <v>0.12571114639024775</v>
      </c>
      <c r="S165" s="14">
        <f t="shared" si="55"/>
        <v>0.12745713453455673</v>
      </c>
      <c r="T165" s="14">
        <f t="shared" si="55"/>
        <v>0.12745713453455673</v>
      </c>
      <c r="U165" s="14">
        <f t="shared" si="55"/>
        <v>0.12745713453455673</v>
      </c>
      <c r="V165" s="14">
        <f t="shared" si="55"/>
        <v>0.12571114639024775</v>
      </c>
      <c r="W165" s="14">
        <f t="shared" si="55"/>
        <v>0.10825126494715777</v>
      </c>
      <c r="X165" s="14">
        <f t="shared" si="55"/>
        <v>9.7775336081303788E-2</v>
      </c>
      <c r="Y165" s="14">
        <f t="shared" si="55"/>
        <v>8.729940721544982E-2</v>
      </c>
      <c r="Z165" s="14">
        <f t="shared" si="55"/>
        <v>8.3807430926831822E-2</v>
      </c>
      <c r="AA165" s="14">
        <f t="shared" si="55"/>
        <v>8.0315454638213823E-2</v>
      </c>
      <c r="AB165" s="14">
        <f t="shared" si="55"/>
        <v>7.6823478349595839E-2</v>
      </c>
      <c r="AC165" s="14">
        <f t="shared" si="60"/>
        <v>2.0410601406972169</v>
      </c>
    </row>
    <row r="166" spans="1:29" hidden="1" x14ac:dyDescent="0.2">
      <c r="A166" s="27" t="str">
        <f t="shared" si="53"/>
        <v>Ravalli County Elec Coop, Inc - MT</v>
      </c>
      <c r="B166" s="11" t="s">
        <v>143</v>
      </c>
      <c r="C166" s="11" t="s">
        <v>56</v>
      </c>
      <c r="D166" s="12">
        <f>VLOOKUP($A166,'EIA Soure Data'!$A$5:$X$156,'EIA Soure Data'!F$1,0)</f>
        <v>132803</v>
      </c>
      <c r="E166" s="12">
        <f>VLOOKUP($A166,'EIA Soure Data'!$A$5:$X$156,'EIA Soure Data'!J$1,0)</f>
        <v>9226</v>
      </c>
      <c r="F166" s="12">
        <f>VLOOKUP($A166,'EIA Soure Data'!$A$5:$X$156,'EIA Soure Data'!N$1,0)</f>
        <v>3077</v>
      </c>
      <c r="G166" s="12">
        <f>VLOOKUP($A166,'EIA Soure Data'!$A$5:$X$156,'EIA Soure Data'!V$1,0)</f>
        <v>145106</v>
      </c>
      <c r="H166" s="13">
        <f t="shared" si="58"/>
        <v>9.3586744608943433E-4</v>
      </c>
      <c r="I166" s="14">
        <f t="shared" si="59"/>
        <v>0.18717348921788687</v>
      </c>
      <c r="J166" s="14">
        <f t="shared" si="59"/>
        <v>0.20589083813967554</v>
      </c>
      <c r="K166" s="14">
        <f t="shared" si="59"/>
        <v>0.22460818706146424</v>
      </c>
      <c r="L166" s="14">
        <f t="shared" si="59"/>
        <v>0.24332553598325293</v>
      </c>
      <c r="M166" s="14">
        <f t="shared" si="59"/>
        <v>0.26204288490504163</v>
      </c>
      <c r="N166" s="14">
        <f t="shared" si="59"/>
        <v>0.27140155936593596</v>
      </c>
      <c r="O166" s="14">
        <f t="shared" si="59"/>
        <v>0.29947758274861896</v>
      </c>
      <c r="P166" s="14">
        <f t="shared" si="59"/>
        <v>0.31819493167040769</v>
      </c>
      <c r="Q166" s="14">
        <f t="shared" si="59"/>
        <v>0.32755360613130202</v>
      </c>
      <c r="R166" s="14">
        <f t="shared" si="57"/>
        <v>0.33691228059219636</v>
      </c>
      <c r="S166" s="14">
        <f t="shared" si="55"/>
        <v>0.34159161782264352</v>
      </c>
      <c r="T166" s="14">
        <f t="shared" si="55"/>
        <v>0.34159161782264352</v>
      </c>
      <c r="U166" s="14">
        <f t="shared" si="55"/>
        <v>0.34159161782264352</v>
      </c>
      <c r="V166" s="14">
        <f t="shared" si="55"/>
        <v>0.33691228059219636</v>
      </c>
      <c r="W166" s="14">
        <f t="shared" si="55"/>
        <v>0.29011890828772463</v>
      </c>
      <c r="X166" s="14">
        <f t="shared" si="55"/>
        <v>0.26204288490504163</v>
      </c>
      <c r="Y166" s="14">
        <f t="shared" si="55"/>
        <v>0.23396686152235857</v>
      </c>
      <c r="Z166" s="14">
        <f t="shared" si="55"/>
        <v>0.22460818706146424</v>
      </c>
      <c r="AA166" s="14">
        <f t="shared" si="55"/>
        <v>0.2152495126005699</v>
      </c>
      <c r="AB166" s="14">
        <f t="shared" si="55"/>
        <v>0.20589083813967554</v>
      </c>
      <c r="AC166" s="14">
        <f t="shared" si="60"/>
        <v>5.4701452223927438</v>
      </c>
    </row>
    <row r="167" spans="1:29" hidden="1" x14ac:dyDescent="0.2">
      <c r="A167" s="27" t="str">
        <f t="shared" si="53"/>
        <v>Riverside Electric Co - ID</v>
      </c>
      <c r="B167" s="11" t="s">
        <v>255</v>
      </c>
      <c r="C167" s="11" t="s">
        <v>19</v>
      </c>
      <c r="D167" s="12">
        <f>VLOOKUP($A167,'EIA Soure Data'!$A$5:$X$156,'EIA Soure Data'!F$1,0)</f>
        <v>18586</v>
      </c>
      <c r="E167" s="12">
        <f>VLOOKUP($A167,'EIA Soure Data'!$A$5:$X$156,'EIA Soure Data'!J$1,0)</f>
        <v>0</v>
      </c>
      <c r="F167" s="12">
        <f>VLOOKUP($A167,'EIA Soure Data'!$A$5:$X$156,'EIA Soure Data'!N$1,0)</f>
        <v>0</v>
      </c>
      <c r="G167" s="12">
        <f>VLOOKUP($A167,'EIA Soure Data'!$A$5:$X$156,'EIA Soure Data'!V$1,0)</f>
        <v>18586</v>
      </c>
      <c r="H167" s="13">
        <f t="shared" si="58"/>
        <v>1.1987121382312397E-4</v>
      </c>
      <c r="I167" s="14">
        <f t="shared" si="59"/>
        <v>2.3974242764624794E-2</v>
      </c>
      <c r="J167" s="14">
        <f t="shared" si="59"/>
        <v>2.6371667041087274E-2</v>
      </c>
      <c r="K167" s="14">
        <f t="shared" si="59"/>
        <v>2.876909131754975E-2</v>
      </c>
      <c r="L167" s="14">
        <f t="shared" si="59"/>
        <v>3.1166515594012231E-2</v>
      </c>
      <c r="M167" s="14">
        <f t="shared" si="59"/>
        <v>3.3563939870474707E-2</v>
      </c>
      <c r="N167" s="14">
        <f t="shared" si="59"/>
        <v>3.4762652008705951E-2</v>
      </c>
      <c r="O167" s="14">
        <f t="shared" si="59"/>
        <v>3.8358788423399667E-2</v>
      </c>
      <c r="P167" s="14">
        <f t="shared" si="59"/>
        <v>4.0756212699862147E-2</v>
      </c>
      <c r="Q167" s="14">
        <f t="shared" si="59"/>
        <v>4.1954924838093391E-2</v>
      </c>
      <c r="R167" s="14">
        <f t="shared" si="57"/>
        <v>4.3153636976324627E-2</v>
      </c>
      <c r="S167" s="14">
        <f t="shared" ref="S167:AB167" si="61">$H167*S$33</f>
        <v>4.3752993045440246E-2</v>
      </c>
      <c r="T167" s="14">
        <f t="shared" si="61"/>
        <v>4.3752993045440246E-2</v>
      </c>
      <c r="U167" s="14">
        <f t="shared" si="61"/>
        <v>4.3752993045440246E-2</v>
      </c>
      <c r="V167" s="14">
        <f t="shared" si="61"/>
        <v>4.3153636976324627E-2</v>
      </c>
      <c r="W167" s="14">
        <f t="shared" si="61"/>
        <v>3.7160076285168431E-2</v>
      </c>
      <c r="X167" s="14">
        <f t="shared" si="61"/>
        <v>3.3563939870474707E-2</v>
      </c>
      <c r="Y167" s="14">
        <f t="shared" si="61"/>
        <v>2.9967803455780991E-2</v>
      </c>
      <c r="Z167" s="14">
        <f t="shared" si="61"/>
        <v>2.876909131754975E-2</v>
      </c>
      <c r="AA167" s="14">
        <f t="shared" si="61"/>
        <v>2.757037917931851E-2</v>
      </c>
      <c r="AB167" s="14">
        <f t="shared" si="61"/>
        <v>2.6371667041087274E-2</v>
      </c>
      <c r="AC167" s="14">
        <f t="shared" si="60"/>
        <v>0.70064724479615959</v>
      </c>
    </row>
    <row r="168" spans="1:29" hidden="1" x14ac:dyDescent="0.2">
      <c r="A168" s="27" t="str">
        <f t="shared" si="53"/>
        <v>Salmon River Electric Coop Inc - ID</v>
      </c>
      <c r="B168" s="11" t="s">
        <v>117</v>
      </c>
      <c r="C168" s="11" t="s">
        <v>19</v>
      </c>
      <c r="D168" s="12">
        <f>VLOOKUP($A168,'EIA Soure Data'!$A$5:$X$156,'EIA Soure Data'!F$1,0)</f>
        <v>32002</v>
      </c>
      <c r="E168" s="12">
        <f>VLOOKUP($A168,'EIA Soure Data'!$A$5:$X$156,'EIA Soure Data'!J$1,0)</f>
        <v>19792</v>
      </c>
      <c r="F168" s="12">
        <f>VLOOKUP($A168,'EIA Soure Data'!$A$5:$X$156,'EIA Soure Data'!N$1,0)</f>
        <v>220531</v>
      </c>
      <c r="G168" s="12">
        <f>VLOOKUP($A168,'EIA Soure Data'!$A$5:$X$156,'EIA Soure Data'!V$1,0)</f>
        <v>272325</v>
      </c>
      <c r="H168" s="13">
        <f t="shared" si="58"/>
        <v>1.7563719091995176E-3</v>
      </c>
      <c r="I168" s="14">
        <f t="shared" si="59"/>
        <v>0.3512743818399035</v>
      </c>
      <c r="J168" s="14">
        <f t="shared" si="59"/>
        <v>0.38640182002389389</v>
      </c>
      <c r="K168" s="14">
        <f t="shared" si="59"/>
        <v>0.42152925820788423</v>
      </c>
      <c r="L168" s="14">
        <f t="shared" si="59"/>
        <v>0.45665669639187456</v>
      </c>
      <c r="M168" s="14">
        <f t="shared" si="59"/>
        <v>0.49178413457586495</v>
      </c>
      <c r="N168" s="14">
        <f t="shared" si="59"/>
        <v>0.50934785366786006</v>
      </c>
      <c r="O168" s="14">
        <f t="shared" si="59"/>
        <v>0.56203901094384567</v>
      </c>
      <c r="P168" s="14">
        <f t="shared" si="59"/>
        <v>0.59716644912783601</v>
      </c>
      <c r="Q168" s="14">
        <f t="shared" si="59"/>
        <v>0.61473016821983117</v>
      </c>
      <c r="R168" s="14">
        <f t="shared" si="57"/>
        <v>0.63229388731182634</v>
      </c>
      <c r="S168" s="14">
        <f t="shared" si="55"/>
        <v>0.64107574685782387</v>
      </c>
      <c r="T168" s="14">
        <f t="shared" si="55"/>
        <v>0.64107574685782387</v>
      </c>
      <c r="U168" s="14">
        <f t="shared" si="55"/>
        <v>0.64107574685782387</v>
      </c>
      <c r="V168" s="14">
        <f t="shared" si="55"/>
        <v>0.63229388731182634</v>
      </c>
      <c r="W168" s="14">
        <f t="shared" si="55"/>
        <v>0.54447529185185051</v>
      </c>
      <c r="X168" s="14">
        <f t="shared" si="55"/>
        <v>0.49178413457586495</v>
      </c>
      <c r="Y168" s="14">
        <f t="shared" si="55"/>
        <v>0.43909297729987939</v>
      </c>
      <c r="Z168" s="14">
        <f t="shared" si="55"/>
        <v>0.42152925820788423</v>
      </c>
      <c r="AA168" s="14">
        <f t="shared" si="55"/>
        <v>0.40396553911588906</v>
      </c>
      <c r="AB168" s="14">
        <f t="shared" si="55"/>
        <v>0.38640182002389389</v>
      </c>
      <c r="AC168" s="14">
        <f t="shared" si="60"/>
        <v>10.26599380927118</v>
      </c>
    </row>
    <row r="169" spans="1:29" hidden="1" x14ac:dyDescent="0.2">
      <c r="A169" s="27" t="str">
        <f t="shared" si="53"/>
        <v>South Side Electric, Inc - ID</v>
      </c>
      <c r="B169" s="182" t="s">
        <v>122</v>
      </c>
      <c r="C169" s="11" t="s">
        <v>19</v>
      </c>
      <c r="D169" s="12">
        <f>VLOOKUP($A169,'EIA Soure Data'!$A$5:$X$156,'EIA Soure Data'!F$1,0)</f>
        <v>24231</v>
      </c>
      <c r="E169" s="12">
        <f>VLOOKUP($A169,'EIA Soure Data'!$A$5:$X$156,'EIA Soure Data'!J$1,0)</f>
        <v>27527</v>
      </c>
      <c r="F169" s="12">
        <f>VLOOKUP($A169,'EIA Soure Data'!$A$5:$X$156,'EIA Soure Data'!N$1,0)</f>
        <v>0</v>
      </c>
      <c r="G169" s="12">
        <f>VLOOKUP($A169,'EIA Soure Data'!$A$5:$X$156,'EIA Soure Data'!V$1,0)</f>
        <v>51758</v>
      </c>
      <c r="H169" s="13">
        <f t="shared" si="58"/>
        <v>3.3381546782832507E-4</v>
      </c>
      <c r="I169" s="14">
        <f t="shared" si="59"/>
        <v>6.676309356566501E-2</v>
      </c>
      <c r="J169" s="14">
        <f t="shared" si="59"/>
        <v>7.3439402922231514E-2</v>
      </c>
      <c r="K169" s="14">
        <f t="shared" si="59"/>
        <v>8.0115712278798018E-2</v>
      </c>
      <c r="L169" s="14">
        <f t="shared" si="59"/>
        <v>8.6792021635364522E-2</v>
      </c>
      <c r="M169" s="14">
        <f t="shared" si="59"/>
        <v>9.3468330991931026E-2</v>
      </c>
      <c r="N169" s="14">
        <f t="shared" si="59"/>
        <v>9.6806485670214271E-2</v>
      </c>
      <c r="O169" s="14">
        <f t="shared" si="59"/>
        <v>0.10682094970506402</v>
      </c>
      <c r="P169" s="14">
        <f t="shared" si="59"/>
        <v>0.11349725906163052</v>
      </c>
      <c r="Q169" s="14">
        <f t="shared" si="59"/>
        <v>0.11683541373991377</v>
      </c>
      <c r="R169" s="14">
        <f t="shared" si="57"/>
        <v>0.12017356841819703</v>
      </c>
      <c r="S169" s="14">
        <f t="shared" si="55"/>
        <v>0.12184264575733865</v>
      </c>
      <c r="T169" s="14">
        <f t="shared" si="55"/>
        <v>0.12184264575733865</v>
      </c>
      <c r="U169" s="14">
        <f t="shared" si="55"/>
        <v>0.12184264575733865</v>
      </c>
      <c r="V169" s="14">
        <f t="shared" si="55"/>
        <v>0.12017356841819703</v>
      </c>
      <c r="W169" s="14">
        <f t="shared" si="55"/>
        <v>0.10348279502678077</v>
      </c>
      <c r="X169" s="14">
        <f t="shared" si="55"/>
        <v>9.3468330991931026E-2</v>
      </c>
      <c r="Y169" s="14">
        <f t="shared" si="55"/>
        <v>8.3453866957081263E-2</v>
      </c>
      <c r="Z169" s="14">
        <f t="shared" si="55"/>
        <v>8.0115712278798018E-2</v>
      </c>
      <c r="AA169" s="14">
        <f t="shared" si="55"/>
        <v>7.6777557600514773E-2</v>
      </c>
      <c r="AB169" s="14">
        <f t="shared" si="55"/>
        <v>7.3439402922231514E-2</v>
      </c>
      <c r="AC169" s="14">
        <f t="shared" si="60"/>
        <v>1.9511514094565601</v>
      </c>
    </row>
    <row r="170" spans="1:29" x14ac:dyDescent="0.2">
      <c r="A170" s="27" t="str">
        <f t="shared" si="53"/>
        <v>Surprise Valley Electrification Corp. - CA</v>
      </c>
      <c r="B170" s="11" t="s">
        <v>125</v>
      </c>
      <c r="C170" s="11" t="s">
        <v>103</v>
      </c>
      <c r="D170" s="12">
        <f>VLOOKUP($A170,'EIA Soure Data'!$A$5:$X$156,'EIA Soure Data'!F$1,0)</f>
        <v>34930</v>
      </c>
      <c r="E170" s="12">
        <f>VLOOKUP($A170,'EIA Soure Data'!$A$5:$X$156,'EIA Soure Data'!J$1,0)</f>
        <v>9353</v>
      </c>
      <c r="F170" s="12">
        <f>VLOOKUP($A170,'EIA Soure Data'!$A$5:$X$156,'EIA Soure Data'!N$1,0)</f>
        <v>46118</v>
      </c>
      <c r="G170" s="12">
        <f>VLOOKUP($A170,'EIA Soure Data'!$A$5:$X$156,'EIA Soure Data'!V$1,0)</f>
        <v>90401</v>
      </c>
      <c r="H170" s="13">
        <f t="shared" si="58"/>
        <v>5.8304517383106795E-4</v>
      </c>
      <c r="I170" s="14">
        <f t="shared" si="59"/>
        <v>0.11660903476621359</v>
      </c>
      <c r="J170" s="14">
        <f t="shared" si="59"/>
        <v>0.12826993824283495</v>
      </c>
      <c r="K170" s="14">
        <f t="shared" si="59"/>
        <v>0.1399308417194563</v>
      </c>
      <c r="L170" s="14">
        <f t="shared" si="59"/>
        <v>0.15159174519607765</v>
      </c>
      <c r="M170" s="14">
        <f t="shared" si="59"/>
        <v>0.16325264867269904</v>
      </c>
      <c r="N170" s="14">
        <f t="shared" si="59"/>
        <v>0.16908310041100971</v>
      </c>
      <c r="O170" s="14">
        <f t="shared" si="59"/>
        <v>0.18657445562594174</v>
      </c>
      <c r="P170" s="14">
        <f t="shared" si="59"/>
        <v>0.1982353591025631</v>
      </c>
      <c r="Q170" s="14">
        <f t="shared" si="59"/>
        <v>0.20406581084087377</v>
      </c>
      <c r="R170" s="14">
        <f t="shared" si="57"/>
        <v>0.20989626257918445</v>
      </c>
      <c r="S170" s="14">
        <f t="shared" si="55"/>
        <v>0.2128114884483398</v>
      </c>
      <c r="T170" s="14">
        <f t="shared" si="55"/>
        <v>0.2128114884483398</v>
      </c>
      <c r="U170" s="14">
        <f t="shared" si="55"/>
        <v>0.2128114884483398</v>
      </c>
      <c r="V170" s="14">
        <f t="shared" si="55"/>
        <v>0.20989626257918445</v>
      </c>
      <c r="W170" s="14">
        <f t="shared" si="55"/>
        <v>0.18074400388763107</v>
      </c>
      <c r="X170" s="14">
        <f t="shared" si="55"/>
        <v>0.16325264867269904</v>
      </c>
      <c r="Y170" s="14">
        <f t="shared" si="55"/>
        <v>0.14576129345776698</v>
      </c>
      <c r="Z170" s="14">
        <f t="shared" si="55"/>
        <v>0.1399308417194563</v>
      </c>
      <c r="AA170" s="14">
        <f t="shared" si="55"/>
        <v>0.13410038998114562</v>
      </c>
      <c r="AB170" s="14">
        <f t="shared" si="55"/>
        <v>0.12826993824283495</v>
      </c>
      <c r="AC170" s="14">
        <f t="shared" si="60"/>
        <v>3.407899041042592</v>
      </c>
    </row>
    <row r="171" spans="1:29" x14ac:dyDescent="0.2">
      <c r="A171" s="27" t="str">
        <f t="shared" si="53"/>
        <v>Surprise Valley Electrification Corp. - NV</v>
      </c>
      <c r="B171" s="11" t="s">
        <v>125</v>
      </c>
      <c r="C171" s="11" t="s">
        <v>82</v>
      </c>
      <c r="D171" s="12">
        <f>VLOOKUP($A171,'EIA Soure Data'!$A$5:$X$156,'EIA Soure Data'!F$1,0)</f>
        <v>19</v>
      </c>
      <c r="E171" s="12">
        <f>VLOOKUP($A171,'EIA Soure Data'!$A$5:$X$156,'EIA Soure Data'!J$1,0)</f>
        <v>85</v>
      </c>
      <c r="F171" s="12">
        <f>VLOOKUP($A171,'EIA Soure Data'!$A$5:$X$156,'EIA Soure Data'!N$1,0)</f>
        <v>0</v>
      </c>
      <c r="G171" s="12">
        <f>VLOOKUP($A171,'EIA Soure Data'!$A$5:$X$156,'EIA Soure Data'!V$1,0)</f>
        <v>104</v>
      </c>
      <c r="H171" s="13">
        <f t="shared" si="58"/>
        <v>6.7075251466721686E-7</v>
      </c>
      <c r="I171" s="14">
        <f t="shared" si="59"/>
        <v>1.3415050293344338E-4</v>
      </c>
      <c r="J171" s="14">
        <f t="shared" si="59"/>
        <v>1.4756555322678771E-4</v>
      </c>
      <c r="K171" s="14">
        <f t="shared" si="59"/>
        <v>1.6098060352013206E-4</v>
      </c>
      <c r="L171" s="14">
        <f t="shared" si="59"/>
        <v>1.7439565381347638E-4</v>
      </c>
      <c r="M171" s="14">
        <f t="shared" si="59"/>
        <v>1.8781070410682073E-4</v>
      </c>
      <c r="N171" s="14">
        <f t="shared" si="59"/>
        <v>1.945182292534929E-4</v>
      </c>
      <c r="O171" s="14">
        <f t="shared" si="59"/>
        <v>2.1464080469350941E-4</v>
      </c>
      <c r="P171" s="14">
        <f t="shared" si="59"/>
        <v>2.2805585498685373E-4</v>
      </c>
      <c r="Q171" s="14">
        <f t="shared" si="59"/>
        <v>2.347633801335259E-4</v>
      </c>
      <c r="R171" s="14">
        <f t="shared" si="57"/>
        <v>2.4147090528019806E-4</v>
      </c>
      <c r="S171" s="14">
        <f t="shared" si="55"/>
        <v>2.4482466785353418E-4</v>
      </c>
      <c r="T171" s="14">
        <f t="shared" ref="S171:AB195" si="62">$H171*T$33</f>
        <v>2.4482466785353418E-4</v>
      </c>
      <c r="U171" s="14">
        <f t="shared" si="62"/>
        <v>2.4482466785353418E-4</v>
      </c>
      <c r="V171" s="14">
        <f t="shared" si="62"/>
        <v>2.4147090528019806E-4</v>
      </c>
      <c r="W171" s="14">
        <f t="shared" si="62"/>
        <v>2.0793327954683722E-4</v>
      </c>
      <c r="X171" s="14">
        <f t="shared" si="62"/>
        <v>1.8781070410682073E-4</v>
      </c>
      <c r="Y171" s="14">
        <f t="shared" si="62"/>
        <v>1.6768812866680422E-4</v>
      </c>
      <c r="Z171" s="14">
        <f t="shared" si="62"/>
        <v>1.6098060352013206E-4</v>
      </c>
      <c r="AA171" s="14">
        <f t="shared" si="62"/>
        <v>1.5427307837345987E-4</v>
      </c>
      <c r="AB171" s="14">
        <f t="shared" si="62"/>
        <v>1.4756555322678771E-4</v>
      </c>
      <c r="AC171" s="14">
        <f t="shared" si="60"/>
        <v>3.9205484482298823E-3</v>
      </c>
    </row>
    <row r="172" spans="1:29" hidden="1" x14ac:dyDescent="0.2">
      <c r="A172" s="27" t="str">
        <f t="shared" si="53"/>
        <v>Surprise Valley Electrification Corp. - OR</v>
      </c>
      <c r="B172" s="11" t="s">
        <v>125</v>
      </c>
      <c r="C172" s="11" t="s">
        <v>22</v>
      </c>
      <c r="D172" s="12">
        <f>VLOOKUP($A172,'EIA Soure Data'!$A$5:$X$156,'EIA Soure Data'!F$1,0)</f>
        <v>16387</v>
      </c>
      <c r="E172" s="12">
        <f>VLOOKUP($A172,'EIA Soure Data'!$A$5:$X$156,'EIA Soure Data'!J$1,0)</f>
        <v>3495</v>
      </c>
      <c r="F172" s="12">
        <f>VLOOKUP($A172,'EIA Soure Data'!$A$5:$X$156,'EIA Soure Data'!N$1,0)</f>
        <v>13248</v>
      </c>
      <c r="G172" s="12">
        <f>VLOOKUP($A172,'EIA Soure Data'!$A$5:$X$156,'EIA Soure Data'!V$1,0)</f>
        <v>33130</v>
      </c>
      <c r="H172" s="13">
        <f t="shared" si="58"/>
        <v>2.1367337318197013E-4</v>
      </c>
      <c r="I172" s="14">
        <f t="shared" si="59"/>
        <v>4.2734674636394028E-2</v>
      </c>
      <c r="J172" s="14">
        <f t="shared" si="59"/>
        <v>4.7008142100033429E-2</v>
      </c>
      <c r="K172" s="14">
        <f t="shared" si="59"/>
        <v>5.1281609563672829E-2</v>
      </c>
      <c r="L172" s="14">
        <f t="shared" si="59"/>
        <v>5.5555077027312237E-2</v>
      </c>
      <c r="M172" s="14">
        <f t="shared" si="59"/>
        <v>5.9828544490951638E-2</v>
      </c>
      <c r="N172" s="14">
        <f t="shared" si="59"/>
        <v>6.1965278222771342E-2</v>
      </c>
      <c r="O172" s="14">
        <f t="shared" si="59"/>
        <v>6.8375479418230439E-2</v>
      </c>
      <c r="P172" s="14">
        <f t="shared" si="59"/>
        <v>7.2648946881869847E-2</v>
      </c>
      <c r="Q172" s="14">
        <f t="shared" si="59"/>
        <v>7.4785680613689551E-2</v>
      </c>
      <c r="R172" s="14">
        <f t="shared" si="57"/>
        <v>7.6922414345509255E-2</v>
      </c>
      <c r="S172" s="14">
        <f t="shared" si="62"/>
        <v>7.79907812114191E-2</v>
      </c>
      <c r="T172" s="14">
        <f t="shared" si="62"/>
        <v>7.79907812114191E-2</v>
      </c>
      <c r="U172" s="14">
        <f t="shared" si="62"/>
        <v>7.79907812114191E-2</v>
      </c>
      <c r="V172" s="14">
        <f t="shared" si="62"/>
        <v>7.6922414345509255E-2</v>
      </c>
      <c r="W172" s="14">
        <f t="shared" si="62"/>
        <v>6.6238745686410735E-2</v>
      </c>
      <c r="X172" s="14">
        <f t="shared" si="62"/>
        <v>5.9828544490951638E-2</v>
      </c>
      <c r="Y172" s="14">
        <f t="shared" si="62"/>
        <v>5.3418343295492533E-2</v>
      </c>
      <c r="Z172" s="14">
        <f t="shared" si="62"/>
        <v>5.1281609563672829E-2</v>
      </c>
      <c r="AA172" s="14">
        <f t="shared" si="62"/>
        <v>4.9144875831853133E-2</v>
      </c>
      <c r="AB172" s="14">
        <f t="shared" si="62"/>
        <v>4.7008142100033429E-2</v>
      </c>
      <c r="AC172" s="14">
        <f t="shared" si="60"/>
        <v>1.2489208662486155</v>
      </c>
    </row>
    <row r="173" spans="1:29" hidden="1" x14ac:dyDescent="0.2">
      <c r="A173" s="27" t="str">
        <f t="shared" si="53"/>
        <v>Tanner Electric Coop - WA</v>
      </c>
      <c r="B173" s="11" t="s">
        <v>128</v>
      </c>
      <c r="C173" s="11" t="s">
        <v>14</v>
      </c>
      <c r="D173" s="12">
        <f>VLOOKUP($A173,'EIA Soure Data'!$A$5:$X$156,'EIA Soure Data'!F$1,0)</f>
        <v>54625</v>
      </c>
      <c r="E173" s="12">
        <f>VLOOKUP($A173,'EIA Soure Data'!$A$5:$X$156,'EIA Soure Data'!J$1,0)</f>
        <v>33804</v>
      </c>
      <c r="F173" s="12">
        <f>VLOOKUP($A173,'EIA Soure Data'!$A$5:$X$156,'EIA Soure Data'!N$1,0)</f>
        <v>0</v>
      </c>
      <c r="G173" s="12">
        <f>VLOOKUP($A173,'EIA Soure Data'!$A$5:$X$156,'EIA Soure Data'!V$1,0)</f>
        <v>88429</v>
      </c>
      <c r="H173" s="13">
        <f t="shared" si="58"/>
        <v>5.703266742260319E-4</v>
      </c>
      <c r="I173" s="14">
        <f t="shared" si="59"/>
        <v>0.11406533484520638</v>
      </c>
      <c r="J173" s="14">
        <f t="shared" si="59"/>
        <v>0.12547186832972701</v>
      </c>
      <c r="K173" s="14">
        <f t="shared" si="59"/>
        <v>0.13687840181424765</v>
      </c>
      <c r="L173" s="14">
        <f t="shared" si="59"/>
        <v>0.14828493529876829</v>
      </c>
      <c r="M173" s="14">
        <f t="shared" si="59"/>
        <v>0.15969146878328894</v>
      </c>
      <c r="N173" s="14">
        <f t="shared" si="59"/>
        <v>0.16539473552554926</v>
      </c>
      <c r="O173" s="14">
        <f t="shared" si="59"/>
        <v>0.18250453575233022</v>
      </c>
      <c r="P173" s="14">
        <f t="shared" si="59"/>
        <v>0.19391106923685084</v>
      </c>
      <c r="Q173" s="14">
        <f t="shared" si="59"/>
        <v>0.19961433597911116</v>
      </c>
      <c r="R173" s="14">
        <f t="shared" si="57"/>
        <v>0.20531760272137148</v>
      </c>
      <c r="S173" s="14">
        <f t="shared" si="62"/>
        <v>0.20816923609250165</v>
      </c>
      <c r="T173" s="14">
        <f t="shared" si="62"/>
        <v>0.20816923609250165</v>
      </c>
      <c r="U173" s="14">
        <f t="shared" si="62"/>
        <v>0.20816923609250165</v>
      </c>
      <c r="V173" s="14">
        <f t="shared" si="62"/>
        <v>0.20531760272137148</v>
      </c>
      <c r="W173" s="14">
        <f t="shared" si="62"/>
        <v>0.1768012690100699</v>
      </c>
      <c r="X173" s="14">
        <f t="shared" si="62"/>
        <v>0.15969146878328894</v>
      </c>
      <c r="Y173" s="14">
        <f t="shared" si="62"/>
        <v>0.14258166855650797</v>
      </c>
      <c r="Z173" s="14">
        <f t="shared" si="62"/>
        <v>0.13687840181424765</v>
      </c>
      <c r="AA173" s="14">
        <f t="shared" si="62"/>
        <v>0.13117513507198733</v>
      </c>
      <c r="AB173" s="14">
        <f t="shared" si="62"/>
        <v>0.12547186832972701</v>
      </c>
      <c r="AC173" s="14">
        <f t="shared" si="60"/>
        <v>3.3335594108511564</v>
      </c>
    </row>
    <row r="174" spans="1:29" hidden="1" x14ac:dyDescent="0.2">
      <c r="A174" s="27" t="str">
        <f t="shared" si="53"/>
        <v>Tillamook Peoples Utility Dist - OR</v>
      </c>
      <c r="B174" s="11" t="s">
        <v>129</v>
      </c>
      <c r="C174" s="11" t="s">
        <v>22</v>
      </c>
      <c r="D174" s="12">
        <f>VLOOKUP($A174,'EIA Soure Data'!$A$5:$X$156,'EIA Soure Data'!F$1,0)</f>
        <v>225541</v>
      </c>
      <c r="E174" s="12">
        <f>VLOOKUP($A174,'EIA Soure Data'!$A$5:$X$156,'EIA Soure Data'!J$1,0)</f>
        <v>120619</v>
      </c>
      <c r="F174" s="12">
        <f>VLOOKUP($A174,'EIA Soure Data'!$A$5:$X$156,'EIA Soure Data'!N$1,0)</f>
        <v>110924</v>
      </c>
      <c r="G174" s="12">
        <f>VLOOKUP($A174,'EIA Soure Data'!$A$5:$X$156,'EIA Soure Data'!V$1,0)</f>
        <v>457084</v>
      </c>
      <c r="H174" s="13">
        <f t="shared" si="58"/>
        <v>2.9479831001360591E-3</v>
      </c>
      <c r="I174" s="14">
        <f t="shared" si="59"/>
        <v>0.5895966200272118</v>
      </c>
      <c r="J174" s="14">
        <f t="shared" si="59"/>
        <v>0.64855628202993298</v>
      </c>
      <c r="K174" s="14">
        <f t="shared" si="59"/>
        <v>0.70751594403265416</v>
      </c>
      <c r="L174" s="14">
        <f t="shared" si="59"/>
        <v>0.76647560603537535</v>
      </c>
      <c r="M174" s="14">
        <f t="shared" si="59"/>
        <v>0.82543526803809653</v>
      </c>
      <c r="N174" s="14">
        <f t="shared" si="59"/>
        <v>0.85491509903945717</v>
      </c>
      <c r="O174" s="14">
        <f t="shared" si="59"/>
        <v>0.94335459204353889</v>
      </c>
      <c r="P174" s="14">
        <f t="shared" si="59"/>
        <v>1.0023142540462602</v>
      </c>
      <c r="Q174" s="14">
        <f t="shared" si="59"/>
        <v>1.0317940850476206</v>
      </c>
      <c r="R174" s="14">
        <f t="shared" si="57"/>
        <v>1.0612739160489812</v>
      </c>
      <c r="S174" s="14">
        <f t="shared" si="62"/>
        <v>1.0760138315496617</v>
      </c>
      <c r="T174" s="14">
        <f t="shared" si="62"/>
        <v>1.0760138315496617</v>
      </c>
      <c r="U174" s="14">
        <f t="shared" si="62"/>
        <v>1.0760138315496617</v>
      </c>
      <c r="V174" s="14">
        <f t="shared" si="62"/>
        <v>1.0612739160489812</v>
      </c>
      <c r="W174" s="14">
        <f t="shared" si="62"/>
        <v>0.91387476104217835</v>
      </c>
      <c r="X174" s="14">
        <f t="shared" si="62"/>
        <v>0.82543526803809653</v>
      </c>
      <c r="Y174" s="14">
        <f t="shared" si="62"/>
        <v>0.73699577503401481</v>
      </c>
      <c r="Z174" s="14">
        <f t="shared" si="62"/>
        <v>0.70751594403265416</v>
      </c>
      <c r="AA174" s="14">
        <f t="shared" si="62"/>
        <v>0.67803611303129363</v>
      </c>
      <c r="AB174" s="14">
        <f t="shared" si="62"/>
        <v>0.64855628202993298</v>
      </c>
      <c r="AC174" s="14">
        <f t="shared" si="60"/>
        <v>17.230961220295267</v>
      </c>
    </row>
    <row r="175" spans="1:29" hidden="1" x14ac:dyDescent="0.2">
      <c r="A175" s="27" t="str">
        <f t="shared" si="53"/>
        <v>Town of Eatonville - WA</v>
      </c>
      <c r="B175" s="11" t="s">
        <v>50</v>
      </c>
      <c r="C175" s="11" t="s">
        <v>14</v>
      </c>
      <c r="D175" s="12">
        <f>VLOOKUP($A175,'EIA Soure Data'!$A$5:$X$156,'EIA Soure Data'!F$1,0)</f>
        <v>15485</v>
      </c>
      <c r="E175" s="12">
        <f>VLOOKUP($A175,'EIA Soure Data'!$A$5:$X$156,'EIA Soure Data'!J$1,0)</f>
        <v>11653</v>
      </c>
      <c r="F175" s="12">
        <f>VLOOKUP($A175,'EIA Soure Data'!$A$5:$X$156,'EIA Soure Data'!N$1,0)</f>
        <v>0</v>
      </c>
      <c r="G175" s="12">
        <f>VLOOKUP($A175,'EIA Soure Data'!$A$5:$X$156,'EIA Soure Data'!V$1,0)</f>
        <v>27138</v>
      </c>
      <c r="H175" s="13">
        <f t="shared" si="58"/>
        <v>1.7502770906768203E-4</v>
      </c>
      <c r="I175" s="14">
        <f t="shared" ref="I175:Q195" si="63">$H175*I$33</f>
        <v>3.5005541813536406E-2</v>
      </c>
      <c r="J175" s="14">
        <f t="shared" si="63"/>
        <v>3.8506095994890049E-2</v>
      </c>
      <c r="K175" s="14">
        <f t="shared" si="63"/>
        <v>4.2006650176243686E-2</v>
      </c>
      <c r="L175" s="14">
        <f t="shared" si="63"/>
        <v>4.5507204357597329E-2</v>
      </c>
      <c r="M175" s="14">
        <f t="shared" si="63"/>
        <v>4.9007758538950966E-2</v>
      </c>
      <c r="N175" s="14">
        <f t="shared" si="63"/>
        <v>5.0758035629627787E-2</v>
      </c>
      <c r="O175" s="14">
        <f t="shared" si="63"/>
        <v>5.6008866901658252E-2</v>
      </c>
      <c r="P175" s="14">
        <f t="shared" si="63"/>
        <v>5.9509421083011889E-2</v>
      </c>
      <c r="Q175" s="14">
        <f t="shared" si="63"/>
        <v>6.1259698173688711E-2</v>
      </c>
      <c r="R175" s="14">
        <f t="shared" si="57"/>
        <v>6.3009975264365525E-2</v>
      </c>
      <c r="S175" s="14">
        <f t="shared" si="62"/>
        <v>6.3885113809703936E-2</v>
      </c>
      <c r="T175" s="14">
        <f t="shared" si="62"/>
        <v>6.3885113809703936E-2</v>
      </c>
      <c r="U175" s="14">
        <f t="shared" si="62"/>
        <v>6.3885113809703936E-2</v>
      </c>
      <c r="V175" s="14">
        <f t="shared" si="62"/>
        <v>6.3009975264365525E-2</v>
      </c>
      <c r="W175" s="14">
        <f t="shared" si="62"/>
        <v>5.4258589810981431E-2</v>
      </c>
      <c r="X175" s="14">
        <f t="shared" si="62"/>
        <v>4.9007758538950966E-2</v>
      </c>
      <c r="Y175" s="14">
        <f t="shared" si="62"/>
        <v>4.3756927266920508E-2</v>
      </c>
      <c r="Z175" s="14">
        <f t="shared" si="62"/>
        <v>4.2006650176243686E-2</v>
      </c>
      <c r="AA175" s="14">
        <f t="shared" si="62"/>
        <v>4.0256373085566864E-2</v>
      </c>
      <c r="AB175" s="14">
        <f t="shared" si="62"/>
        <v>3.8506095994890049E-2</v>
      </c>
      <c r="AC175" s="14">
        <f t="shared" si="60"/>
        <v>1.0230369595006015</v>
      </c>
    </row>
    <row r="176" spans="1:29" hidden="1" x14ac:dyDescent="0.2">
      <c r="A176" s="27" t="str">
        <f t="shared" si="53"/>
        <v>Town of Ruston - WA</v>
      </c>
      <c r="B176" s="11" t="s">
        <v>115</v>
      </c>
      <c r="C176" s="11" t="s">
        <v>14</v>
      </c>
      <c r="D176" s="12">
        <f>VLOOKUP($A176,'EIA Soure Data'!$A$5:$X$156,'EIA Soure Data'!F$1,0)</f>
        <v>7290</v>
      </c>
      <c r="E176" s="12">
        <f>VLOOKUP($A176,'EIA Soure Data'!$A$5:$X$156,'EIA Soure Data'!J$1,0)</f>
        <v>0</v>
      </c>
      <c r="F176" s="12">
        <f>VLOOKUP($A176,'EIA Soure Data'!$A$5:$X$156,'EIA Soure Data'!N$1,0)</f>
        <v>0</v>
      </c>
      <c r="G176" s="12">
        <f>VLOOKUP($A176,'EIA Soure Data'!$A$5:$X$156,'EIA Soure Data'!V$1,0)</f>
        <v>7290</v>
      </c>
      <c r="H176" s="13">
        <f t="shared" si="58"/>
        <v>4.7017171460807792E-5</v>
      </c>
      <c r="I176" s="14">
        <f t="shared" si="63"/>
        <v>9.4034342921615575E-3</v>
      </c>
      <c r="J176" s="14">
        <f t="shared" si="63"/>
        <v>1.0343777721377715E-2</v>
      </c>
      <c r="K176" s="14">
        <f t="shared" si="63"/>
        <v>1.128412115059387E-2</v>
      </c>
      <c r="L176" s="14">
        <f t="shared" si="63"/>
        <v>1.2224464579810026E-2</v>
      </c>
      <c r="M176" s="14">
        <f t="shared" si="63"/>
        <v>1.3164808009026183E-2</v>
      </c>
      <c r="N176" s="14">
        <f t="shared" si="63"/>
        <v>1.363497972363426E-2</v>
      </c>
      <c r="O176" s="14">
        <f t="shared" si="63"/>
        <v>1.5045494867458493E-2</v>
      </c>
      <c r="P176" s="14">
        <f t="shared" si="63"/>
        <v>1.5985838296674649E-2</v>
      </c>
      <c r="Q176" s="14">
        <f t="shared" si="63"/>
        <v>1.6456010011282728E-2</v>
      </c>
      <c r="R176" s="14">
        <f t="shared" si="57"/>
        <v>1.6926181725890804E-2</v>
      </c>
      <c r="S176" s="14">
        <f t="shared" si="62"/>
        <v>1.7161267583194844E-2</v>
      </c>
      <c r="T176" s="14">
        <f t="shared" si="62"/>
        <v>1.7161267583194844E-2</v>
      </c>
      <c r="U176" s="14">
        <f t="shared" si="62"/>
        <v>1.7161267583194844E-2</v>
      </c>
      <c r="V176" s="14">
        <f t="shared" si="62"/>
        <v>1.6926181725890804E-2</v>
      </c>
      <c r="W176" s="14">
        <f t="shared" si="62"/>
        <v>1.4575323152850416E-2</v>
      </c>
      <c r="X176" s="14">
        <f t="shared" si="62"/>
        <v>1.3164808009026183E-2</v>
      </c>
      <c r="Y176" s="14">
        <f t="shared" si="62"/>
        <v>1.1754292865201948E-2</v>
      </c>
      <c r="Z176" s="14">
        <f t="shared" si="62"/>
        <v>1.128412115059387E-2</v>
      </c>
      <c r="AA176" s="14">
        <f t="shared" si="62"/>
        <v>1.0813949435985792E-2</v>
      </c>
      <c r="AB176" s="14">
        <f t="shared" si="62"/>
        <v>1.0343777721377715E-2</v>
      </c>
      <c r="AC176" s="14">
        <f t="shared" si="60"/>
        <v>0.27481536718842153</v>
      </c>
    </row>
    <row r="177" spans="1:29" hidden="1" x14ac:dyDescent="0.2">
      <c r="A177" s="27" t="str">
        <f t="shared" si="53"/>
        <v>Town of Steilacoom - WA</v>
      </c>
      <c r="B177" s="11" t="s">
        <v>124</v>
      </c>
      <c r="C177" s="11" t="s">
        <v>14</v>
      </c>
      <c r="D177" s="12">
        <f>VLOOKUP($A177,'EIA Soure Data'!$A$5:$X$156,'EIA Soure Data'!F$1,0)</f>
        <v>30876</v>
      </c>
      <c r="E177" s="12">
        <f>VLOOKUP($A177,'EIA Soure Data'!$A$5:$X$156,'EIA Soure Data'!J$1,0)</f>
        <v>6931</v>
      </c>
      <c r="F177" s="12">
        <f>VLOOKUP($A177,'EIA Soure Data'!$A$5:$X$156,'EIA Soure Data'!N$1,0)</f>
        <v>0</v>
      </c>
      <c r="G177" s="12">
        <f>VLOOKUP($A177,'EIA Soure Data'!$A$5:$X$156,'EIA Soure Data'!V$1,0)</f>
        <v>37807</v>
      </c>
      <c r="H177" s="13">
        <f t="shared" si="58"/>
        <v>2.438378877117641E-4</v>
      </c>
      <c r="I177" s="14">
        <f t="shared" si="63"/>
        <v>4.8767577542352822E-2</v>
      </c>
      <c r="J177" s="14">
        <f t="shared" si="63"/>
        <v>5.3644335296588103E-2</v>
      </c>
      <c r="K177" s="14">
        <f t="shared" si="63"/>
        <v>5.8521093050823383E-2</v>
      </c>
      <c r="L177" s="14">
        <f t="shared" si="63"/>
        <v>6.3397850805058664E-2</v>
      </c>
      <c r="M177" s="14">
        <f t="shared" si="63"/>
        <v>6.8274608559293945E-2</v>
      </c>
      <c r="N177" s="14">
        <f t="shared" si="63"/>
        <v>7.0712987436411592E-2</v>
      </c>
      <c r="O177" s="14">
        <f t="shared" si="63"/>
        <v>7.8028124067764507E-2</v>
      </c>
      <c r="P177" s="14">
        <f t="shared" si="63"/>
        <v>8.2904881821999787E-2</v>
      </c>
      <c r="Q177" s="14">
        <f t="shared" si="63"/>
        <v>8.5343260699117435E-2</v>
      </c>
      <c r="R177" s="14">
        <f t="shared" si="57"/>
        <v>8.7781639576235082E-2</v>
      </c>
      <c r="S177" s="14">
        <f t="shared" si="62"/>
        <v>8.9000829014793892E-2</v>
      </c>
      <c r="T177" s="14">
        <f t="shared" si="62"/>
        <v>8.9000829014793892E-2</v>
      </c>
      <c r="U177" s="14">
        <f t="shared" si="62"/>
        <v>8.9000829014793892E-2</v>
      </c>
      <c r="V177" s="14">
        <f t="shared" si="62"/>
        <v>8.7781639576235082E-2</v>
      </c>
      <c r="W177" s="14">
        <f t="shared" si="62"/>
        <v>7.5589745190646873E-2</v>
      </c>
      <c r="X177" s="14">
        <f t="shared" si="62"/>
        <v>6.8274608559293945E-2</v>
      </c>
      <c r="Y177" s="14">
        <f t="shared" si="62"/>
        <v>6.0959471927941024E-2</v>
      </c>
      <c r="Z177" s="14">
        <f t="shared" si="62"/>
        <v>5.8521093050823383E-2</v>
      </c>
      <c r="AA177" s="14">
        <f t="shared" si="62"/>
        <v>5.6082714173705743E-2</v>
      </c>
      <c r="AB177" s="14">
        <f t="shared" si="62"/>
        <v>5.3644335296588103E-2</v>
      </c>
      <c r="AC177" s="14">
        <f t="shared" si="60"/>
        <v>1.4252324536752612</v>
      </c>
    </row>
    <row r="178" spans="1:29" hidden="1" x14ac:dyDescent="0.2">
      <c r="A178" s="27" t="str">
        <f t="shared" si="53"/>
        <v>Umatilla Electric Coop Assn - OR</v>
      </c>
      <c r="B178" s="11" t="s">
        <v>131</v>
      </c>
      <c r="C178" s="11" t="s">
        <v>22</v>
      </c>
      <c r="D178" s="12">
        <f>VLOOKUP($A178,'EIA Soure Data'!$A$5:$X$156,'EIA Soure Data'!F$1,0)</f>
        <v>162706</v>
      </c>
      <c r="E178" s="12">
        <f>VLOOKUP($A178,'EIA Soure Data'!$A$5:$X$156,'EIA Soure Data'!J$1,0)</f>
        <v>165855</v>
      </c>
      <c r="F178" s="12">
        <f>VLOOKUP($A178,'EIA Soure Data'!$A$5:$X$156,'EIA Soure Data'!N$1,0)</f>
        <v>554520</v>
      </c>
      <c r="G178" s="12">
        <f>VLOOKUP($A178,'EIA Soure Data'!$A$5:$X$156,'EIA Soure Data'!V$1,0)</f>
        <v>883081</v>
      </c>
      <c r="H178" s="13">
        <f t="shared" si="58"/>
        <v>5.6954692442773127E-3</v>
      </c>
      <c r="I178" s="14">
        <f t="shared" si="63"/>
        <v>1.1390938488554625</v>
      </c>
      <c r="J178" s="14">
        <f t="shared" si="63"/>
        <v>1.2530032337410089</v>
      </c>
      <c r="K178" s="14">
        <f t="shared" si="63"/>
        <v>1.366912618626555</v>
      </c>
      <c r="L178" s="14">
        <f t="shared" si="63"/>
        <v>1.4808220035121014</v>
      </c>
      <c r="M178" s="14">
        <f t="shared" si="63"/>
        <v>1.5947313883976475</v>
      </c>
      <c r="N178" s="14">
        <f t="shared" si="63"/>
        <v>1.6516860808404206</v>
      </c>
      <c r="O178" s="14">
        <f t="shared" si="63"/>
        <v>1.82255015816874</v>
      </c>
      <c r="P178" s="14">
        <f t="shared" si="63"/>
        <v>1.9364595430542864</v>
      </c>
      <c r="Q178" s="14">
        <f t="shared" si="63"/>
        <v>1.9934142354970594</v>
      </c>
      <c r="R178" s="14">
        <f t="shared" si="57"/>
        <v>2.0503689279398327</v>
      </c>
      <c r="S178" s="14">
        <f t="shared" si="62"/>
        <v>2.078846274161219</v>
      </c>
      <c r="T178" s="14">
        <f t="shared" si="62"/>
        <v>2.078846274161219</v>
      </c>
      <c r="U178" s="14">
        <f t="shared" si="62"/>
        <v>2.078846274161219</v>
      </c>
      <c r="V178" s="14">
        <f t="shared" si="62"/>
        <v>2.0503689279398327</v>
      </c>
      <c r="W178" s="14">
        <f t="shared" si="62"/>
        <v>1.7655954657259669</v>
      </c>
      <c r="X178" s="14">
        <f t="shared" si="62"/>
        <v>1.5947313883976475</v>
      </c>
      <c r="Y178" s="14">
        <f t="shared" si="62"/>
        <v>1.4238673110693281</v>
      </c>
      <c r="Z178" s="14">
        <f t="shared" si="62"/>
        <v>1.366912618626555</v>
      </c>
      <c r="AA178" s="14">
        <f t="shared" si="62"/>
        <v>1.3099579261837819</v>
      </c>
      <c r="AB178" s="14">
        <f t="shared" si="62"/>
        <v>1.2530032337410089</v>
      </c>
      <c r="AC178" s="14">
        <f t="shared" si="60"/>
        <v>33.290017732800891</v>
      </c>
    </row>
    <row r="179" spans="1:29" hidden="1" x14ac:dyDescent="0.2">
      <c r="A179" s="27" t="str">
        <f t="shared" si="53"/>
        <v>United Electric Co-op, Inc - ID</v>
      </c>
      <c r="B179" s="11" t="s">
        <v>132</v>
      </c>
      <c r="C179" s="11" t="s">
        <v>19</v>
      </c>
      <c r="D179" s="12">
        <f>VLOOKUP($A179,'EIA Soure Data'!$A$5:$X$156,'EIA Soure Data'!F$1,0)</f>
        <v>90585</v>
      </c>
      <c r="E179" s="12">
        <f>VLOOKUP($A179,'EIA Soure Data'!$A$5:$X$156,'EIA Soure Data'!J$1,0)</f>
        <v>43853</v>
      </c>
      <c r="F179" s="12">
        <f>VLOOKUP($A179,'EIA Soure Data'!$A$5:$X$156,'EIA Soure Data'!N$1,0)</f>
        <v>109150</v>
      </c>
      <c r="G179" s="12">
        <f>VLOOKUP($A179,'EIA Soure Data'!$A$5:$X$156,'EIA Soure Data'!V$1,0)</f>
        <v>243588</v>
      </c>
      <c r="H179" s="13">
        <f t="shared" si="58"/>
        <v>1.571031380218827E-3</v>
      </c>
      <c r="I179" s="14">
        <f t="shared" si="63"/>
        <v>0.31420627604376539</v>
      </c>
      <c r="J179" s="14">
        <f t="shared" si="63"/>
        <v>0.34562690364814191</v>
      </c>
      <c r="K179" s="14">
        <f t="shared" si="63"/>
        <v>0.3770475312525185</v>
      </c>
      <c r="L179" s="14">
        <f t="shared" si="63"/>
        <v>0.40846815885689503</v>
      </c>
      <c r="M179" s="14">
        <f t="shared" si="63"/>
        <v>0.43988878646127155</v>
      </c>
      <c r="N179" s="14">
        <f t="shared" si="63"/>
        <v>0.45559910026345984</v>
      </c>
      <c r="O179" s="14">
        <f t="shared" si="63"/>
        <v>0.50273004167002466</v>
      </c>
      <c r="P179" s="14">
        <f t="shared" si="63"/>
        <v>0.53415066927440114</v>
      </c>
      <c r="Q179" s="14">
        <f t="shared" si="63"/>
        <v>0.54986098307658948</v>
      </c>
      <c r="R179" s="14">
        <f t="shared" si="57"/>
        <v>0.56557129687877772</v>
      </c>
      <c r="S179" s="14">
        <f t="shared" si="62"/>
        <v>0.57342645377987189</v>
      </c>
      <c r="T179" s="14">
        <f t="shared" si="62"/>
        <v>0.57342645377987189</v>
      </c>
      <c r="U179" s="14">
        <f t="shared" si="62"/>
        <v>0.57342645377987189</v>
      </c>
      <c r="V179" s="14">
        <f t="shared" si="62"/>
        <v>0.56557129687877772</v>
      </c>
      <c r="W179" s="14">
        <f t="shared" si="62"/>
        <v>0.48701972786783637</v>
      </c>
      <c r="X179" s="14">
        <f t="shared" si="62"/>
        <v>0.43988878646127155</v>
      </c>
      <c r="Y179" s="14">
        <f t="shared" si="62"/>
        <v>0.39275784505470673</v>
      </c>
      <c r="Z179" s="14">
        <f t="shared" si="62"/>
        <v>0.3770475312525185</v>
      </c>
      <c r="AA179" s="14">
        <f t="shared" si="62"/>
        <v>0.36133721745033021</v>
      </c>
      <c r="AB179" s="14">
        <f t="shared" si="62"/>
        <v>0.34562690364814191</v>
      </c>
      <c r="AC179" s="14">
        <f t="shared" si="60"/>
        <v>9.1826784173790443</v>
      </c>
    </row>
    <row r="180" spans="1:29" hidden="1" x14ac:dyDescent="0.2">
      <c r="A180" s="27" t="str">
        <f t="shared" si="53"/>
        <v>Vera Irrigation District #15 - WA</v>
      </c>
      <c r="B180" s="11" t="s">
        <v>134</v>
      </c>
      <c r="C180" s="11" t="s">
        <v>14</v>
      </c>
      <c r="D180" s="12">
        <f>VLOOKUP($A180,'EIA Soure Data'!$A$5:$X$156,'EIA Soure Data'!F$1,0)</f>
        <v>139165</v>
      </c>
      <c r="E180" s="12">
        <f>VLOOKUP($A180,'EIA Soure Data'!$A$5:$X$156,'EIA Soure Data'!J$1,0)</f>
        <v>78091</v>
      </c>
      <c r="F180" s="12">
        <f>VLOOKUP($A180,'EIA Soure Data'!$A$5:$X$156,'EIA Soure Data'!N$1,0)</f>
        <v>0</v>
      </c>
      <c r="G180" s="12">
        <f>VLOOKUP($A180,'EIA Soure Data'!$A$5:$X$156,'EIA Soure Data'!V$1,0)</f>
        <v>217256</v>
      </c>
      <c r="H180" s="13">
        <f t="shared" si="58"/>
        <v>1.4012020031398159E-3</v>
      </c>
      <c r="I180" s="14">
        <f t="shared" si="63"/>
        <v>0.28024040062796318</v>
      </c>
      <c r="J180" s="14">
        <f t="shared" si="63"/>
        <v>0.30826444069075948</v>
      </c>
      <c r="K180" s="14">
        <f t="shared" si="63"/>
        <v>0.33628848075355583</v>
      </c>
      <c r="L180" s="14">
        <f t="shared" si="63"/>
        <v>0.36431252081635213</v>
      </c>
      <c r="M180" s="14">
        <f t="shared" si="63"/>
        <v>0.39233656087914848</v>
      </c>
      <c r="N180" s="14">
        <f t="shared" si="63"/>
        <v>0.4063485809105466</v>
      </c>
      <c r="O180" s="14">
        <f t="shared" si="63"/>
        <v>0.44838464100474107</v>
      </c>
      <c r="P180" s="14">
        <f t="shared" si="63"/>
        <v>0.47640868106753742</v>
      </c>
      <c r="Q180" s="14">
        <f t="shared" si="63"/>
        <v>0.4904207010989356</v>
      </c>
      <c r="R180" s="14">
        <f t="shared" si="57"/>
        <v>0.50443272113033377</v>
      </c>
      <c r="S180" s="14">
        <f t="shared" si="62"/>
        <v>0.51143873114603278</v>
      </c>
      <c r="T180" s="14">
        <f t="shared" si="62"/>
        <v>0.51143873114603278</v>
      </c>
      <c r="U180" s="14">
        <f t="shared" si="62"/>
        <v>0.51143873114603278</v>
      </c>
      <c r="V180" s="14">
        <f t="shared" si="62"/>
        <v>0.50443272113033377</v>
      </c>
      <c r="W180" s="14">
        <f t="shared" si="62"/>
        <v>0.43437262097334295</v>
      </c>
      <c r="X180" s="14">
        <f t="shared" si="62"/>
        <v>0.39233656087914848</v>
      </c>
      <c r="Y180" s="14">
        <f t="shared" si="62"/>
        <v>0.35030050078495401</v>
      </c>
      <c r="Z180" s="14">
        <f t="shared" si="62"/>
        <v>0.33628848075355583</v>
      </c>
      <c r="AA180" s="14">
        <f t="shared" si="62"/>
        <v>0.32227646072215765</v>
      </c>
      <c r="AB180" s="14">
        <f t="shared" si="62"/>
        <v>0.30826444069075948</v>
      </c>
      <c r="AC180" s="14">
        <f t="shared" si="60"/>
        <v>8.1900257083522234</v>
      </c>
    </row>
    <row r="181" spans="1:29" hidden="1" x14ac:dyDescent="0.2">
      <c r="A181" s="27" t="str">
        <f t="shared" si="53"/>
        <v>Vigilante Electric Coop, Inc - ID</v>
      </c>
      <c r="B181" s="11" t="s">
        <v>142</v>
      </c>
      <c r="C181" s="11" t="s">
        <v>19</v>
      </c>
      <c r="D181" s="12">
        <f>VLOOKUP($A181,'EIA Soure Data'!$A$5:$X$156,'EIA Soure Data'!F$1,0)</f>
        <v>103</v>
      </c>
      <c r="E181" s="12">
        <f>VLOOKUP($A181,'EIA Soure Data'!$A$5:$X$156,'EIA Soure Data'!J$1,0)</f>
        <v>0</v>
      </c>
      <c r="F181" s="12">
        <f>VLOOKUP($A181,'EIA Soure Data'!$A$5:$X$156,'EIA Soure Data'!N$1,0)</f>
        <v>0</v>
      </c>
      <c r="G181" s="12">
        <f>VLOOKUP($A181,'EIA Soure Data'!$A$5:$X$156,'EIA Soure Data'!V$1,0)</f>
        <v>103</v>
      </c>
      <c r="H181" s="13">
        <f t="shared" si="58"/>
        <v>6.6430297125695508E-7</v>
      </c>
      <c r="I181" s="14">
        <f t="shared" si="63"/>
        <v>1.3286059425139101E-4</v>
      </c>
      <c r="J181" s="14">
        <f t="shared" si="63"/>
        <v>1.4614665367653011E-4</v>
      </c>
      <c r="K181" s="14">
        <f t="shared" si="63"/>
        <v>1.5943271310166923E-4</v>
      </c>
      <c r="L181" s="14">
        <f t="shared" si="63"/>
        <v>1.7271877252680832E-4</v>
      </c>
      <c r="M181" s="14">
        <f t="shared" si="63"/>
        <v>1.8600483195194741E-4</v>
      </c>
      <c r="N181" s="14">
        <f t="shared" si="63"/>
        <v>1.9264786166451697E-4</v>
      </c>
      <c r="O181" s="14">
        <f t="shared" si="63"/>
        <v>2.1257695080222563E-4</v>
      </c>
      <c r="P181" s="14">
        <f t="shared" si="63"/>
        <v>2.2586301022736472E-4</v>
      </c>
      <c r="Q181" s="14">
        <f t="shared" si="63"/>
        <v>2.3250603993993428E-4</v>
      </c>
      <c r="R181" s="14">
        <f t="shared" si="57"/>
        <v>2.3914906965250384E-4</v>
      </c>
      <c r="S181" s="14">
        <f t="shared" si="62"/>
        <v>2.4247058450878859E-4</v>
      </c>
      <c r="T181" s="14">
        <f t="shared" si="62"/>
        <v>2.4247058450878859E-4</v>
      </c>
      <c r="U181" s="14">
        <f t="shared" si="62"/>
        <v>2.4247058450878859E-4</v>
      </c>
      <c r="V181" s="14">
        <f t="shared" si="62"/>
        <v>2.3914906965250384E-4</v>
      </c>
      <c r="W181" s="14">
        <f t="shared" si="62"/>
        <v>2.0593392108965607E-4</v>
      </c>
      <c r="X181" s="14">
        <f t="shared" si="62"/>
        <v>1.8600483195194741E-4</v>
      </c>
      <c r="Y181" s="14">
        <f t="shared" si="62"/>
        <v>1.6607574281423876E-4</v>
      </c>
      <c r="Z181" s="14">
        <f t="shared" si="62"/>
        <v>1.5943271310166923E-4</v>
      </c>
      <c r="AA181" s="14">
        <f t="shared" si="62"/>
        <v>1.5278968338909967E-4</v>
      </c>
      <c r="AB181" s="14">
        <f t="shared" si="62"/>
        <v>1.4614665367653011E-4</v>
      </c>
      <c r="AC181" s="14">
        <f t="shared" si="60"/>
        <v>3.8828508669969024E-3</v>
      </c>
    </row>
    <row r="182" spans="1:29" hidden="1" x14ac:dyDescent="0.2">
      <c r="A182" s="27" t="str">
        <f t="shared" si="53"/>
        <v>Vigilante Electric Coop, Inc - MT</v>
      </c>
      <c r="B182" s="11" t="s">
        <v>142</v>
      </c>
      <c r="C182" s="11" t="s">
        <v>56</v>
      </c>
      <c r="D182" s="12">
        <f>VLOOKUP($A182,'EIA Soure Data'!$A$5:$X$156,'EIA Soure Data'!F$1,0)</f>
        <v>91128</v>
      </c>
      <c r="E182" s="12">
        <f>VLOOKUP($A182,'EIA Soure Data'!$A$5:$X$156,'EIA Soure Data'!J$1,0)</f>
        <v>49933</v>
      </c>
      <c r="F182" s="12">
        <f>VLOOKUP($A182,'EIA Soure Data'!$A$5:$X$156,'EIA Soure Data'!N$1,0)</f>
        <v>0</v>
      </c>
      <c r="G182" s="12">
        <f>VLOOKUP($A182,'EIA Soure Data'!$A$5:$X$156,'EIA Soure Data'!V$1,0)</f>
        <v>141061</v>
      </c>
      <c r="H182" s="13">
        <f t="shared" si="58"/>
        <v>9.0977904299492575E-4</v>
      </c>
      <c r="I182" s="14">
        <f t="shared" si="63"/>
        <v>0.18195580859898516</v>
      </c>
      <c r="J182" s="14">
        <f t="shared" si="63"/>
        <v>0.20015138945888367</v>
      </c>
      <c r="K182" s="14">
        <f t="shared" si="63"/>
        <v>0.21834697031878217</v>
      </c>
      <c r="L182" s="14">
        <f t="shared" si="63"/>
        <v>0.2365425511786807</v>
      </c>
      <c r="M182" s="14">
        <f t="shared" si="63"/>
        <v>0.2547381320385792</v>
      </c>
      <c r="N182" s="14">
        <f t="shared" si="63"/>
        <v>0.26383592246852849</v>
      </c>
      <c r="O182" s="14">
        <f t="shared" si="63"/>
        <v>0.29112929375837626</v>
      </c>
      <c r="P182" s="14">
        <f t="shared" si="63"/>
        <v>0.30932487461827474</v>
      </c>
      <c r="Q182" s="14">
        <f t="shared" si="63"/>
        <v>0.31842266504822403</v>
      </c>
      <c r="R182" s="14">
        <f t="shared" si="57"/>
        <v>0.32752045547817327</v>
      </c>
      <c r="S182" s="14">
        <f t="shared" si="62"/>
        <v>0.33206935069314791</v>
      </c>
      <c r="T182" s="14">
        <f t="shared" si="62"/>
        <v>0.33206935069314791</v>
      </c>
      <c r="U182" s="14">
        <f t="shared" si="62"/>
        <v>0.33206935069314791</v>
      </c>
      <c r="V182" s="14">
        <f t="shared" si="62"/>
        <v>0.32752045547817327</v>
      </c>
      <c r="W182" s="14">
        <f t="shared" si="62"/>
        <v>0.28203150332842697</v>
      </c>
      <c r="X182" s="14">
        <f t="shared" si="62"/>
        <v>0.2547381320385792</v>
      </c>
      <c r="Y182" s="14">
        <f t="shared" si="62"/>
        <v>0.22744476074873143</v>
      </c>
      <c r="Z182" s="14">
        <f t="shared" si="62"/>
        <v>0.21834697031878217</v>
      </c>
      <c r="AA182" s="14">
        <f t="shared" si="62"/>
        <v>0.20924917988883293</v>
      </c>
      <c r="AB182" s="14">
        <f t="shared" si="62"/>
        <v>0.20015138945888367</v>
      </c>
      <c r="AC182" s="14">
        <f t="shared" si="60"/>
        <v>5.3176585063053414</v>
      </c>
    </row>
    <row r="183" spans="1:29" hidden="1" x14ac:dyDescent="0.2">
      <c r="A183" s="27" t="str">
        <f t="shared" si="53"/>
        <v>Wasco Electric Coop, Inc - OR</v>
      </c>
      <c r="B183" s="180" t="s">
        <v>135</v>
      </c>
      <c r="C183" s="180" t="s">
        <v>22</v>
      </c>
      <c r="D183" s="12">
        <f>VLOOKUP($A183,'EIA Soure Data'!$A$5:$X$156,'EIA Soure Data'!F$1,0)</f>
        <v>49412</v>
      </c>
      <c r="E183" s="12">
        <f>VLOOKUP($A183,'EIA Soure Data'!$A$5:$X$156,'EIA Soure Data'!J$1,0)</f>
        <v>15449</v>
      </c>
      <c r="F183" s="12">
        <f>VLOOKUP($A183,'EIA Soure Data'!$A$5:$X$156,'EIA Soure Data'!N$1,0)</f>
        <v>41132</v>
      </c>
      <c r="G183" s="12">
        <f>VLOOKUP($A183,'EIA Soure Data'!$A$5:$X$156,'EIA Soure Data'!V$1,0)</f>
        <v>105993</v>
      </c>
      <c r="H183" s="13">
        <f t="shared" si="58"/>
        <v>6.8360645468386837E-4</v>
      </c>
      <c r="I183" s="14">
        <f t="shared" si="63"/>
        <v>0.13672129093677368</v>
      </c>
      <c r="J183" s="14">
        <f t="shared" si="63"/>
        <v>0.15039342003045103</v>
      </c>
      <c r="K183" s="14">
        <f t="shared" si="63"/>
        <v>0.16406554912412841</v>
      </c>
      <c r="L183" s="14">
        <f t="shared" si="63"/>
        <v>0.17773767821780578</v>
      </c>
      <c r="M183" s="14">
        <f t="shared" si="63"/>
        <v>0.19140980731148313</v>
      </c>
      <c r="N183" s="14">
        <f t="shared" si="63"/>
        <v>0.19824587185832182</v>
      </c>
      <c r="O183" s="14">
        <f t="shared" si="63"/>
        <v>0.21875406549883789</v>
      </c>
      <c r="P183" s="14">
        <f t="shared" si="63"/>
        <v>0.23242619459251523</v>
      </c>
      <c r="Q183" s="14">
        <f t="shared" si="63"/>
        <v>0.23926225913935392</v>
      </c>
      <c r="R183" s="14">
        <f t="shared" si="57"/>
        <v>0.24609832368619261</v>
      </c>
      <c r="S183" s="14">
        <f t="shared" si="62"/>
        <v>0.24951635595961197</v>
      </c>
      <c r="T183" s="14">
        <f t="shared" si="62"/>
        <v>0.24951635595961197</v>
      </c>
      <c r="U183" s="14">
        <f t="shared" si="62"/>
        <v>0.24951635595961197</v>
      </c>
      <c r="V183" s="14">
        <f t="shared" si="62"/>
        <v>0.24609832368619261</v>
      </c>
      <c r="W183" s="14">
        <f t="shared" si="62"/>
        <v>0.2119180009519992</v>
      </c>
      <c r="X183" s="14">
        <f t="shared" si="62"/>
        <v>0.19140980731148313</v>
      </c>
      <c r="Y183" s="14">
        <f t="shared" si="62"/>
        <v>0.1709016136709671</v>
      </c>
      <c r="Z183" s="14">
        <f t="shared" si="62"/>
        <v>0.16406554912412841</v>
      </c>
      <c r="AA183" s="14">
        <f t="shared" si="62"/>
        <v>0.15722948457728972</v>
      </c>
      <c r="AB183" s="14">
        <f t="shared" si="62"/>
        <v>0.15039342003045103</v>
      </c>
      <c r="AC183" s="14">
        <f t="shared" si="60"/>
        <v>3.9956797276272105</v>
      </c>
    </row>
    <row r="184" spans="1:29" ht="13.5" thickBot="1" x14ac:dyDescent="0.25">
      <c r="A184" s="27" t="str">
        <f t="shared" si="53"/>
        <v>Wells Rural Electric Co - NV</v>
      </c>
      <c r="B184" s="180" t="s">
        <v>138</v>
      </c>
      <c r="C184" s="180" t="s">
        <v>82</v>
      </c>
      <c r="D184" s="12">
        <f>VLOOKUP($A184,'EIA Soure Data'!$A$5:$X$156,'EIA Soure Data'!F$1,0)</f>
        <v>49085</v>
      </c>
      <c r="E184" s="12">
        <f>VLOOKUP($A184,'EIA Soure Data'!$A$5:$X$156,'EIA Soure Data'!J$1,0)</f>
        <v>53950</v>
      </c>
      <c r="F184" s="12">
        <f>VLOOKUP($A184,'EIA Soure Data'!$A$5:$X$156,'EIA Soure Data'!N$1,0)</f>
        <v>661135</v>
      </c>
      <c r="G184" s="12">
        <f>VLOOKUP($A184,'EIA Soure Data'!$A$5:$X$156,'EIA Soure Data'!V$1,0)</f>
        <v>764170</v>
      </c>
      <c r="H184" s="13">
        <f t="shared" si="58"/>
        <v>4.9285475878196837E-3</v>
      </c>
      <c r="I184" s="14">
        <f t="shared" si="63"/>
        <v>0.98570951756393677</v>
      </c>
      <c r="J184" s="14">
        <f t="shared" si="63"/>
        <v>1.0842804693203305</v>
      </c>
      <c r="K184" s="14">
        <f t="shared" si="63"/>
        <v>1.182851421076724</v>
      </c>
      <c r="L184" s="14">
        <f t="shared" si="63"/>
        <v>1.2814223728331178</v>
      </c>
      <c r="M184" s="14">
        <f t="shared" si="63"/>
        <v>1.3799933245895115</v>
      </c>
      <c r="N184" s="14">
        <f t="shared" si="63"/>
        <v>1.4292788004677082</v>
      </c>
      <c r="O184" s="14">
        <f t="shared" si="63"/>
        <v>1.5771352281022988</v>
      </c>
      <c r="P184" s="14">
        <f t="shared" si="63"/>
        <v>1.6757061798586925</v>
      </c>
      <c r="Q184" s="14">
        <f t="shared" si="63"/>
        <v>1.7249916557368894</v>
      </c>
      <c r="R184" s="14">
        <f t="shared" si="57"/>
        <v>1.774277131615086</v>
      </c>
      <c r="S184" s="14">
        <f t="shared" si="62"/>
        <v>1.7989198695541846</v>
      </c>
      <c r="T184" s="14">
        <f t="shared" si="62"/>
        <v>1.7989198695541846</v>
      </c>
      <c r="U184" s="14">
        <f t="shared" si="62"/>
        <v>1.7989198695541846</v>
      </c>
      <c r="V184" s="14">
        <f t="shared" si="62"/>
        <v>1.774277131615086</v>
      </c>
      <c r="W184" s="14">
        <f t="shared" si="62"/>
        <v>1.5278497522241019</v>
      </c>
      <c r="X184" s="14">
        <f t="shared" si="62"/>
        <v>1.3799933245895115</v>
      </c>
      <c r="Y184" s="14">
        <f t="shared" si="62"/>
        <v>1.2321368969549209</v>
      </c>
      <c r="Z184" s="14">
        <f t="shared" si="62"/>
        <v>1.182851421076724</v>
      </c>
      <c r="AA184" s="14">
        <f t="shared" si="62"/>
        <v>1.1335659451985272</v>
      </c>
      <c r="AB184" s="14">
        <f t="shared" si="62"/>
        <v>1.0842804693203305</v>
      </c>
      <c r="AC184" s="14">
        <f t="shared" si="60"/>
        <v>28.80736065080605</v>
      </c>
    </row>
    <row r="185" spans="1:29" ht="13.5" hidden="1" thickBot="1" x14ac:dyDescent="0.25">
      <c r="A185" s="170" t="str">
        <f t="shared" si="53"/>
        <v>West Oregon Electric Coop Inc - OR</v>
      </c>
      <c r="B185" s="180" t="s">
        <v>139</v>
      </c>
      <c r="C185" s="180" t="s">
        <v>22</v>
      </c>
      <c r="D185" s="12">
        <f>VLOOKUP($A185,'EIA Soure Data'!$A$5:$X$156,'EIA Soure Data'!F$1,0)</f>
        <v>51038</v>
      </c>
      <c r="E185" s="12">
        <f>VLOOKUP($A185,'EIA Soure Data'!$A$5:$X$156,'EIA Soure Data'!J$1,0)</f>
        <v>5118</v>
      </c>
      <c r="F185" s="12">
        <f>VLOOKUP($A185,'EIA Soure Data'!$A$5:$X$156,'EIA Soure Data'!N$1,0)</f>
        <v>11240</v>
      </c>
      <c r="G185" s="12">
        <f>VLOOKUP($A185,'EIA Soure Data'!$A$5:$X$156,'EIA Soure Data'!V$1,0)</f>
        <v>67396</v>
      </c>
      <c r="H185" s="13">
        <f t="shared" si="58"/>
        <v>4.3467342767799757E-4</v>
      </c>
      <c r="I185" s="171">
        <f t="shared" si="63"/>
        <v>8.6934685535599507E-2</v>
      </c>
      <c r="J185" s="171">
        <f t="shared" si="63"/>
        <v>9.5628154089159464E-2</v>
      </c>
      <c r="K185" s="171">
        <f t="shared" si="63"/>
        <v>0.10432162264271942</v>
      </c>
      <c r="L185" s="171">
        <f t="shared" si="63"/>
        <v>0.11301509119627937</v>
      </c>
      <c r="M185" s="171">
        <f t="shared" si="63"/>
        <v>0.12170855974983932</v>
      </c>
      <c r="N185" s="171">
        <f t="shared" si="63"/>
        <v>0.1260552940266193</v>
      </c>
      <c r="O185" s="171">
        <f t="shared" si="63"/>
        <v>0.13909549685695921</v>
      </c>
      <c r="P185" s="171">
        <f t="shared" si="63"/>
        <v>0.14778896541051917</v>
      </c>
      <c r="Q185" s="171">
        <f t="shared" si="63"/>
        <v>0.15213569968729915</v>
      </c>
      <c r="R185" s="171">
        <f t="shared" si="57"/>
        <v>0.15648243396407913</v>
      </c>
      <c r="S185" s="171">
        <f t="shared" si="62"/>
        <v>0.1586558011024691</v>
      </c>
      <c r="T185" s="171">
        <f t="shared" si="62"/>
        <v>0.1586558011024691</v>
      </c>
      <c r="U185" s="171">
        <f t="shared" si="62"/>
        <v>0.1586558011024691</v>
      </c>
      <c r="V185" s="171">
        <f t="shared" si="62"/>
        <v>0.15648243396407913</v>
      </c>
      <c r="W185" s="171">
        <f t="shared" si="62"/>
        <v>0.13474876258017923</v>
      </c>
      <c r="X185" s="171">
        <f t="shared" si="62"/>
        <v>0.12170855974983932</v>
      </c>
      <c r="Y185" s="171">
        <f t="shared" si="62"/>
        <v>0.10866835691949939</v>
      </c>
      <c r="Z185" s="171">
        <f t="shared" si="62"/>
        <v>0.10432162264271942</v>
      </c>
      <c r="AA185" s="171">
        <f t="shared" si="62"/>
        <v>9.9974888365939443E-2</v>
      </c>
      <c r="AB185" s="171">
        <f t="shared" si="62"/>
        <v>9.5628154089159464E-2</v>
      </c>
      <c r="AC185" s="171">
        <f t="shared" si="60"/>
        <v>2.540666184777896</v>
      </c>
    </row>
    <row r="186" spans="1:29" ht="13.5" thickBot="1" x14ac:dyDescent="0.25">
      <c r="A186" s="174"/>
      <c r="B186" s="175"/>
      <c r="C186" s="175"/>
      <c r="D186" s="176"/>
      <c r="E186" s="176"/>
      <c r="F186" s="176"/>
      <c r="G186" s="176"/>
      <c r="H186" s="177"/>
      <c r="I186" s="178"/>
      <c r="J186" s="178"/>
      <c r="K186" s="178"/>
      <c r="L186" s="178"/>
      <c r="M186" s="178"/>
      <c r="N186" s="178"/>
      <c r="O186" s="178"/>
      <c r="P186" s="178"/>
      <c r="Q186" s="178"/>
      <c r="R186" s="178"/>
      <c r="S186" s="178"/>
      <c r="T186" s="178"/>
      <c r="U186" s="178"/>
      <c r="V186" s="178"/>
      <c r="W186" s="178"/>
      <c r="X186" s="178"/>
      <c r="Y186" s="178"/>
      <c r="Z186" s="178"/>
      <c r="AA186" s="178"/>
      <c r="AB186" s="178"/>
      <c r="AC186" s="179"/>
    </row>
    <row r="187" spans="1:29" x14ac:dyDescent="0.2">
      <c r="A187" s="305" t="s">
        <v>199</v>
      </c>
      <c r="B187" s="306" t="s">
        <v>199</v>
      </c>
      <c r="C187" s="306" t="s">
        <v>19</v>
      </c>
      <c r="D187" s="307">
        <f>SUMIF($C$34:$C$185,$C187,D$34:D$185)</f>
        <v>8136736</v>
      </c>
      <c r="E187" s="307">
        <f t="shared" ref="E187:H187" si="64">SUMIF($C$34:$C$185,$C187,E$34:E$185)</f>
        <v>5864885</v>
      </c>
      <c r="F187" s="307">
        <f t="shared" si="64"/>
        <v>8686057</v>
      </c>
      <c r="G187" s="307">
        <f t="shared" si="64"/>
        <v>22687678</v>
      </c>
      <c r="H187" s="308">
        <f t="shared" si="64"/>
        <v>0.14632516413903934</v>
      </c>
      <c r="I187" s="309">
        <f t="shared" si="63"/>
        <v>29.265032827807868</v>
      </c>
      <c r="J187" s="309">
        <f t="shared" si="63"/>
        <v>32.191536110588657</v>
      </c>
      <c r="K187" s="309">
        <f t="shared" si="63"/>
        <v>35.118039393369443</v>
      </c>
      <c r="L187" s="309">
        <f t="shared" si="63"/>
        <v>38.044542676150229</v>
      </c>
      <c r="M187" s="309">
        <f t="shared" si="63"/>
        <v>40.971045958931015</v>
      </c>
      <c r="N187" s="309">
        <f t="shared" si="63"/>
        <v>42.434297600321408</v>
      </c>
      <c r="O187" s="309">
        <f t="shared" si="63"/>
        <v>46.824052524492586</v>
      </c>
      <c r="P187" s="309">
        <f t="shared" si="63"/>
        <v>49.750555807273379</v>
      </c>
      <c r="Q187" s="309">
        <f t="shared" si="63"/>
        <v>51.213807448663772</v>
      </c>
      <c r="R187" s="309">
        <f t="shared" si="57"/>
        <v>52.677059090054165</v>
      </c>
      <c r="S187" s="309">
        <f t="shared" si="62"/>
        <v>53.408684910749358</v>
      </c>
      <c r="T187" s="309">
        <f t="shared" si="62"/>
        <v>53.408684910749358</v>
      </c>
      <c r="U187" s="309">
        <f t="shared" si="62"/>
        <v>53.408684910749358</v>
      </c>
      <c r="V187" s="309">
        <f t="shared" si="62"/>
        <v>52.677059090054165</v>
      </c>
      <c r="W187" s="309">
        <f t="shared" si="62"/>
        <v>45.360800883102193</v>
      </c>
      <c r="X187" s="309">
        <f t="shared" si="62"/>
        <v>40.971045958931015</v>
      </c>
      <c r="Y187" s="309">
        <f t="shared" si="62"/>
        <v>36.581291034759836</v>
      </c>
      <c r="Z187" s="309">
        <f t="shared" si="62"/>
        <v>35.118039393369443</v>
      </c>
      <c r="AA187" s="309">
        <f t="shared" si="62"/>
        <v>33.65478775197905</v>
      </c>
      <c r="AB187" s="309">
        <f t="shared" si="62"/>
        <v>32.191536110588657</v>
      </c>
      <c r="AC187" s="310">
        <f t="shared" si="60"/>
        <v>855.27058439268501</v>
      </c>
    </row>
    <row r="188" spans="1:29" x14ac:dyDescent="0.2">
      <c r="A188" s="311" t="s">
        <v>200</v>
      </c>
      <c r="B188" s="11" t="s">
        <v>200</v>
      </c>
      <c r="C188" s="11" t="s">
        <v>56</v>
      </c>
      <c r="D188" s="173">
        <f t="shared" ref="D188:H193" si="65">SUMIF($C$34:$C$185,$C188,D$34:D$185)</f>
        <v>2092558.8422468172</v>
      </c>
      <c r="E188" s="173">
        <f t="shared" si="65"/>
        <v>1593663.220022493</v>
      </c>
      <c r="F188" s="173">
        <f t="shared" si="65"/>
        <v>457054.45992689178</v>
      </c>
      <c r="G188" s="173">
        <f t="shared" si="65"/>
        <v>4143276.5221962021</v>
      </c>
      <c r="H188" s="274">
        <f t="shared" si="65"/>
        <v>2.672224179062253E-2</v>
      </c>
      <c r="I188" s="171">
        <f t="shared" si="63"/>
        <v>5.3444483581245059</v>
      </c>
      <c r="J188" s="171">
        <f t="shared" si="63"/>
        <v>5.8788931939369569</v>
      </c>
      <c r="K188" s="171">
        <f t="shared" si="63"/>
        <v>6.4133380297494069</v>
      </c>
      <c r="L188" s="171">
        <f t="shared" si="63"/>
        <v>6.9477828655618579</v>
      </c>
      <c r="M188" s="171">
        <f t="shared" si="63"/>
        <v>7.4822277013743088</v>
      </c>
      <c r="N188" s="171">
        <f t="shared" si="63"/>
        <v>7.7494501192805334</v>
      </c>
      <c r="O188" s="171">
        <f t="shared" si="63"/>
        <v>8.5511173729992098</v>
      </c>
      <c r="P188" s="171">
        <f t="shared" si="63"/>
        <v>9.0855622088116608</v>
      </c>
      <c r="Q188" s="171">
        <f t="shared" si="63"/>
        <v>9.3527846267178862</v>
      </c>
      <c r="R188" s="171">
        <f t="shared" si="57"/>
        <v>9.6200070446241099</v>
      </c>
      <c r="S188" s="171">
        <f t="shared" si="62"/>
        <v>9.7536182535772227</v>
      </c>
      <c r="T188" s="171">
        <f t="shared" si="62"/>
        <v>9.7536182535772227</v>
      </c>
      <c r="U188" s="171">
        <f t="shared" si="62"/>
        <v>9.7536182535772227</v>
      </c>
      <c r="V188" s="171">
        <f t="shared" si="62"/>
        <v>9.6200070446241099</v>
      </c>
      <c r="W188" s="171">
        <f t="shared" si="62"/>
        <v>8.2838949550929843</v>
      </c>
      <c r="X188" s="171">
        <f t="shared" si="62"/>
        <v>7.4822277013743088</v>
      </c>
      <c r="Y188" s="171">
        <f t="shared" si="62"/>
        <v>6.6805604476556324</v>
      </c>
      <c r="Z188" s="171">
        <f t="shared" si="62"/>
        <v>6.4133380297494069</v>
      </c>
      <c r="AA188" s="171">
        <f t="shared" si="62"/>
        <v>6.1461156118431823</v>
      </c>
      <c r="AB188" s="171">
        <f t="shared" si="62"/>
        <v>5.8788931939369569</v>
      </c>
      <c r="AC188" s="312">
        <f t="shared" si="60"/>
        <v>156.19150326618868</v>
      </c>
    </row>
    <row r="189" spans="1:29" x14ac:dyDescent="0.2">
      <c r="A189" s="311" t="s">
        <v>201</v>
      </c>
      <c r="B189" s="11" t="s">
        <v>201</v>
      </c>
      <c r="C189" s="11" t="s">
        <v>22</v>
      </c>
      <c r="D189" s="173">
        <f t="shared" si="65"/>
        <v>18838666</v>
      </c>
      <c r="E189" s="173">
        <f t="shared" si="65"/>
        <v>15000994</v>
      </c>
      <c r="F189" s="173">
        <f t="shared" si="65"/>
        <v>10656886</v>
      </c>
      <c r="G189" s="173">
        <f t="shared" si="65"/>
        <v>44521817</v>
      </c>
      <c r="H189" s="274">
        <f t="shared" si="65"/>
        <v>0.28714539144522733</v>
      </c>
      <c r="I189" s="171">
        <f t="shared" si="63"/>
        <v>57.429078289045464</v>
      </c>
      <c r="J189" s="171">
        <f t="shared" si="63"/>
        <v>63.171986117950013</v>
      </c>
      <c r="K189" s="171">
        <f t="shared" si="63"/>
        <v>68.914893946854562</v>
      </c>
      <c r="L189" s="171">
        <f t="shared" si="63"/>
        <v>74.657801775759111</v>
      </c>
      <c r="M189" s="171">
        <f t="shared" si="63"/>
        <v>80.400709604663646</v>
      </c>
      <c r="N189" s="171">
        <f t="shared" si="63"/>
        <v>83.272163519115921</v>
      </c>
      <c r="O189" s="171">
        <f t="shared" si="63"/>
        <v>91.886525262472745</v>
      </c>
      <c r="P189" s="171">
        <f t="shared" si="63"/>
        <v>97.629433091377294</v>
      </c>
      <c r="Q189" s="171">
        <f t="shared" si="63"/>
        <v>100.50088700582957</v>
      </c>
      <c r="R189" s="171">
        <f t="shared" si="57"/>
        <v>103.37234092028184</v>
      </c>
      <c r="S189" s="171">
        <f t="shared" si="62"/>
        <v>104.80806787750798</v>
      </c>
      <c r="T189" s="171">
        <f t="shared" si="62"/>
        <v>104.80806787750798</v>
      </c>
      <c r="U189" s="171">
        <f t="shared" si="62"/>
        <v>104.80806787750798</v>
      </c>
      <c r="V189" s="171">
        <f t="shared" si="62"/>
        <v>103.37234092028184</v>
      </c>
      <c r="W189" s="171">
        <f t="shared" si="62"/>
        <v>89.01507134802047</v>
      </c>
      <c r="X189" s="171">
        <f t="shared" si="62"/>
        <v>80.400709604663646</v>
      </c>
      <c r="Y189" s="171">
        <f t="shared" si="62"/>
        <v>71.786347861306837</v>
      </c>
      <c r="Z189" s="171">
        <f t="shared" si="62"/>
        <v>68.914893946854562</v>
      </c>
      <c r="AA189" s="171">
        <f t="shared" si="62"/>
        <v>66.043440032402287</v>
      </c>
      <c r="AB189" s="171">
        <f t="shared" si="62"/>
        <v>63.171986117950013</v>
      </c>
      <c r="AC189" s="312">
        <f t="shared" si="60"/>
        <v>1678.3648129973537</v>
      </c>
    </row>
    <row r="190" spans="1:29" ht="13.5" thickBot="1" x14ac:dyDescent="0.25">
      <c r="A190" s="313" t="s">
        <v>202</v>
      </c>
      <c r="B190" s="314" t="s">
        <v>202</v>
      </c>
      <c r="C190" s="314" t="s">
        <v>14</v>
      </c>
      <c r="D190" s="315">
        <f t="shared" si="65"/>
        <v>35045453</v>
      </c>
      <c r="E190" s="315">
        <f t="shared" si="65"/>
        <v>28041302</v>
      </c>
      <c r="F190" s="315">
        <f t="shared" si="65"/>
        <v>18952036</v>
      </c>
      <c r="G190" s="315">
        <f t="shared" si="65"/>
        <v>82045740</v>
      </c>
      <c r="H190" s="316">
        <f t="shared" si="65"/>
        <v>0.52915756175704498</v>
      </c>
      <c r="I190" s="317">
        <f t="shared" si="63"/>
        <v>105.831512351409</v>
      </c>
      <c r="J190" s="317">
        <f t="shared" si="63"/>
        <v>116.41466358654989</v>
      </c>
      <c r="K190" s="317">
        <f t="shared" si="63"/>
        <v>126.9978148216908</v>
      </c>
      <c r="L190" s="317">
        <f t="shared" si="63"/>
        <v>137.5809660568317</v>
      </c>
      <c r="M190" s="317">
        <f t="shared" si="63"/>
        <v>148.16411729197259</v>
      </c>
      <c r="N190" s="317">
        <f t="shared" si="63"/>
        <v>153.45569290954305</v>
      </c>
      <c r="O190" s="317">
        <f t="shared" si="63"/>
        <v>169.33041976225439</v>
      </c>
      <c r="P190" s="317">
        <f t="shared" si="63"/>
        <v>179.91357099739528</v>
      </c>
      <c r="Q190" s="317">
        <f t="shared" si="63"/>
        <v>185.20514661496574</v>
      </c>
      <c r="R190" s="317">
        <f t="shared" si="57"/>
        <v>190.4967222325362</v>
      </c>
      <c r="S190" s="317">
        <f t="shared" si="62"/>
        <v>193.14251004132143</v>
      </c>
      <c r="T190" s="317">
        <f t="shared" si="62"/>
        <v>193.14251004132143</v>
      </c>
      <c r="U190" s="317">
        <f t="shared" si="62"/>
        <v>193.14251004132143</v>
      </c>
      <c r="V190" s="317">
        <f t="shared" si="62"/>
        <v>190.4967222325362</v>
      </c>
      <c r="W190" s="317">
        <f t="shared" si="62"/>
        <v>164.03884414468394</v>
      </c>
      <c r="X190" s="317">
        <f t="shared" si="62"/>
        <v>148.16411729197259</v>
      </c>
      <c r="Y190" s="317">
        <f t="shared" si="62"/>
        <v>132.28939043926124</v>
      </c>
      <c r="Z190" s="317">
        <f t="shared" si="62"/>
        <v>126.9978148216908</v>
      </c>
      <c r="AA190" s="317">
        <f t="shared" si="62"/>
        <v>121.70623920412035</v>
      </c>
      <c r="AB190" s="317">
        <f t="shared" si="62"/>
        <v>116.41466358654989</v>
      </c>
      <c r="AC190" s="318">
        <f t="shared" si="60"/>
        <v>3092.9259484699278</v>
      </c>
    </row>
    <row r="191" spans="1:29" x14ac:dyDescent="0.2">
      <c r="A191" s="169" t="s">
        <v>472</v>
      </c>
      <c r="B191" s="322" t="s">
        <v>286</v>
      </c>
      <c r="C191" s="305" t="s">
        <v>103</v>
      </c>
      <c r="D191" s="307">
        <f t="shared" si="65"/>
        <v>34930</v>
      </c>
      <c r="E191" s="307">
        <f t="shared" si="65"/>
        <v>9353</v>
      </c>
      <c r="F191" s="307">
        <f t="shared" si="65"/>
        <v>46118</v>
      </c>
      <c r="G191" s="307">
        <f t="shared" si="65"/>
        <v>90401</v>
      </c>
      <c r="H191" s="320">
        <f t="shared" si="65"/>
        <v>5.8304517383106795E-4</v>
      </c>
      <c r="I191" s="309">
        <f t="shared" si="63"/>
        <v>0.11660903476621359</v>
      </c>
      <c r="J191" s="309">
        <f t="shared" si="63"/>
        <v>0.12826993824283495</v>
      </c>
      <c r="K191" s="309">
        <f t="shared" si="63"/>
        <v>0.1399308417194563</v>
      </c>
      <c r="L191" s="309">
        <f t="shared" si="63"/>
        <v>0.15159174519607765</v>
      </c>
      <c r="M191" s="309">
        <f t="shared" si="63"/>
        <v>0.16325264867269904</v>
      </c>
      <c r="N191" s="309">
        <f t="shared" si="63"/>
        <v>0.16908310041100971</v>
      </c>
      <c r="O191" s="309">
        <f t="shared" si="63"/>
        <v>0.18657445562594174</v>
      </c>
      <c r="P191" s="309">
        <f t="shared" si="63"/>
        <v>0.1982353591025631</v>
      </c>
      <c r="Q191" s="309">
        <f t="shared" si="63"/>
        <v>0.20406581084087377</v>
      </c>
      <c r="R191" s="309">
        <f t="shared" si="57"/>
        <v>0.20989626257918445</v>
      </c>
      <c r="S191" s="309">
        <f t="shared" si="62"/>
        <v>0.2128114884483398</v>
      </c>
      <c r="T191" s="309">
        <f t="shared" si="62"/>
        <v>0.2128114884483398</v>
      </c>
      <c r="U191" s="309">
        <f t="shared" si="62"/>
        <v>0.2128114884483398</v>
      </c>
      <c r="V191" s="309">
        <f t="shared" si="62"/>
        <v>0.20989626257918445</v>
      </c>
      <c r="W191" s="309">
        <f t="shared" si="62"/>
        <v>0.18074400388763107</v>
      </c>
      <c r="X191" s="309">
        <f t="shared" si="62"/>
        <v>0.16325264867269904</v>
      </c>
      <c r="Y191" s="309">
        <f t="shared" si="62"/>
        <v>0.14576129345776698</v>
      </c>
      <c r="Z191" s="309">
        <f t="shared" si="62"/>
        <v>0.1399308417194563</v>
      </c>
      <c r="AA191" s="309">
        <f t="shared" si="62"/>
        <v>0.13410038998114562</v>
      </c>
      <c r="AB191" s="309">
        <f t="shared" si="62"/>
        <v>0.12826993824283495</v>
      </c>
      <c r="AC191" s="310">
        <f t="shared" si="60"/>
        <v>3.407899041042592</v>
      </c>
    </row>
    <row r="192" spans="1:29" x14ac:dyDescent="0.2">
      <c r="A192" s="169" t="s">
        <v>473</v>
      </c>
      <c r="B192" s="323" t="s">
        <v>287</v>
      </c>
      <c r="C192" s="311" t="s">
        <v>57</v>
      </c>
      <c r="D192" s="173">
        <f t="shared" si="65"/>
        <v>381783</v>
      </c>
      <c r="E192" s="173">
        <f t="shared" si="65"/>
        <v>231135</v>
      </c>
      <c r="F192" s="173">
        <f t="shared" si="65"/>
        <v>34275</v>
      </c>
      <c r="G192" s="173">
        <f t="shared" si="65"/>
        <v>647193</v>
      </c>
      <c r="H192" s="304">
        <f t="shared" si="65"/>
        <v>4.1740993483175013E-3</v>
      </c>
      <c r="I192" s="171">
        <f t="shared" si="63"/>
        <v>0.8348198696635003</v>
      </c>
      <c r="J192" s="171">
        <f t="shared" si="63"/>
        <v>0.91830185662985031</v>
      </c>
      <c r="K192" s="171">
        <f t="shared" si="63"/>
        <v>1.0017838435962003</v>
      </c>
      <c r="L192" s="171">
        <f t="shared" si="63"/>
        <v>1.0852658305625504</v>
      </c>
      <c r="M192" s="171">
        <f t="shared" si="63"/>
        <v>1.1687478175289003</v>
      </c>
      <c r="N192" s="171">
        <f t="shared" si="63"/>
        <v>1.2104888110120753</v>
      </c>
      <c r="O192" s="171">
        <f t="shared" si="63"/>
        <v>1.3357117914616004</v>
      </c>
      <c r="P192" s="171">
        <f t="shared" si="63"/>
        <v>1.4191937784279505</v>
      </c>
      <c r="Q192" s="171">
        <f t="shared" si="63"/>
        <v>1.4609347719111254</v>
      </c>
      <c r="R192" s="171">
        <f t="shared" si="57"/>
        <v>1.5026757653943004</v>
      </c>
      <c r="S192" s="171">
        <f t="shared" si="62"/>
        <v>1.523546262135888</v>
      </c>
      <c r="T192" s="171">
        <f t="shared" si="62"/>
        <v>1.523546262135888</v>
      </c>
      <c r="U192" s="171">
        <f t="shared" si="62"/>
        <v>1.523546262135888</v>
      </c>
      <c r="V192" s="171">
        <f t="shared" si="62"/>
        <v>1.5026757653943004</v>
      </c>
      <c r="W192" s="171">
        <f t="shared" si="62"/>
        <v>1.2939707979784254</v>
      </c>
      <c r="X192" s="171">
        <f t="shared" si="62"/>
        <v>1.1687478175289003</v>
      </c>
      <c r="Y192" s="171">
        <f t="shared" si="62"/>
        <v>1.0435248370793753</v>
      </c>
      <c r="Z192" s="171">
        <f t="shared" si="62"/>
        <v>1.0017838435962003</v>
      </c>
      <c r="AA192" s="171">
        <f t="shared" si="62"/>
        <v>0.96004285011302526</v>
      </c>
      <c r="AB192" s="171">
        <f t="shared" si="62"/>
        <v>0.91830185662985031</v>
      </c>
      <c r="AC192" s="312">
        <f t="shared" si="60"/>
        <v>24.397610690915794</v>
      </c>
    </row>
    <row r="193" spans="1:37" ht="13.5" thickBot="1" x14ac:dyDescent="0.25">
      <c r="A193" s="169" t="s">
        <v>474</v>
      </c>
      <c r="B193" s="324" t="s">
        <v>288</v>
      </c>
      <c r="C193" s="313" t="s">
        <v>82</v>
      </c>
      <c r="D193" s="315">
        <f t="shared" si="65"/>
        <v>77015</v>
      </c>
      <c r="E193" s="315">
        <f t="shared" si="65"/>
        <v>89164</v>
      </c>
      <c r="F193" s="315">
        <f t="shared" si="65"/>
        <v>747451</v>
      </c>
      <c r="G193" s="315">
        <f t="shared" si="65"/>
        <v>913630</v>
      </c>
      <c r="H193" s="321">
        <f t="shared" si="65"/>
        <v>5.8924963459173977E-3</v>
      </c>
      <c r="I193" s="317">
        <f t="shared" si="63"/>
        <v>1.1784992691834795</v>
      </c>
      <c r="J193" s="317">
        <f t="shared" si="63"/>
        <v>1.2963491961018274</v>
      </c>
      <c r="K193" s="317">
        <f t="shared" si="63"/>
        <v>1.4141991230201754</v>
      </c>
      <c r="L193" s="317">
        <f t="shared" si="63"/>
        <v>1.5320490499385233</v>
      </c>
      <c r="M193" s="317">
        <f t="shared" si="63"/>
        <v>1.6498989768568713</v>
      </c>
      <c r="N193" s="317">
        <f t="shared" si="63"/>
        <v>1.7088239403160452</v>
      </c>
      <c r="O193" s="317">
        <f t="shared" si="63"/>
        <v>1.8855988306935672</v>
      </c>
      <c r="P193" s="317">
        <f t="shared" si="63"/>
        <v>2.0034487576119151</v>
      </c>
      <c r="Q193" s="317">
        <f t="shared" si="63"/>
        <v>2.0623737210710891</v>
      </c>
      <c r="R193" s="317">
        <f t="shared" si="57"/>
        <v>2.121298684530263</v>
      </c>
      <c r="S193" s="317">
        <f t="shared" si="62"/>
        <v>2.15076116625985</v>
      </c>
      <c r="T193" s="317">
        <f t="shared" si="62"/>
        <v>2.15076116625985</v>
      </c>
      <c r="U193" s="317">
        <f t="shared" si="62"/>
        <v>2.15076116625985</v>
      </c>
      <c r="V193" s="317">
        <f t="shared" si="62"/>
        <v>2.121298684530263</v>
      </c>
      <c r="W193" s="317">
        <f t="shared" si="62"/>
        <v>1.8266738672343932</v>
      </c>
      <c r="X193" s="317">
        <f t="shared" si="62"/>
        <v>1.6498989768568713</v>
      </c>
      <c r="Y193" s="317">
        <f t="shared" si="62"/>
        <v>1.4731240864793493</v>
      </c>
      <c r="Z193" s="317">
        <f t="shared" si="62"/>
        <v>1.4141991230201754</v>
      </c>
      <c r="AA193" s="317">
        <f t="shared" si="62"/>
        <v>1.3552741595610014</v>
      </c>
      <c r="AB193" s="317">
        <f t="shared" si="62"/>
        <v>1.2963491961018274</v>
      </c>
      <c r="AC193" s="318">
        <f t="shared" si="60"/>
        <v>34.441641141887189</v>
      </c>
    </row>
    <row r="194" spans="1:37" x14ac:dyDescent="0.2">
      <c r="A194" s="169"/>
      <c r="B194" s="172"/>
      <c r="C194" s="172"/>
      <c r="D194" s="173"/>
      <c r="E194" s="173"/>
      <c r="F194" s="173"/>
      <c r="G194" s="173"/>
      <c r="H194" s="319"/>
    </row>
    <row r="195" spans="1:37" x14ac:dyDescent="0.2">
      <c r="B195" s="11" t="s">
        <v>157</v>
      </c>
      <c r="C195" s="26" t="s">
        <v>156</v>
      </c>
      <c r="D195" s="22">
        <f>SUM(D34:D185)</f>
        <v>64607141.842246816</v>
      </c>
      <c r="E195" s="22">
        <f>SUM(E34:E185)</f>
        <v>50830496.220022492</v>
      </c>
      <c r="F195" s="22">
        <f>SUM(F34:F185)</f>
        <v>39579877.459926888</v>
      </c>
      <c r="G195" s="22">
        <f>SUM(G34:G185)</f>
        <v>155049735.5221962</v>
      </c>
      <c r="H195" s="24">
        <f>SUM(H34:H185)</f>
        <v>1</v>
      </c>
      <c r="I195" s="22">
        <f t="shared" si="63"/>
        <v>200</v>
      </c>
      <c r="J195" s="22">
        <f t="shared" si="63"/>
        <v>220</v>
      </c>
      <c r="K195" s="22">
        <f t="shared" si="63"/>
        <v>240</v>
      </c>
      <c r="L195" s="22">
        <f t="shared" si="63"/>
        <v>260</v>
      </c>
      <c r="M195" s="22">
        <f t="shared" si="63"/>
        <v>280</v>
      </c>
      <c r="N195" s="22">
        <f t="shared" si="63"/>
        <v>290</v>
      </c>
      <c r="O195" s="22">
        <f t="shared" si="63"/>
        <v>320</v>
      </c>
      <c r="P195" s="22">
        <f t="shared" si="63"/>
        <v>340</v>
      </c>
      <c r="Q195" s="22">
        <f t="shared" si="63"/>
        <v>350</v>
      </c>
      <c r="R195" s="22">
        <f>$H195*R$33</f>
        <v>360</v>
      </c>
      <c r="S195" s="22">
        <f t="shared" si="62"/>
        <v>365</v>
      </c>
      <c r="T195" s="22">
        <f t="shared" si="62"/>
        <v>365</v>
      </c>
      <c r="U195" s="22">
        <f t="shared" si="62"/>
        <v>365</v>
      </c>
      <c r="V195" s="22">
        <f t="shared" si="62"/>
        <v>360</v>
      </c>
      <c r="W195" s="22">
        <f t="shared" si="62"/>
        <v>310</v>
      </c>
      <c r="X195" s="22">
        <f t="shared" si="62"/>
        <v>280</v>
      </c>
      <c r="Y195" s="22">
        <f t="shared" si="62"/>
        <v>250</v>
      </c>
      <c r="Z195" s="22">
        <f t="shared" si="62"/>
        <v>240</v>
      </c>
      <c r="AA195" s="22">
        <f t="shared" si="62"/>
        <v>230</v>
      </c>
      <c r="AB195" s="22">
        <f t="shared" si="62"/>
        <v>220</v>
      </c>
      <c r="AC195" s="22">
        <f t="shared" si="60"/>
        <v>5845</v>
      </c>
    </row>
    <row r="196" spans="1:37" x14ac:dyDescent="0.2">
      <c r="B196" s="11" t="s">
        <v>157</v>
      </c>
      <c r="C196" s="26" t="s">
        <v>148</v>
      </c>
      <c r="D196" s="23">
        <f>D195/8760</f>
        <v>7375.2445025395909</v>
      </c>
      <c r="E196" s="23">
        <f>E195/8760</f>
        <v>5802.5680616464033</v>
      </c>
      <c r="F196" s="23">
        <f>F195/8760</f>
        <v>4518.2508515898271</v>
      </c>
      <c r="G196" s="23">
        <f>G195/8760</f>
        <v>17699.741497967603</v>
      </c>
      <c r="H196"/>
      <c r="I196" s="99">
        <v>2010</v>
      </c>
      <c r="J196" s="99">
        <v>2011</v>
      </c>
      <c r="K196" s="99">
        <v>2012</v>
      </c>
      <c r="L196" s="99">
        <v>2013</v>
      </c>
      <c r="M196" s="99">
        <v>2014</v>
      </c>
      <c r="N196" s="99">
        <v>2015</v>
      </c>
      <c r="O196" s="99">
        <v>2016</v>
      </c>
      <c r="P196" s="99">
        <v>2017</v>
      </c>
      <c r="Q196" s="99">
        <v>2018</v>
      </c>
      <c r="R196" s="99">
        <v>2019</v>
      </c>
      <c r="S196" s="99">
        <v>2020</v>
      </c>
      <c r="T196" s="99">
        <v>2021</v>
      </c>
      <c r="U196" s="99">
        <v>2022</v>
      </c>
      <c r="V196" s="99">
        <v>2023</v>
      </c>
      <c r="W196" s="99">
        <v>2024</v>
      </c>
      <c r="X196" s="99">
        <v>2025</v>
      </c>
      <c r="Y196" s="99">
        <v>2026</v>
      </c>
      <c r="Z196" s="99">
        <v>2027</v>
      </c>
      <c r="AA196" s="99">
        <v>2028</v>
      </c>
      <c r="AB196" s="99">
        <v>2029</v>
      </c>
    </row>
    <row r="197" spans="1:37" ht="13.5" thickBot="1" x14ac:dyDescent="0.25">
      <c r="B197" s="25"/>
      <c r="D197" s="16"/>
      <c r="H197"/>
    </row>
    <row r="198" spans="1:37" x14ac:dyDescent="0.2">
      <c r="B198" s="17"/>
      <c r="C198" s="36" t="s">
        <v>174</v>
      </c>
      <c r="D198" s="16"/>
      <c r="F198" s="37">
        <v>650</v>
      </c>
      <c r="H198"/>
    </row>
    <row r="199" spans="1:37" x14ac:dyDescent="0.2">
      <c r="B199" s="17"/>
      <c r="D199" s="38" t="s">
        <v>175</v>
      </c>
      <c r="E199" s="15"/>
      <c r="F199" s="15">
        <f>PNWSales_Ind_Agr-(F198*8760)</f>
        <v>33885877.459926888</v>
      </c>
      <c r="H199"/>
    </row>
    <row r="200" spans="1:37" x14ac:dyDescent="0.2">
      <c r="B200" s="17"/>
      <c r="D200" s="38" t="s">
        <v>176</v>
      </c>
      <c r="E200" s="15"/>
      <c r="F200" s="15">
        <f>F198*8760</f>
        <v>5694000</v>
      </c>
      <c r="H200"/>
    </row>
    <row r="201" spans="1:37" x14ac:dyDescent="0.2">
      <c r="B201" s="17"/>
      <c r="D201" s="16"/>
      <c r="H201"/>
    </row>
    <row r="202" spans="1:37" x14ac:dyDescent="0.2">
      <c r="C202" s="302"/>
      <c r="D202" s="1"/>
      <c r="E202" s="1" t="s">
        <v>470</v>
      </c>
      <c r="F202" s="1" t="s">
        <v>2</v>
      </c>
      <c r="G202" s="1" t="s">
        <v>3</v>
      </c>
    </row>
    <row r="203" spans="1:37" x14ac:dyDescent="0.2">
      <c r="A203" s="262" t="s">
        <v>469</v>
      </c>
      <c r="C203" s="302"/>
      <c r="D203" s="297" t="s">
        <v>471</v>
      </c>
      <c r="E203" s="303">
        <v>0.25937193172483958</v>
      </c>
      <c r="F203" s="303">
        <v>0.27115848046033647</v>
      </c>
      <c r="G203" s="303">
        <v>0.41149409175817503</v>
      </c>
    </row>
    <row r="204" spans="1:37" ht="25.5" x14ac:dyDescent="0.2">
      <c r="B204" s="10">
        <v>2010</v>
      </c>
      <c r="C204" s="11" t="s">
        <v>92</v>
      </c>
      <c r="D204" s="11" t="s">
        <v>56</v>
      </c>
      <c r="E204" s="12">
        <f>'EIA Soure Data'!F99</f>
        <v>2321623</v>
      </c>
      <c r="F204" s="12">
        <f>'EIA Soure Data'!J99</f>
        <v>3033983</v>
      </c>
      <c r="G204" s="12">
        <f>'EIA Soure Data'!N99</f>
        <v>370004</v>
      </c>
      <c r="H204" s="12">
        <f>'EIA Soure Data'!V99</f>
        <v>5725610</v>
      </c>
      <c r="AE204" s="294" t="s">
        <v>462</v>
      </c>
      <c r="AF204" s="294" t="s">
        <v>461</v>
      </c>
      <c r="AG204" s="295" t="s">
        <v>466</v>
      </c>
      <c r="AH204" s="295" t="s">
        <v>465</v>
      </c>
      <c r="AJ204" s="300" t="s">
        <v>170</v>
      </c>
      <c r="AK204" s="295" t="s">
        <v>465</v>
      </c>
    </row>
    <row r="205" spans="1:37" x14ac:dyDescent="0.2">
      <c r="C205" s="11" t="s">
        <v>92</v>
      </c>
      <c r="D205" t="s">
        <v>460</v>
      </c>
      <c r="E205" s="16">
        <f>E203*E204</f>
        <v>602163.84224681719</v>
      </c>
      <c r="F205" s="16">
        <f t="shared" ref="F205:G205" si="66">F203*F204</f>
        <v>822690.22002249304</v>
      </c>
      <c r="G205" s="16">
        <f t="shared" si="66"/>
        <v>152254.45992689178</v>
      </c>
      <c r="H205" s="16">
        <f>SUM(E205:G205)</f>
        <v>1577108.5221962021</v>
      </c>
      <c r="AE205" s="297" t="s">
        <v>1</v>
      </c>
      <c r="AF205" s="2">
        <v>601934.01199999999</v>
      </c>
      <c r="AG205" s="2">
        <v>2320736.8969999999</v>
      </c>
      <c r="AH205" s="296">
        <v>0.25937193172483958</v>
      </c>
      <c r="AJ205" s="297" t="s">
        <v>470</v>
      </c>
      <c r="AK205" s="301">
        <f>AF205/AG205</f>
        <v>0.25937193172483958</v>
      </c>
    </row>
    <row r="206" spans="1:37" x14ac:dyDescent="0.2">
      <c r="C206" s="27" t="s">
        <v>358</v>
      </c>
      <c r="D206" s="15" t="str">
        <f>VLOOKUP($C206,$A$34:$H$185,C$31,0)</f>
        <v>WY</v>
      </c>
      <c r="E206" s="15">
        <f>VLOOKUP($C206,$A$34:$H$185,D$31,0)</f>
        <v>4588</v>
      </c>
      <c r="F206" s="15">
        <f t="shared" ref="F206:H206" si="67">VLOOKUP($C206,$A$34:$H$185,E$31,0)</f>
        <v>3555</v>
      </c>
      <c r="G206" s="15">
        <f t="shared" si="67"/>
        <v>0</v>
      </c>
      <c r="H206" s="15">
        <f t="shared" si="67"/>
        <v>8143</v>
      </c>
      <c r="AE206" s="297" t="s">
        <v>467</v>
      </c>
      <c r="AF206" s="2">
        <v>855765.12699999998</v>
      </c>
      <c r="AG206" s="2">
        <v>3152925.3390000002</v>
      </c>
      <c r="AH206" s="296">
        <v>0.2714194073721452</v>
      </c>
      <c r="AJ206" s="297" t="s">
        <v>2</v>
      </c>
      <c r="AK206" s="301">
        <f>(AF208+AF206)/(AG206+AG208)</f>
        <v>0.27115848046033647</v>
      </c>
    </row>
    <row r="207" spans="1:37" x14ac:dyDescent="0.2">
      <c r="C207" s="1" t="s">
        <v>362</v>
      </c>
      <c r="D207" s="15" t="str">
        <f t="shared" ref="D207:D212" si="68">VLOOKUP($C207,$A$34:$H$185,C$31,0)</f>
        <v>NV</v>
      </c>
      <c r="E207" s="15">
        <f t="shared" ref="E207:H212" si="69">VLOOKUP($C207,$A$34:$H$185,D$31,0)</f>
        <v>11752</v>
      </c>
      <c r="F207" s="15">
        <f t="shared" si="69"/>
        <v>0</v>
      </c>
      <c r="G207" s="15">
        <f t="shared" si="69"/>
        <v>83461</v>
      </c>
      <c r="H207" s="15">
        <f t="shared" si="69"/>
        <v>95213</v>
      </c>
      <c r="AE207" s="298" t="s">
        <v>468</v>
      </c>
      <c r="AF207" s="2">
        <v>1147012.476</v>
      </c>
      <c r="AG207" s="2">
        <v>2749340.1710000001</v>
      </c>
      <c r="AH207" s="296">
        <v>0.41719554680743798</v>
      </c>
      <c r="AJ207" s="297" t="s">
        <v>3</v>
      </c>
      <c r="AK207" s="301">
        <f>(AF209+AF207)/(AG209+AG207)</f>
        <v>0.41149409175817503</v>
      </c>
    </row>
    <row r="208" spans="1:37" x14ac:dyDescent="0.2">
      <c r="C208" s="1" t="s">
        <v>377</v>
      </c>
      <c r="D208" s="15" t="str">
        <f t="shared" si="68"/>
        <v>WY</v>
      </c>
      <c r="E208" s="15">
        <f t="shared" si="69"/>
        <v>377195</v>
      </c>
      <c r="F208" s="15">
        <f t="shared" si="69"/>
        <v>227580</v>
      </c>
      <c r="G208" s="15">
        <f t="shared" si="69"/>
        <v>34275</v>
      </c>
      <c r="H208" s="15">
        <f t="shared" si="69"/>
        <v>639050</v>
      </c>
      <c r="AE208" s="298" t="s">
        <v>463</v>
      </c>
      <c r="AF208" s="2">
        <v>15605.707</v>
      </c>
      <c r="AG208" s="2">
        <v>60585.935000000005</v>
      </c>
      <c r="AH208" s="296">
        <v>0.25757970063513913</v>
      </c>
      <c r="AJ208" s="262"/>
      <c r="AK208" s="293"/>
    </row>
    <row r="209" spans="3:34" x14ac:dyDescent="0.2">
      <c r="C209" s="1" t="s">
        <v>420</v>
      </c>
      <c r="D209" s="15" t="str">
        <f t="shared" si="68"/>
        <v>NV</v>
      </c>
      <c r="E209" s="15">
        <f t="shared" si="69"/>
        <v>16159</v>
      </c>
      <c r="F209" s="15">
        <f t="shared" si="69"/>
        <v>35129</v>
      </c>
      <c r="G209" s="15">
        <f t="shared" si="69"/>
        <v>2855</v>
      </c>
      <c r="H209" s="15">
        <f t="shared" si="69"/>
        <v>54143</v>
      </c>
      <c r="AE209" s="298" t="s">
        <v>464</v>
      </c>
      <c r="AF209" s="2">
        <v>13006.035</v>
      </c>
      <c r="AG209" s="2">
        <v>69700.331000000006</v>
      </c>
      <c r="AH209" s="296">
        <v>0.18659932906200974</v>
      </c>
    </row>
    <row r="210" spans="3:34" x14ac:dyDescent="0.2">
      <c r="C210" s="1" t="s">
        <v>424</v>
      </c>
      <c r="D210" s="15" t="str">
        <f t="shared" si="68"/>
        <v>CA</v>
      </c>
      <c r="E210" s="15">
        <f t="shared" si="69"/>
        <v>34930</v>
      </c>
      <c r="F210" s="15">
        <f t="shared" si="69"/>
        <v>9353</v>
      </c>
      <c r="G210" s="15">
        <f t="shared" si="69"/>
        <v>46118</v>
      </c>
      <c r="H210" s="15">
        <f t="shared" si="69"/>
        <v>90401</v>
      </c>
      <c r="AE210" s="298" t="s">
        <v>11</v>
      </c>
      <c r="AF210" s="2">
        <v>2633323.3569999998</v>
      </c>
      <c r="AG210" s="2">
        <v>8353288.6729999995</v>
      </c>
      <c r="AH210" s="299">
        <v>0.31524390693112109</v>
      </c>
    </row>
    <row r="211" spans="3:34" x14ac:dyDescent="0.2">
      <c r="C211" s="11" t="s">
        <v>425</v>
      </c>
      <c r="D211" s="15" t="str">
        <f t="shared" si="68"/>
        <v>NV</v>
      </c>
      <c r="E211" s="15">
        <f t="shared" si="69"/>
        <v>19</v>
      </c>
      <c r="F211" s="15">
        <f t="shared" si="69"/>
        <v>85</v>
      </c>
      <c r="G211" s="15">
        <f t="shared" si="69"/>
        <v>0</v>
      </c>
      <c r="H211" s="15">
        <f t="shared" si="69"/>
        <v>104</v>
      </c>
    </row>
    <row r="212" spans="3:34" x14ac:dyDescent="0.2">
      <c r="C212" s="11" t="s">
        <v>438</v>
      </c>
      <c r="D212" s="15" t="str">
        <f t="shared" si="68"/>
        <v>NV</v>
      </c>
      <c r="E212" s="15">
        <f t="shared" si="69"/>
        <v>49085</v>
      </c>
      <c r="F212" s="15">
        <f t="shared" si="69"/>
        <v>53950</v>
      </c>
      <c r="G212" s="15">
        <f t="shared" si="69"/>
        <v>661135</v>
      </c>
      <c r="H212" s="15">
        <f t="shared" si="69"/>
        <v>764170</v>
      </c>
    </row>
    <row r="213" spans="3:34" x14ac:dyDescent="0.2">
      <c r="C213" s="17"/>
    </row>
    <row r="214" spans="3:34" x14ac:dyDescent="0.2">
      <c r="C214" s="17"/>
      <c r="J214" s="144"/>
      <c r="K214" s="144"/>
      <c r="L214" s="144"/>
      <c r="M214" s="144"/>
      <c r="N214" s="144"/>
      <c r="O214" s="144"/>
      <c r="P214" s="144"/>
      <c r="Q214" s="144"/>
      <c r="R214" s="144"/>
      <c r="S214" s="144"/>
      <c r="T214" s="144"/>
      <c r="U214" s="144"/>
      <c r="V214" s="144"/>
      <c r="W214" s="144"/>
    </row>
    <row r="215" spans="3:34" ht="13.5" thickBot="1" x14ac:dyDescent="0.25">
      <c r="C215" s="4" t="s">
        <v>214</v>
      </c>
      <c r="E215"/>
      <c r="F215"/>
      <c r="G215"/>
      <c r="H215"/>
    </row>
    <row r="216" spans="3:34" ht="13.5" thickBot="1" x14ac:dyDescent="0.25">
      <c r="C216" s="148" t="s">
        <v>4</v>
      </c>
      <c r="D216" s="99">
        <v>2010</v>
      </c>
      <c r="E216" s="99">
        <v>2011</v>
      </c>
      <c r="F216" s="99">
        <v>2012</v>
      </c>
      <c r="G216" s="99">
        <v>2013</v>
      </c>
      <c r="H216" s="99">
        <v>2014</v>
      </c>
      <c r="I216" s="99">
        <v>2015</v>
      </c>
      <c r="J216" s="99">
        <v>2016</v>
      </c>
      <c r="K216" s="99">
        <v>2017</v>
      </c>
      <c r="L216" s="99">
        <v>2018</v>
      </c>
      <c r="M216" s="99">
        <v>2019</v>
      </c>
      <c r="N216" s="99">
        <v>2020</v>
      </c>
      <c r="O216" s="99">
        <v>2021</v>
      </c>
      <c r="P216" s="99">
        <v>2022</v>
      </c>
      <c r="Q216" s="99">
        <v>2023</v>
      </c>
      <c r="R216" s="99">
        <v>2024</v>
      </c>
      <c r="S216" s="99">
        <v>2025</v>
      </c>
      <c r="T216" s="99">
        <v>2026</v>
      </c>
      <c r="U216" s="99">
        <v>2027</v>
      </c>
      <c r="V216" s="99">
        <v>2028</v>
      </c>
      <c r="W216" s="99">
        <v>2029</v>
      </c>
      <c r="X216" s="149" t="s">
        <v>217</v>
      </c>
    </row>
    <row r="217" spans="3:34" x14ac:dyDescent="0.2">
      <c r="C217" s="146" t="s">
        <v>5</v>
      </c>
      <c r="D217" s="186">
        <v>24.888243298860587</v>
      </c>
      <c r="E217" s="186">
        <v>24.1</v>
      </c>
      <c r="F217" s="186">
        <v>23.5</v>
      </c>
      <c r="G217" s="186">
        <v>23.1</v>
      </c>
      <c r="H217" s="187">
        <v>22.8</v>
      </c>
      <c r="I217" s="187">
        <v>31</v>
      </c>
      <c r="J217" s="187">
        <v>28.7</v>
      </c>
      <c r="K217" s="187">
        <v>28.1</v>
      </c>
      <c r="L217" s="187">
        <v>27.9</v>
      </c>
      <c r="M217" s="187">
        <v>27.6</v>
      </c>
      <c r="N217" s="187">
        <v>30.9</v>
      </c>
      <c r="O217" s="187">
        <v>29.8</v>
      </c>
      <c r="P217" s="188">
        <v>35.5</v>
      </c>
      <c r="Q217" s="188">
        <v>33.1</v>
      </c>
      <c r="R217" s="188">
        <v>24</v>
      </c>
      <c r="S217" s="188">
        <v>25.7</v>
      </c>
      <c r="T217" s="188">
        <v>17.100000000000001</v>
      </c>
      <c r="U217" s="188">
        <v>8.3000000000000007</v>
      </c>
      <c r="V217" s="188">
        <v>4.5</v>
      </c>
      <c r="W217" s="189">
        <v>3.1</v>
      </c>
      <c r="X217" s="147">
        <f>SUM(D217:W217)</f>
        <v>473.68824329886064</v>
      </c>
    </row>
    <row r="218" spans="3:34" x14ac:dyDescent="0.2">
      <c r="C218" s="5" t="s">
        <v>6</v>
      </c>
      <c r="D218" s="2">
        <v>90.399164289188874</v>
      </c>
      <c r="E218" s="2">
        <v>85.3</v>
      </c>
      <c r="F218" s="2">
        <v>80.599999999999994</v>
      </c>
      <c r="G218" s="2">
        <v>76.400000000000006</v>
      </c>
      <c r="H218" s="190">
        <v>72.599999999999994</v>
      </c>
      <c r="I218" s="190">
        <v>41.6</v>
      </c>
      <c r="J218" s="190">
        <v>41.9</v>
      </c>
      <c r="K218" s="190">
        <v>41.6</v>
      </c>
      <c r="L218" s="190">
        <v>41.3</v>
      </c>
      <c r="M218" s="190">
        <v>40.9</v>
      </c>
      <c r="N218" s="190">
        <v>50.6</v>
      </c>
      <c r="O218" s="190">
        <v>51</v>
      </c>
      <c r="P218" s="191">
        <v>62.5</v>
      </c>
      <c r="Q218" s="191">
        <v>62.1</v>
      </c>
      <c r="R218" s="191">
        <v>45.1</v>
      </c>
      <c r="S218" s="191">
        <v>0</v>
      </c>
      <c r="T218" s="191">
        <v>0</v>
      </c>
      <c r="U218" s="191">
        <v>0</v>
      </c>
      <c r="V218" s="191">
        <v>0</v>
      </c>
      <c r="W218" s="192">
        <v>0</v>
      </c>
      <c r="X218" s="145">
        <f t="shared" ref="X218:X224" si="70">SUM(D218:W218)</f>
        <v>883.89916428918889</v>
      </c>
    </row>
    <row r="219" spans="3:34" x14ac:dyDescent="0.2">
      <c r="C219" s="5" t="s">
        <v>7</v>
      </c>
      <c r="D219" s="2">
        <v>31.267983523806844</v>
      </c>
      <c r="E219" s="2">
        <v>33.6</v>
      </c>
      <c r="F219" s="2">
        <v>35.700000000000003</v>
      </c>
      <c r="G219" s="2">
        <v>37.5</v>
      </c>
      <c r="H219" s="190">
        <v>39.1</v>
      </c>
      <c r="I219" s="190">
        <v>52.8</v>
      </c>
      <c r="J219" s="190">
        <v>53.2</v>
      </c>
      <c r="K219" s="190">
        <v>52.9</v>
      </c>
      <c r="L219" s="190">
        <v>52.4</v>
      </c>
      <c r="M219" s="190">
        <v>52</v>
      </c>
      <c r="N219" s="190">
        <v>40.4</v>
      </c>
      <c r="O219" s="190">
        <v>40.799999999999997</v>
      </c>
      <c r="P219" s="191">
        <v>38</v>
      </c>
      <c r="Q219" s="191">
        <v>37.700000000000003</v>
      </c>
      <c r="R219" s="191">
        <v>27.4</v>
      </c>
      <c r="S219" s="191">
        <v>33.299999999999997</v>
      </c>
      <c r="T219" s="191">
        <v>23.6</v>
      </c>
      <c r="U219" s="191">
        <v>18.5</v>
      </c>
      <c r="V219" s="191">
        <v>15.2</v>
      </c>
      <c r="W219" s="192">
        <v>13.8</v>
      </c>
      <c r="X219" s="145">
        <f t="shared" si="70"/>
        <v>729.1679835238067</v>
      </c>
    </row>
    <row r="220" spans="3:34" x14ac:dyDescent="0.2">
      <c r="C220" s="5" t="s">
        <v>8</v>
      </c>
      <c r="D220" s="2">
        <v>8.480105899577973</v>
      </c>
      <c r="E220" s="2">
        <v>8</v>
      </c>
      <c r="F220" s="2">
        <v>7.6</v>
      </c>
      <c r="G220" s="2">
        <v>7.2</v>
      </c>
      <c r="H220" s="190">
        <v>6.8</v>
      </c>
      <c r="I220" s="190">
        <v>8.9</v>
      </c>
      <c r="J220" s="190">
        <v>9</v>
      </c>
      <c r="K220" s="190">
        <v>8.9</v>
      </c>
      <c r="L220" s="190">
        <v>8.8000000000000007</v>
      </c>
      <c r="M220" s="190">
        <v>8.6999999999999993</v>
      </c>
      <c r="N220" s="190">
        <v>0</v>
      </c>
      <c r="O220" s="193">
        <v>0</v>
      </c>
      <c r="P220" s="2">
        <v>0</v>
      </c>
      <c r="Q220" s="191">
        <v>0</v>
      </c>
      <c r="R220" s="2">
        <v>0</v>
      </c>
      <c r="S220" s="191">
        <v>0</v>
      </c>
      <c r="T220" s="2">
        <v>0</v>
      </c>
      <c r="U220" s="191">
        <v>0</v>
      </c>
      <c r="V220" s="2">
        <v>0</v>
      </c>
      <c r="W220" s="192">
        <v>0</v>
      </c>
      <c r="X220" s="145">
        <f t="shared" si="70"/>
        <v>82.38010589957797</v>
      </c>
    </row>
    <row r="221" spans="3:34" x14ac:dyDescent="0.2">
      <c r="C221" s="5" t="s">
        <v>216</v>
      </c>
      <c r="D221" s="2">
        <v>4.5191165774998137</v>
      </c>
      <c r="E221" s="2">
        <v>8.5</v>
      </c>
      <c r="F221" s="2">
        <v>12.1</v>
      </c>
      <c r="G221" s="2">
        <v>15.3</v>
      </c>
      <c r="H221" s="190">
        <v>18.100000000000001</v>
      </c>
      <c r="I221" s="190">
        <v>25.2</v>
      </c>
      <c r="J221" s="190">
        <v>26.8</v>
      </c>
      <c r="K221" s="190">
        <v>28</v>
      </c>
      <c r="L221" s="190">
        <v>29.1</v>
      </c>
      <c r="M221" s="190">
        <v>30.2</v>
      </c>
      <c r="N221" s="190">
        <v>37.299999999999997</v>
      </c>
      <c r="O221" s="193">
        <v>37.700000000000003</v>
      </c>
      <c r="P221" s="2">
        <v>23</v>
      </c>
      <c r="Q221" s="191">
        <v>22.9</v>
      </c>
      <c r="R221" s="2">
        <v>16.600000000000001</v>
      </c>
      <c r="S221" s="191">
        <v>20.2</v>
      </c>
      <c r="T221" s="2">
        <v>14.3</v>
      </c>
      <c r="U221" s="191">
        <v>11.2</v>
      </c>
      <c r="V221" s="2">
        <v>9.1999999999999993</v>
      </c>
      <c r="W221" s="192">
        <v>8.4</v>
      </c>
      <c r="X221" s="145">
        <f t="shared" si="70"/>
        <v>398.61911657749971</v>
      </c>
    </row>
    <row r="222" spans="3:34" x14ac:dyDescent="0.2">
      <c r="C222" s="5" t="s">
        <v>9</v>
      </c>
      <c r="D222" s="2">
        <v>17.548027021855678</v>
      </c>
      <c r="E222" s="2">
        <v>26.177720697454756</v>
      </c>
      <c r="F222" s="2">
        <v>33.837200313646399</v>
      </c>
      <c r="G222" s="2">
        <v>40.851933859469057</v>
      </c>
      <c r="H222" s="190">
        <v>46.154929753360356</v>
      </c>
      <c r="I222" s="2">
        <v>46.97333864975306</v>
      </c>
      <c r="J222" s="2">
        <v>54.821320206807293</v>
      </c>
      <c r="K222" s="2">
        <v>58.845134307850408</v>
      </c>
      <c r="L222" s="2">
        <v>49.596676702341448</v>
      </c>
      <c r="M222" s="2">
        <v>51.061013923036775</v>
      </c>
      <c r="N222" s="2">
        <v>51.823047134321669</v>
      </c>
      <c r="O222" s="2">
        <v>48.607967762283337</v>
      </c>
      <c r="P222" s="2">
        <v>46.221395260534869</v>
      </c>
      <c r="Q222" s="2">
        <v>43.884067516103777</v>
      </c>
      <c r="R222" s="2">
        <v>41.774694007506724</v>
      </c>
      <c r="S222" s="2">
        <v>42.723918765356458</v>
      </c>
      <c r="T222" s="2">
        <v>41.502386220411339</v>
      </c>
      <c r="U222" s="2">
        <v>43.159203571740015</v>
      </c>
      <c r="V222" s="2">
        <v>40.679725525410205</v>
      </c>
      <c r="W222" s="190">
        <v>34.231825852811106</v>
      </c>
      <c r="X222" s="145">
        <f t="shared" si="70"/>
        <v>860.47552705205464</v>
      </c>
    </row>
    <row r="223" spans="3:34" x14ac:dyDescent="0.2">
      <c r="C223" s="6" t="s">
        <v>10</v>
      </c>
      <c r="D223" s="194">
        <v>22.897359389210248</v>
      </c>
      <c r="E223" s="194">
        <v>34.32227930254524</v>
      </c>
      <c r="F223" s="194">
        <v>46.662799686353594</v>
      </c>
      <c r="G223" s="194">
        <v>59.648066140530943</v>
      </c>
      <c r="H223" s="195">
        <v>74.445070246639631</v>
      </c>
      <c r="I223" s="2">
        <v>83.526661350246968</v>
      </c>
      <c r="J223" s="2">
        <v>105.57867979319269</v>
      </c>
      <c r="K223" s="2">
        <v>121.65486569214958</v>
      </c>
      <c r="L223" s="2">
        <v>140.90332329765855</v>
      </c>
      <c r="M223" s="2">
        <v>149.53898607696325</v>
      </c>
      <c r="N223" s="2">
        <v>153.97695286567836</v>
      </c>
      <c r="O223" s="2">
        <v>157.09203223771664</v>
      </c>
      <c r="P223" s="2">
        <v>159.77860473946512</v>
      </c>
      <c r="Q223" s="2">
        <v>160.3159324838962</v>
      </c>
      <c r="R223" s="2">
        <v>155.12530599249328</v>
      </c>
      <c r="S223" s="2">
        <v>158.07608123464357</v>
      </c>
      <c r="T223" s="2">
        <v>153.49761377958865</v>
      </c>
      <c r="U223" s="2">
        <v>158.84079642825998</v>
      </c>
      <c r="V223" s="2">
        <v>160.42027447458977</v>
      </c>
      <c r="W223" s="190">
        <v>160.4681741471889</v>
      </c>
      <c r="X223" s="145">
        <f t="shared" si="70"/>
        <v>2416.7698593590117</v>
      </c>
    </row>
    <row r="224" spans="3:34" ht="13.5" thickBot="1" x14ac:dyDescent="0.25">
      <c r="C224" s="30" t="s">
        <v>11</v>
      </c>
      <c r="D224" s="196">
        <f>SUM(D217:D223)</f>
        <v>200</v>
      </c>
      <c r="E224" s="196">
        <v>220</v>
      </c>
      <c r="F224" s="196">
        <v>240</v>
      </c>
      <c r="G224" s="196">
        <v>260</v>
      </c>
      <c r="H224" s="197">
        <v>280</v>
      </c>
      <c r="I224" s="197">
        <v>290</v>
      </c>
      <c r="J224" s="197">
        <v>320</v>
      </c>
      <c r="K224" s="197">
        <v>340</v>
      </c>
      <c r="L224" s="197">
        <v>350</v>
      </c>
      <c r="M224" s="197">
        <v>360</v>
      </c>
      <c r="N224" s="197">
        <v>365</v>
      </c>
      <c r="O224" s="197">
        <v>365</v>
      </c>
      <c r="P224" s="197">
        <v>365</v>
      </c>
      <c r="Q224" s="197">
        <v>360</v>
      </c>
      <c r="R224" s="197">
        <v>310</v>
      </c>
      <c r="S224" s="197">
        <v>280</v>
      </c>
      <c r="T224" s="197">
        <v>250</v>
      </c>
      <c r="U224" s="197">
        <v>240</v>
      </c>
      <c r="V224" s="197">
        <v>230</v>
      </c>
      <c r="W224" s="197">
        <v>220</v>
      </c>
      <c r="X224" s="107">
        <f t="shared" si="70"/>
        <v>5845</v>
      </c>
    </row>
    <row r="225" spans="3:27" ht="13.5" thickBot="1" x14ac:dyDescent="0.25">
      <c r="C225" s="7"/>
      <c r="D225" s="8"/>
      <c r="E225" s="8"/>
      <c r="F225" s="8"/>
      <c r="G225" s="8"/>
      <c r="H225" s="9"/>
      <c r="N225" s="9"/>
      <c r="X225" s="9"/>
    </row>
    <row r="226" spans="3:27" x14ac:dyDescent="0.2">
      <c r="C226" s="198" t="s">
        <v>4</v>
      </c>
      <c r="D226" s="199">
        <v>2010</v>
      </c>
      <c r="E226" s="199">
        <v>2011</v>
      </c>
      <c r="F226" s="199">
        <v>2012</v>
      </c>
      <c r="G226" s="199">
        <v>2013</v>
      </c>
      <c r="H226" s="199">
        <v>2014</v>
      </c>
      <c r="I226" s="199">
        <v>2015</v>
      </c>
      <c r="J226" s="199">
        <v>2016</v>
      </c>
      <c r="K226" s="199">
        <v>2017</v>
      </c>
      <c r="L226" s="199">
        <v>2018</v>
      </c>
      <c r="M226" s="199">
        <v>2019</v>
      </c>
      <c r="N226" s="199">
        <v>2020</v>
      </c>
      <c r="O226" s="199">
        <v>2021</v>
      </c>
      <c r="P226" s="199">
        <v>2022</v>
      </c>
      <c r="Q226" s="199">
        <v>2023</v>
      </c>
      <c r="R226" s="199">
        <v>2024</v>
      </c>
      <c r="S226" s="199">
        <v>2025</v>
      </c>
      <c r="T226" s="199">
        <v>2026</v>
      </c>
      <c r="U226" s="199">
        <v>2027</v>
      </c>
      <c r="V226" s="199">
        <v>2028</v>
      </c>
      <c r="W226" s="199">
        <v>2029</v>
      </c>
      <c r="X226" s="200" t="s">
        <v>217</v>
      </c>
      <c r="Z226" s="262" t="s">
        <v>282</v>
      </c>
    </row>
    <row r="227" spans="3:27" x14ac:dyDescent="0.2">
      <c r="C227" s="1" t="s">
        <v>1</v>
      </c>
      <c r="D227" s="2">
        <f>D218+D223</f>
        <v>113.29652367839913</v>
      </c>
      <c r="E227" s="2">
        <f t="shared" ref="E227:X227" si="71">E218+E223</f>
        <v>119.62227930254524</v>
      </c>
      <c r="F227" s="2">
        <f t="shared" si="71"/>
        <v>127.26279968635359</v>
      </c>
      <c r="G227" s="2">
        <f t="shared" si="71"/>
        <v>136.04806614053095</v>
      </c>
      <c r="H227" s="2">
        <f t="shared" si="71"/>
        <v>147.04507024663963</v>
      </c>
      <c r="I227" s="2">
        <f t="shared" si="71"/>
        <v>125.12666135024696</v>
      </c>
      <c r="J227" s="2">
        <f t="shared" si="71"/>
        <v>147.4786797931927</v>
      </c>
      <c r="K227" s="2">
        <f t="shared" si="71"/>
        <v>163.25486569214959</v>
      </c>
      <c r="L227" s="2">
        <f t="shared" si="71"/>
        <v>182.20332329765853</v>
      </c>
      <c r="M227" s="2">
        <f t="shared" si="71"/>
        <v>190.43898607696326</v>
      </c>
      <c r="N227" s="2">
        <f t="shared" si="71"/>
        <v>204.57695286567835</v>
      </c>
      <c r="O227" s="2">
        <f t="shared" si="71"/>
        <v>208.09203223771664</v>
      </c>
      <c r="P227" s="2">
        <f t="shared" si="71"/>
        <v>222.27860473946512</v>
      </c>
      <c r="Q227" s="2">
        <f t="shared" si="71"/>
        <v>222.4159324838962</v>
      </c>
      <c r="R227" s="2">
        <f t="shared" si="71"/>
        <v>200.22530599249328</v>
      </c>
      <c r="S227" s="2">
        <f t="shared" si="71"/>
        <v>158.07608123464357</v>
      </c>
      <c r="T227" s="2">
        <f t="shared" si="71"/>
        <v>153.49761377958865</v>
      </c>
      <c r="U227" s="2">
        <f t="shared" si="71"/>
        <v>158.84079642825998</v>
      </c>
      <c r="V227" s="2">
        <f t="shared" si="71"/>
        <v>160.42027447458977</v>
      </c>
      <c r="W227" s="2">
        <f t="shared" si="71"/>
        <v>160.4681741471889</v>
      </c>
      <c r="X227" s="2">
        <f t="shared" si="71"/>
        <v>3300.6690236482004</v>
      </c>
      <c r="Z227" s="144">
        <f>SUM(D227:N227)</f>
        <v>1656.3542081303581</v>
      </c>
      <c r="AA227" s="1" t="s">
        <v>1</v>
      </c>
    </row>
    <row r="228" spans="3:27" x14ac:dyDescent="0.2">
      <c r="C228" s="1" t="s">
        <v>12</v>
      </c>
      <c r="D228" s="2">
        <f>D217+D222</f>
        <v>42.436270320716261</v>
      </c>
      <c r="E228" s="2">
        <f t="shared" ref="E228:X228" si="72">E217+E222</f>
        <v>50.277720697454754</v>
      </c>
      <c r="F228" s="2">
        <f t="shared" si="72"/>
        <v>57.337200313646399</v>
      </c>
      <c r="G228" s="2">
        <f t="shared" si="72"/>
        <v>63.951933859469058</v>
      </c>
      <c r="H228" s="2">
        <f t="shared" si="72"/>
        <v>68.954929753360361</v>
      </c>
      <c r="I228" s="2">
        <f t="shared" si="72"/>
        <v>77.97333864975306</v>
      </c>
      <c r="J228" s="2">
        <f t="shared" si="72"/>
        <v>83.521320206807289</v>
      </c>
      <c r="K228" s="2">
        <f t="shared" si="72"/>
        <v>86.94513430785041</v>
      </c>
      <c r="L228" s="2">
        <f t="shared" si="72"/>
        <v>77.496676702341446</v>
      </c>
      <c r="M228" s="2">
        <f t="shared" si="72"/>
        <v>78.661013923036776</v>
      </c>
      <c r="N228" s="2">
        <f t="shared" si="72"/>
        <v>82.723047134321661</v>
      </c>
      <c r="O228" s="2">
        <f t="shared" si="72"/>
        <v>78.407967762283334</v>
      </c>
      <c r="P228" s="2">
        <f t="shared" si="72"/>
        <v>81.721395260534877</v>
      </c>
      <c r="Q228" s="2">
        <f t="shared" si="72"/>
        <v>76.984067516103778</v>
      </c>
      <c r="R228" s="2">
        <f t="shared" si="72"/>
        <v>65.774694007506724</v>
      </c>
      <c r="S228" s="2">
        <f t="shared" si="72"/>
        <v>68.423918765356461</v>
      </c>
      <c r="T228" s="2">
        <f t="shared" si="72"/>
        <v>58.60238622041134</v>
      </c>
      <c r="U228" s="2">
        <f t="shared" si="72"/>
        <v>51.459203571740019</v>
      </c>
      <c r="V228" s="2">
        <f t="shared" si="72"/>
        <v>45.179725525410205</v>
      </c>
      <c r="W228" s="2">
        <f t="shared" si="72"/>
        <v>37.331825852811107</v>
      </c>
      <c r="X228" s="2">
        <f t="shared" si="72"/>
        <v>1334.1637703509152</v>
      </c>
      <c r="Z228" s="144">
        <f t="shared" ref="Z228:Z230" si="73">SUM(D228:N228)</f>
        <v>770.27858586875743</v>
      </c>
      <c r="AA228" s="1" t="s">
        <v>12</v>
      </c>
    </row>
    <row r="229" spans="3:27" x14ac:dyDescent="0.2">
      <c r="C229" s="1" t="s">
        <v>3</v>
      </c>
      <c r="D229" s="2">
        <f>D219</f>
        <v>31.267983523806844</v>
      </c>
      <c r="E229" s="2">
        <f t="shared" ref="E229:X229" si="74">E219</f>
        <v>33.6</v>
      </c>
      <c r="F229" s="2">
        <f t="shared" si="74"/>
        <v>35.700000000000003</v>
      </c>
      <c r="G229" s="2">
        <f t="shared" si="74"/>
        <v>37.5</v>
      </c>
      <c r="H229" s="2">
        <f t="shared" si="74"/>
        <v>39.1</v>
      </c>
      <c r="I229" s="2">
        <f t="shared" si="74"/>
        <v>52.8</v>
      </c>
      <c r="J229" s="2">
        <f t="shared" si="74"/>
        <v>53.2</v>
      </c>
      <c r="K229" s="2">
        <f t="shared" si="74"/>
        <v>52.9</v>
      </c>
      <c r="L229" s="2">
        <f t="shared" si="74"/>
        <v>52.4</v>
      </c>
      <c r="M229" s="2">
        <f t="shared" si="74"/>
        <v>52</v>
      </c>
      <c r="N229" s="2">
        <f t="shared" si="74"/>
        <v>40.4</v>
      </c>
      <c r="O229" s="2">
        <f t="shared" si="74"/>
        <v>40.799999999999997</v>
      </c>
      <c r="P229" s="2">
        <f t="shared" si="74"/>
        <v>38</v>
      </c>
      <c r="Q229" s="2">
        <f t="shared" si="74"/>
        <v>37.700000000000003</v>
      </c>
      <c r="R229" s="2">
        <f t="shared" si="74"/>
        <v>27.4</v>
      </c>
      <c r="S229" s="2">
        <f t="shared" si="74"/>
        <v>33.299999999999997</v>
      </c>
      <c r="T229" s="2">
        <f t="shared" si="74"/>
        <v>23.6</v>
      </c>
      <c r="U229" s="2">
        <f t="shared" si="74"/>
        <v>18.5</v>
      </c>
      <c r="V229" s="2">
        <f t="shared" si="74"/>
        <v>15.2</v>
      </c>
      <c r="W229" s="2">
        <f t="shared" si="74"/>
        <v>13.8</v>
      </c>
      <c r="X229" s="2">
        <f t="shared" si="74"/>
        <v>729.1679835238067</v>
      </c>
      <c r="Z229" s="144">
        <f t="shared" si="73"/>
        <v>480.86798352380674</v>
      </c>
      <c r="AA229" s="1" t="s">
        <v>3</v>
      </c>
    </row>
    <row r="230" spans="3:27" x14ac:dyDescent="0.2">
      <c r="C230" s="1" t="s">
        <v>15</v>
      </c>
      <c r="D230" s="2">
        <f>D220</f>
        <v>8.480105899577973</v>
      </c>
      <c r="E230" s="2">
        <f t="shared" ref="E230:X231" si="75">E220</f>
        <v>8</v>
      </c>
      <c r="F230" s="2">
        <f t="shared" si="75"/>
        <v>7.6</v>
      </c>
      <c r="G230" s="2">
        <f t="shared" si="75"/>
        <v>7.2</v>
      </c>
      <c r="H230" s="2">
        <f t="shared" si="75"/>
        <v>6.8</v>
      </c>
      <c r="I230" s="2">
        <f t="shared" si="75"/>
        <v>8.9</v>
      </c>
      <c r="J230" s="2">
        <f t="shared" si="75"/>
        <v>9</v>
      </c>
      <c r="K230" s="2">
        <f t="shared" si="75"/>
        <v>8.9</v>
      </c>
      <c r="L230" s="2">
        <f t="shared" si="75"/>
        <v>8.8000000000000007</v>
      </c>
      <c r="M230" s="2">
        <f t="shared" si="75"/>
        <v>8.6999999999999993</v>
      </c>
      <c r="N230" s="2">
        <f t="shared" si="75"/>
        <v>0</v>
      </c>
      <c r="O230" s="2">
        <f t="shared" si="75"/>
        <v>0</v>
      </c>
      <c r="P230" s="2">
        <f t="shared" si="75"/>
        <v>0</v>
      </c>
      <c r="Q230" s="2">
        <f t="shared" si="75"/>
        <v>0</v>
      </c>
      <c r="R230" s="2">
        <f t="shared" si="75"/>
        <v>0</v>
      </c>
      <c r="S230" s="2">
        <f t="shared" si="75"/>
        <v>0</v>
      </c>
      <c r="T230" s="2">
        <f t="shared" si="75"/>
        <v>0</v>
      </c>
      <c r="U230" s="2">
        <f t="shared" si="75"/>
        <v>0</v>
      </c>
      <c r="V230" s="2">
        <f t="shared" si="75"/>
        <v>0</v>
      </c>
      <c r="W230" s="2">
        <f t="shared" si="75"/>
        <v>0</v>
      </c>
      <c r="X230" s="2">
        <f t="shared" si="75"/>
        <v>82.38010589957797</v>
      </c>
      <c r="Z230" s="144">
        <f t="shared" si="73"/>
        <v>82.38010589957797</v>
      </c>
      <c r="AA230" s="1" t="s">
        <v>15</v>
      </c>
    </row>
    <row r="231" spans="3:27" x14ac:dyDescent="0.2">
      <c r="C231" s="1" t="s">
        <v>215</v>
      </c>
      <c r="D231" s="2">
        <f>D221</f>
        <v>4.5191165774998137</v>
      </c>
      <c r="E231" s="2">
        <f t="shared" ref="E231:W231" si="76">E221</f>
        <v>8.5</v>
      </c>
      <c r="F231" s="2">
        <f t="shared" si="76"/>
        <v>12.1</v>
      </c>
      <c r="G231" s="2">
        <f t="shared" si="76"/>
        <v>15.3</v>
      </c>
      <c r="H231" s="2">
        <f t="shared" si="76"/>
        <v>18.100000000000001</v>
      </c>
      <c r="I231" s="2">
        <f t="shared" si="76"/>
        <v>25.2</v>
      </c>
      <c r="J231" s="2">
        <f t="shared" si="76"/>
        <v>26.8</v>
      </c>
      <c r="K231" s="2">
        <f t="shared" si="76"/>
        <v>28</v>
      </c>
      <c r="L231" s="2">
        <f t="shared" si="76"/>
        <v>29.1</v>
      </c>
      <c r="M231" s="2">
        <f t="shared" si="76"/>
        <v>30.2</v>
      </c>
      <c r="N231" s="2">
        <f t="shared" si="76"/>
        <v>37.299999999999997</v>
      </c>
      <c r="O231" s="2">
        <f t="shared" si="76"/>
        <v>37.700000000000003</v>
      </c>
      <c r="P231" s="2">
        <f t="shared" si="76"/>
        <v>23</v>
      </c>
      <c r="Q231" s="2">
        <f t="shared" si="76"/>
        <v>22.9</v>
      </c>
      <c r="R231" s="2">
        <f t="shared" si="76"/>
        <v>16.600000000000001</v>
      </c>
      <c r="S231" s="2">
        <f t="shared" si="76"/>
        <v>20.2</v>
      </c>
      <c r="T231" s="2">
        <f t="shared" si="76"/>
        <v>14.3</v>
      </c>
      <c r="U231" s="2">
        <f t="shared" si="76"/>
        <v>11.2</v>
      </c>
      <c r="V231" s="2">
        <f t="shared" si="76"/>
        <v>9.1999999999999993</v>
      </c>
      <c r="W231" s="2">
        <f t="shared" si="76"/>
        <v>8.4</v>
      </c>
      <c r="X231" s="2">
        <f t="shared" si="75"/>
        <v>398.61911657749971</v>
      </c>
      <c r="Z231" s="144">
        <f>SUM(D231:N231)</f>
        <v>235.11911657749977</v>
      </c>
      <c r="AA231" s="1" t="s">
        <v>215</v>
      </c>
    </row>
    <row r="232" spans="3:27" x14ac:dyDescent="0.2">
      <c r="C232" s="201" t="s">
        <v>16</v>
      </c>
      <c r="D232" s="202">
        <f>SUM(D227:D231)</f>
        <v>200</v>
      </c>
      <c r="E232" s="202">
        <f t="shared" ref="E232:X232" si="77">SUM(E227:E231)</f>
        <v>219.99999999999997</v>
      </c>
      <c r="F232" s="202">
        <f t="shared" si="77"/>
        <v>240</v>
      </c>
      <c r="G232" s="202">
        <f t="shared" si="77"/>
        <v>260</v>
      </c>
      <c r="H232" s="202">
        <f t="shared" si="77"/>
        <v>280</v>
      </c>
      <c r="I232" s="202">
        <f t="shared" si="77"/>
        <v>290</v>
      </c>
      <c r="J232" s="202">
        <f t="shared" si="77"/>
        <v>320</v>
      </c>
      <c r="K232" s="202">
        <f t="shared" si="77"/>
        <v>339.99999999999994</v>
      </c>
      <c r="L232" s="202">
        <f t="shared" si="77"/>
        <v>350</v>
      </c>
      <c r="M232" s="202">
        <f t="shared" si="77"/>
        <v>360</v>
      </c>
      <c r="N232" s="202">
        <f t="shared" si="77"/>
        <v>365</v>
      </c>
      <c r="O232" s="202">
        <f t="shared" si="77"/>
        <v>365</v>
      </c>
      <c r="P232" s="202">
        <f t="shared" si="77"/>
        <v>365</v>
      </c>
      <c r="Q232" s="202">
        <f t="shared" si="77"/>
        <v>359.99999999999994</v>
      </c>
      <c r="R232" s="202">
        <f t="shared" si="77"/>
        <v>310</v>
      </c>
      <c r="S232" s="202">
        <f t="shared" si="77"/>
        <v>280</v>
      </c>
      <c r="T232" s="202">
        <f t="shared" si="77"/>
        <v>250</v>
      </c>
      <c r="U232" s="202">
        <f t="shared" si="77"/>
        <v>240</v>
      </c>
      <c r="V232" s="202">
        <f t="shared" si="77"/>
        <v>229.99999999999994</v>
      </c>
      <c r="W232" s="202">
        <f t="shared" si="77"/>
        <v>220.00000000000003</v>
      </c>
      <c r="X232" s="202">
        <f t="shared" si="77"/>
        <v>5845</v>
      </c>
    </row>
    <row r="233" spans="3:27" x14ac:dyDescent="0.2">
      <c r="D233" s="3">
        <v>200.89501762390137</v>
      </c>
      <c r="E233" s="3">
        <v>223.66166687011719</v>
      </c>
      <c r="F233" s="3">
        <v>244.94129943847656</v>
      </c>
      <c r="G233" s="3">
        <v>262.51510620117188</v>
      </c>
      <c r="H233" s="3">
        <v>278.55648803710938</v>
      </c>
      <c r="I233" s="3">
        <v>293.91476440429688</v>
      </c>
      <c r="J233" s="3">
        <v>307.71270751953125</v>
      </c>
      <c r="K233" s="3">
        <v>343.5887451171875</v>
      </c>
      <c r="L233" s="3">
        <v>362.12255859375</v>
      </c>
      <c r="M233" s="3">
        <v>369.1666259765625</v>
      </c>
      <c r="N233" s="3">
        <v>370.837646484375</v>
      </c>
      <c r="O233" s="3">
        <v>371.0499267578125</v>
      </c>
      <c r="P233" s="3">
        <v>363.187255859375</v>
      </c>
      <c r="Q233" s="3">
        <v>360.6898193359375</v>
      </c>
      <c r="R233" s="3">
        <v>361.0927734375</v>
      </c>
      <c r="S233" s="3">
        <v>361.534423828125</v>
      </c>
      <c r="T233" s="3">
        <v>300.630859375</v>
      </c>
      <c r="U233" s="3">
        <v>201.31884765625</v>
      </c>
      <c r="V233" s="3">
        <v>195.40380859375</v>
      </c>
    </row>
    <row r="234" spans="3:27" x14ac:dyDescent="0.2">
      <c r="C234" s="1" t="s">
        <v>5</v>
      </c>
      <c r="D234" s="2">
        <f>D217</f>
        <v>24.888243298860587</v>
      </c>
      <c r="E234" s="2">
        <f t="shared" ref="E234:N234" si="78">E217</f>
        <v>24.1</v>
      </c>
      <c r="F234" s="2">
        <f t="shared" si="78"/>
        <v>23.5</v>
      </c>
      <c r="G234" s="2">
        <f t="shared" si="78"/>
        <v>23.1</v>
      </c>
      <c r="H234" s="2">
        <f t="shared" si="78"/>
        <v>22.8</v>
      </c>
      <c r="I234" s="2">
        <f t="shared" si="78"/>
        <v>31</v>
      </c>
      <c r="J234" s="2">
        <f t="shared" si="78"/>
        <v>28.7</v>
      </c>
      <c r="K234" s="2">
        <f t="shared" si="78"/>
        <v>28.1</v>
      </c>
      <c r="L234" s="2">
        <f t="shared" si="78"/>
        <v>27.9</v>
      </c>
      <c r="M234" s="2">
        <f t="shared" si="78"/>
        <v>27.6</v>
      </c>
      <c r="N234" s="2">
        <f t="shared" si="78"/>
        <v>30.9</v>
      </c>
    </row>
    <row r="235" spans="3:27" x14ac:dyDescent="0.2">
      <c r="C235" s="1" t="s">
        <v>9</v>
      </c>
      <c r="D235" s="2">
        <v>20</v>
      </c>
      <c r="E235" s="2">
        <f t="shared" ref="E235:N235" si="79">E222</f>
        <v>26.177720697454756</v>
      </c>
      <c r="F235" s="2">
        <f t="shared" si="79"/>
        <v>33.837200313646399</v>
      </c>
      <c r="G235" s="2">
        <f t="shared" si="79"/>
        <v>40.851933859469057</v>
      </c>
      <c r="H235" s="2">
        <f t="shared" si="79"/>
        <v>46.154929753360356</v>
      </c>
      <c r="I235" s="2">
        <f t="shared" si="79"/>
        <v>46.97333864975306</v>
      </c>
      <c r="J235" s="2">
        <f t="shared" si="79"/>
        <v>54.821320206807293</v>
      </c>
      <c r="K235" s="2">
        <f t="shared" si="79"/>
        <v>58.845134307850408</v>
      </c>
      <c r="L235" s="2">
        <f t="shared" si="79"/>
        <v>49.596676702341448</v>
      </c>
      <c r="M235" s="2">
        <f t="shared" si="79"/>
        <v>51.061013923036775</v>
      </c>
      <c r="N235" s="2">
        <f t="shared" si="79"/>
        <v>51.823047134321669</v>
      </c>
    </row>
    <row r="236" spans="3:27" x14ac:dyDescent="0.2">
      <c r="C236" s="1" t="s">
        <v>6</v>
      </c>
      <c r="D236" s="2">
        <f>D218</f>
        <v>90.399164289188874</v>
      </c>
      <c r="E236" s="2">
        <f t="shared" ref="E236:N236" si="80">E218</f>
        <v>85.3</v>
      </c>
      <c r="F236" s="2">
        <f t="shared" si="80"/>
        <v>80.599999999999994</v>
      </c>
      <c r="G236" s="2">
        <f t="shared" si="80"/>
        <v>76.400000000000006</v>
      </c>
      <c r="H236" s="2">
        <f t="shared" si="80"/>
        <v>72.599999999999994</v>
      </c>
      <c r="I236" s="2">
        <f t="shared" si="80"/>
        <v>41.6</v>
      </c>
      <c r="J236" s="2">
        <f t="shared" si="80"/>
        <v>41.9</v>
      </c>
      <c r="K236" s="2">
        <f t="shared" si="80"/>
        <v>41.6</v>
      </c>
      <c r="L236" s="2">
        <f t="shared" si="80"/>
        <v>41.3</v>
      </c>
      <c r="M236" s="2">
        <f t="shared" si="80"/>
        <v>40.9</v>
      </c>
      <c r="N236" s="2">
        <f t="shared" si="80"/>
        <v>50.6</v>
      </c>
    </row>
    <row r="237" spans="3:27" x14ac:dyDescent="0.2">
      <c r="C237" s="1" t="s">
        <v>10</v>
      </c>
      <c r="D237" s="2">
        <f>D223</f>
        <v>22.897359389210248</v>
      </c>
      <c r="E237" s="2">
        <f t="shared" ref="E237:N237" si="81">E223</f>
        <v>34.32227930254524</v>
      </c>
      <c r="F237" s="2">
        <f t="shared" si="81"/>
        <v>46.662799686353594</v>
      </c>
      <c r="G237" s="2">
        <f t="shared" si="81"/>
        <v>59.648066140530943</v>
      </c>
      <c r="H237" s="2">
        <f t="shared" si="81"/>
        <v>74.445070246639631</v>
      </c>
      <c r="I237" s="2">
        <f t="shared" si="81"/>
        <v>83.526661350246968</v>
      </c>
      <c r="J237" s="2">
        <f t="shared" si="81"/>
        <v>105.57867979319269</v>
      </c>
      <c r="K237" s="2">
        <f t="shared" si="81"/>
        <v>121.65486569214958</v>
      </c>
      <c r="L237" s="2">
        <f t="shared" si="81"/>
        <v>140.90332329765855</v>
      </c>
      <c r="M237" s="2">
        <f t="shared" si="81"/>
        <v>149.53898607696325</v>
      </c>
      <c r="N237" s="2">
        <f t="shared" si="81"/>
        <v>153.97695286567836</v>
      </c>
    </row>
    <row r="238" spans="3:27" x14ac:dyDescent="0.2">
      <c r="C238" s="1" t="s">
        <v>7</v>
      </c>
      <c r="D238" s="2">
        <v>30</v>
      </c>
      <c r="E238" s="2">
        <f t="shared" ref="E238:N238" si="82">E219</f>
        <v>33.6</v>
      </c>
      <c r="F238" s="2">
        <f t="shared" si="82"/>
        <v>35.700000000000003</v>
      </c>
      <c r="G238" s="2">
        <f t="shared" si="82"/>
        <v>37.5</v>
      </c>
      <c r="H238" s="2">
        <f t="shared" si="82"/>
        <v>39.1</v>
      </c>
      <c r="I238" s="2">
        <f t="shared" si="82"/>
        <v>52.8</v>
      </c>
      <c r="J238" s="2">
        <f t="shared" si="82"/>
        <v>53.2</v>
      </c>
      <c r="K238" s="2">
        <f t="shared" si="82"/>
        <v>52.9</v>
      </c>
      <c r="L238" s="2">
        <f t="shared" si="82"/>
        <v>52.4</v>
      </c>
      <c r="M238" s="2">
        <f t="shared" si="82"/>
        <v>52</v>
      </c>
      <c r="N238" s="2">
        <f t="shared" si="82"/>
        <v>40.4</v>
      </c>
    </row>
    <row r="239" spans="3:27" x14ac:dyDescent="0.2">
      <c r="C239" s="1" t="s">
        <v>8</v>
      </c>
      <c r="D239" s="2">
        <v>10</v>
      </c>
      <c r="E239" s="2">
        <f t="shared" ref="E239:N239" si="83">E230</f>
        <v>8</v>
      </c>
      <c r="F239" s="2">
        <f t="shared" si="83"/>
        <v>7.6</v>
      </c>
      <c r="G239" s="2">
        <f t="shared" si="83"/>
        <v>7.2</v>
      </c>
      <c r="H239" s="2">
        <f t="shared" si="83"/>
        <v>6.8</v>
      </c>
      <c r="I239" s="2">
        <f t="shared" si="83"/>
        <v>8.9</v>
      </c>
      <c r="J239" s="2">
        <f t="shared" si="83"/>
        <v>9</v>
      </c>
      <c r="K239" s="2">
        <f t="shared" si="83"/>
        <v>8.9</v>
      </c>
      <c r="L239" s="2">
        <f t="shared" si="83"/>
        <v>8.8000000000000007</v>
      </c>
      <c r="M239" s="2">
        <f t="shared" si="83"/>
        <v>8.6999999999999993</v>
      </c>
      <c r="N239" s="2">
        <f t="shared" si="83"/>
        <v>0</v>
      </c>
    </row>
    <row r="240" spans="3:27" x14ac:dyDescent="0.2">
      <c r="C240" s="1" t="s">
        <v>216</v>
      </c>
      <c r="D240" s="2">
        <f>D221</f>
        <v>4.5191165774998137</v>
      </c>
      <c r="E240" s="2">
        <f t="shared" ref="E240:N240" si="84">E221</f>
        <v>8.5</v>
      </c>
      <c r="F240" s="2">
        <f t="shared" si="84"/>
        <v>12.1</v>
      </c>
      <c r="G240" s="2">
        <f t="shared" si="84"/>
        <v>15.3</v>
      </c>
      <c r="H240" s="2">
        <f t="shared" si="84"/>
        <v>18.100000000000001</v>
      </c>
      <c r="I240" s="2">
        <f t="shared" si="84"/>
        <v>25.2</v>
      </c>
      <c r="J240" s="2">
        <f t="shared" si="84"/>
        <v>26.8</v>
      </c>
      <c r="K240" s="2">
        <f t="shared" si="84"/>
        <v>28</v>
      </c>
      <c r="L240" s="2">
        <f t="shared" si="84"/>
        <v>29.1</v>
      </c>
      <c r="M240" s="2">
        <f t="shared" si="84"/>
        <v>30.2</v>
      </c>
      <c r="N240" s="2">
        <f t="shared" si="84"/>
        <v>37.299999999999997</v>
      </c>
    </row>
    <row r="241" spans="3:24" x14ac:dyDescent="0.2">
      <c r="D241" s="144">
        <f>SUM(D234:D240)</f>
        <v>202.7038835547595</v>
      </c>
    </row>
    <row r="243" spans="3:24" x14ac:dyDescent="0.2">
      <c r="D243" t="s">
        <v>158</v>
      </c>
    </row>
    <row r="244" spans="3:24" x14ac:dyDescent="0.2">
      <c r="D244" t="s">
        <v>19</v>
      </c>
    </row>
    <row r="245" spans="3:24" x14ac:dyDescent="0.2">
      <c r="D245" t="s">
        <v>56</v>
      </c>
    </row>
    <row r="246" spans="3:24" x14ac:dyDescent="0.2">
      <c r="D246" t="s">
        <v>22</v>
      </c>
    </row>
    <row r="247" spans="3:24" x14ac:dyDescent="0.2">
      <c r="D247" t="s">
        <v>14</v>
      </c>
    </row>
    <row r="249" spans="3:24" x14ac:dyDescent="0.2">
      <c r="C249" s="4" t="s">
        <v>263</v>
      </c>
      <c r="D249" s="199">
        <v>2010</v>
      </c>
      <c r="E249" s="199">
        <v>2011</v>
      </c>
      <c r="F249" s="199">
        <v>2012</v>
      </c>
      <c r="G249" s="199">
        <v>2013</v>
      </c>
      <c r="H249" s="199">
        <v>2014</v>
      </c>
      <c r="I249" s="199">
        <v>2015</v>
      </c>
      <c r="J249" s="199">
        <v>2016</v>
      </c>
      <c r="K249" s="199">
        <v>2017</v>
      </c>
      <c r="L249" s="199">
        <v>2018</v>
      </c>
      <c r="M249" s="199">
        <v>2019</v>
      </c>
      <c r="N249" s="199">
        <v>2020</v>
      </c>
      <c r="O249" s="199">
        <v>2021</v>
      </c>
      <c r="P249" s="199">
        <v>2022</v>
      </c>
      <c r="Q249" s="199">
        <v>2023</v>
      </c>
      <c r="R249" s="199">
        <v>2024</v>
      </c>
      <c r="S249" s="199">
        <v>2025</v>
      </c>
      <c r="T249" s="199">
        <v>2026</v>
      </c>
      <c r="U249" s="199">
        <v>2027</v>
      </c>
      <c r="V249" s="199">
        <v>2028</v>
      </c>
      <c r="W249" s="199">
        <v>2029</v>
      </c>
      <c r="X249" s="199" t="s">
        <v>11</v>
      </c>
    </row>
    <row r="250" spans="3:24" x14ac:dyDescent="0.2">
      <c r="C250" s="1" t="s">
        <v>279</v>
      </c>
      <c r="D250" s="2">
        <v>40</v>
      </c>
      <c r="E250" s="2">
        <v>60</v>
      </c>
      <c r="F250" s="2">
        <v>80</v>
      </c>
      <c r="G250" s="2">
        <v>100</v>
      </c>
      <c r="H250" s="2">
        <v>120</v>
      </c>
      <c r="I250" s="2">
        <v>130</v>
      </c>
      <c r="J250" s="2">
        <v>140</v>
      </c>
      <c r="K250" s="2">
        <v>150</v>
      </c>
      <c r="L250" s="2">
        <v>183.5887451171875</v>
      </c>
      <c r="M250" s="2">
        <v>202.12255859375</v>
      </c>
      <c r="N250" s="2">
        <v>209.1666259765625</v>
      </c>
      <c r="O250" s="2">
        <v>210.837646484375</v>
      </c>
      <c r="P250" s="2">
        <v>211.0499267578125</v>
      </c>
      <c r="Q250" s="2">
        <v>203.187255859375</v>
      </c>
      <c r="R250" s="2">
        <v>200.6898193359375</v>
      </c>
      <c r="S250" s="2">
        <v>201.0927734375</v>
      </c>
      <c r="T250" s="2">
        <v>201.534423828125</v>
      </c>
      <c r="U250" s="2">
        <v>202.006591796875</v>
      </c>
      <c r="V250" s="2">
        <v>197.875732421875</v>
      </c>
      <c r="W250" s="2">
        <v>192.3857421875</v>
      </c>
      <c r="X250" s="98">
        <v>3133.043701171875</v>
      </c>
    </row>
    <row r="251" spans="3:24" x14ac:dyDescent="0.2">
      <c r="C251" s="1" t="s">
        <v>280</v>
      </c>
      <c r="D251" s="2">
        <v>160</v>
      </c>
      <c r="E251" s="2">
        <v>160</v>
      </c>
      <c r="F251" s="2">
        <v>160</v>
      </c>
      <c r="G251" s="2">
        <v>160</v>
      </c>
      <c r="H251" s="2">
        <v>160</v>
      </c>
      <c r="I251" s="2">
        <v>160</v>
      </c>
      <c r="J251" s="2">
        <v>160</v>
      </c>
      <c r="K251" s="2">
        <v>160</v>
      </c>
      <c r="L251" s="2">
        <v>160</v>
      </c>
      <c r="M251" s="2">
        <v>160</v>
      </c>
      <c r="N251" s="2">
        <v>160</v>
      </c>
      <c r="O251" s="2">
        <v>160</v>
      </c>
      <c r="P251" s="2">
        <v>160</v>
      </c>
      <c r="Q251" s="2">
        <v>160</v>
      </c>
      <c r="R251" s="2">
        <v>160</v>
      </c>
      <c r="S251" s="2">
        <v>160</v>
      </c>
      <c r="T251" s="2">
        <v>160</v>
      </c>
      <c r="U251" s="2">
        <v>98.624267578125</v>
      </c>
      <c r="V251" s="2">
        <v>3.443115234375</v>
      </c>
      <c r="W251" s="2">
        <v>3.01806640625</v>
      </c>
      <c r="X251" s="98">
        <v>2825.08544921875</v>
      </c>
    </row>
    <row r="252" spans="3:24" x14ac:dyDescent="0.2">
      <c r="C252" s="1" t="s">
        <v>281</v>
      </c>
      <c r="D252" s="2">
        <f>SUM(D250:D251)</f>
        <v>200</v>
      </c>
      <c r="E252" s="2">
        <f t="shared" ref="E252:W252" si="85">SUM(E250:E251)</f>
        <v>220</v>
      </c>
      <c r="F252" s="2">
        <f t="shared" si="85"/>
        <v>240</v>
      </c>
      <c r="G252" s="2">
        <f t="shared" si="85"/>
        <v>260</v>
      </c>
      <c r="H252" s="2">
        <f t="shared" si="85"/>
        <v>280</v>
      </c>
      <c r="I252" s="2">
        <f t="shared" si="85"/>
        <v>290</v>
      </c>
      <c r="J252" s="2">
        <f t="shared" si="85"/>
        <v>300</v>
      </c>
      <c r="K252" s="2">
        <f t="shared" si="85"/>
        <v>310</v>
      </c>
      <c r="L252" s="2">
        <f t="shared" si="85"/>
        <v>343.5887451171875</v>
      </c>
      <c r="M252" s="2">
        <f t="shared" si="85"/>
        <v>362.12255859375</v>
      </c>
      <c r="N252" s="2">
        <f t="shared" si="85"/>
        <v>369.1666259765625</v>
      </c>
      <c r="O252" s="2">
        <f t="shared" si="85"/>
        <v>370.837646484375</v>
      </c>
      <c r="P252" s="2">
        <f t="shared" si="85"/>
        <v>371.0499267578125</v>
      </c>
      <c r="Q252" s="2">
        <f t="shared" si="85"/>
        <v>363.187255859375</v>
      </c>
      <c r="R252" s="2">
        <f t="shared" si="85"/>
        <v>360.6898193359375</v>
      </c>
      <c r="S252" s="2">
        <f t="shared" si="85"/>
        <v>361.0927734375</v>
      </c>
      <c r="T252" s="2">
        <f t="shared" si="85"/>
        <v>361.534423828125</v>
      </c>
      <c r="U252" s="2">
        <f t="shared" si="85"/>
        <v>300.630859375</v>
      </c>
      <c r="V252" s="2">
        <f t="shared" si="85"/>
        <v>201.31884765625</v>
      </c>
      <c r="W252" s="2">
        <f t="shared" si="85"/>
        <v>195.40380859375</v>
      </c>
      <c r="X252" s="98">
        <v>5958.129150390625</v>
      </c>
    </row>
    <row r="255" spans="3:24" x14ac:dyDescent="0.2">
      <c r="D255" s="98">
        <f>SUM(D222:D223)</f>
        <v>40.445386411065925</v>
      </c>
      <c r="E255" s="98">
        <f>SUM(E222:E223)</f>
        <v>60.5</v>
      </c>
      <c r="F255" s="98">
        <f t="shared" ref="F255:W255" si="86">SUM(F222:F223)</f>
        <v>80.5</v>
      </c>
      <c r="G255" s="98">
        <f t="shared" si="86"/>
        <v>100.5</v>
      </c>
      <c r="H255" s="98">
        <f t="shared" si="86"/>
        <v>120.6</v>
      </c>
      <c r="I255" s="98">
        <f t="shared" si="86"/>
        <v>130.50000000000003</v>
      </c>
      <c r="J255" s="98">
        <f t="shared" si="86"/>
        <v>160.39999999999998</v>
      </c>
      <c r="K255" s="98">
        <f t="shared" si="86"/>
        <v>180.5</v>
      </c>
      <c r="L255" s="98">
        <f t="shared" si="86"/>
        <v>190.5</v>
      </c>
      <c r="M255" s="98">
        <f t="shared" si="86"/>
        <v>200.60000000000002</v>
      </c>
      <c r="N255" s="98">
        <f t="shared" si="86"/>
        <v>205.8</v>
      </c>
      <c r="O255" s="98">
        <f t="shared" si="86"/>
        <v>205.7</v>
      </c>
      <c r="P255" s="98">
        <f t="shared" si="86"/>
        <v>206</v>
      </c>
      <c r="Q255" s="98">
        <f t="shared" si="86"/>
        <v>204.2</v>
      </c>
      <c r="R255" s="98">
        <f t="shared" si="86"/>
        <v>196.9</v>
      </c>
      <c r="S255" s="98">
        <f t="shared" si="86"/>
        <v>200.8</v>
      </c>
      <c r="T255" s="98">
        <f t="shared" si="86"/>
        <v>195</v>
      </c>
      <c r="U255" s="98">
        <f t="shared" si="86"/>
        <v>202</v>
      </c>
      <c r="V255" s="98">
        <f t="shared" si="86"/>
        <v>201.09999999999997</v>
      </c>
      <c r="W255" s="98">
        <f t="shared" si="86"/>
        <v>194.70000000000002</v>
      </c>
      <c r="X255" s="98">
        <f>SUM(X222:X223)</f>
        <v>3277.2453864110662</v>
      </c>
    </row>
    <row r="256" spans="3:24" x14ac:dyDescent="0.2">
      <c r="D256" s="98">
        <f>SUM(D217:D221)</f>
        <v>159.55461358893407</v>
      </c>
      <c r="E256" s="98">
        <f>SUM(E217:E221)</f>
        <v>159.5</v>
      </c>
      <c r="F256" s="98">
        <f t="shared" ref="F256:W256" si="87">SUM(F217:F221)</f>
        <v>159.5</v>
      </c>
      <c r="G256" s="98">
        <f t="shared" si="87"/>
        <v>159.5</v>
      </c>
      <c r="H256" s="98">
        <f t="shared" si="87"/>
        <v>159.4</v>
      </c>
      <c r="I256" s="98">
        <f t="shared" si="87"/>
        <v>159.49999999999997</v>
      </c>
      <c r="J256" s="98">
        <f t="shared" si="87"/>
        <v>159.60000000000002</v>
      </c>
      <c r="K256" s="98">
        <f t="shared" si="87"/>
        <v>159.5</v>
      </c>
      <c r="L256" s="98">
        <f t="shared" si="87"/>
        <v>159.5</v>
      </c>
      <c r="M256" s="98">
        <f t="shared" si="87"/>
        <v>159.39999999999998</v>
      </c>
      <c r="N256" s="98">
        <f t="shared" si="87"/>
        <v>159.19999999999999</v>
      </c>
      <c r="O256" s="98">
        <f t="shared" si="87"/>
        <v>159.30000000000001</v>
      </c>
      <c r="P256" s="98">
        <f t="shared" si="87"/>
        <v>159</v>
      </c>
      <c r="Q256" s="98">
        <f t="shared" si="87"/>
        <v>155.80000000000001</v>
      </c>
      <c r="R256" s="98">
        <f t="shared" si="87"/>
        <v>113.1</v>
      </c>
      <c r="S256" s="98">
        <f t="shared" si="87"/>
        <v>79.2</v>
      </c>
      <c r="T256" s="98">
        <f t="shared" si="87"/>
        <v>55</v>
      </c>
      <c r="U256" s="98">
        <f t="shared" si="87"/>
        <v>38</v>
      </c>
      <c r="V256" s="98">
        <f t="shared" si="87"/>
        <v>28.9</v>
      </c>
      <c r="W256" s="98">
        <f t="shared" si="87"/>
        <v>25.300000000000004</v>
      </c>
      <c r="X256" s="98">
        <f>SUM(X217:X221)</f>
        <v>2567.7546135889338</v>
      </c>
    </row>
    <row r="257" spans="1:24" x14ac:dyDescent="0.2">
      <c r="D257" s="98">
        <f>SUM(D255:D256)</f>
        <v>200</v>
      </c>
      <c r="E257" s="98">
        <f t="shared" ref="E257:X257" si="88">SUM(E255:E256)</f>
        <v>220</v>
      </c>
      <c r="F257" s="98">
        <f t="shared" si="88"/>
        <v>240</v>
      </c>
      <c r="G257" s="98">
        <f t="shared" si="88"/>
        <v>260</v>
      </c>
      <c r="H257" s="98">
        <f t="shared" si="88"/>
        <v>280</v>
      </c>
      <c r="I257" s="98">
        <f t="shared" si="88"/>
        <v>290</v>
      </c>
      <c r="J257" s="98">
        <f t="shared" si="88"/>
        <v>320</v>
      </c>
      <c r="K257" s="98">
        <f t="shared" si="88"/>
        <v>340</v>
      </c>
      <c r="L257" s="98">
        <f t="shared" si="88"/>
        <v>350</v>
      </c>
      <c r="M257" s="98">
        <f t="shared" si="88"/>
        <v>360</v>
      </c>
      <c r="N257" s="98">
        <f t="shared" si="88"/>
        <v>365</v>
      </c>
      <c r="O257" s="98">
        <f t="shared" si="88"/>
        <v>365</v>
      </c>
      <c r="P257" s="98">
        <f t="shared" si="88"/>
        <v>365</v>
      </c>
      <c r="Q257" s="98">
        <f t="shared" si="88"/>
        <v>360</v>
      </c>
      <c r="R257" s="98">
        <f t="shared" si="88"/>
        <v>310</v>
      </c>
      <c r="S257" s="98">
        <f t="shared" si="88"/>
        <v>280</v>
      </c>
      <c r="T257" s="98">
        <f t="shared" si="88"/>
        <v>250</v>
      </c>
      <c r="U257" s="98">
        <f t="shared" si="88"/>
        <v>240</v>
      </c>
      <c r="V257" s="98">
        <f t="shared" si="88"/>
        <v>229.99999999999997</v>
      </c>
      <c r="W257" s="98">
        <f t="shared" si="88"/>
        <v>220.00000000000003</v>
      </c>
      <c r="X257" s="98">
        <f t="shared" si="88"/>
        <v>5845</v>
      </c>
    </row>
    <row r="259" spans="1:24" x14ac:dyDescent="0.2">
      <c r="A259" s="1"/>
      <c r="B259" s="1"/>
      <c r="C259" s="261"/>
      <c r="D259" s="261" t="s">
        <v>264</v>
      </c>
      <c r="E259" s="261"/>
      <c r="F259" s="261"/>
      <c r="G259" s="1"/>
      <c r="H259" s="1"/>
      <c r="I259" s="1"/>
      <c r="J259" s="1"/>
      <c r="K259" s="1"/>
      <c r="L259" s="1"/>
      <c r="M259" s="1"/>
      <c r="N259" s="1"/>
      <c r="O259" s="1"/>
      <c r="P259" s="1"/>
      <c r="Q259" s="1"/>
      <c r="R259" s="1"/>
      <c r="S259" s="1"/>
      <c r="T259" s="1"/>
      <c r="U259" s="1"/>
      <c r="V259" s="1"/>
      <c r="W259" s="1"/>
      <c r="X259" s="1"/>
    </row>
    <row r="260" spans="1:24" x14ac:dyDescent="0.2">
      <c r="A260" s="1" t="s">
        <v>170</v>
      </c>
      <c r="B260" s="1" t="s">
        <v>265</v>
      </c>
      <c r="C260" s="261" t="s">
        <v>266</v>
      </c>
      <c r="D260" s="261">
        <v>2010</v>
      </c>
      <c r="E260" s="261">
        <v>2011</v>
      </c>
      <c r="F260" s="261">
        <v>2012</v>
      </c>
      <c r="G260" s="1">
        <v>2013</v>
      </c>
      <c r="H260" s="1">
        <v>2014</v>
      </c>
      <c r="I260" s="1">
        <v>2015</v>
      </c>
      <c r="J260" s="1">
        <v>2016</v>
      </c>
      <c r="K260" s="1">
        <v>2017</v>
      </c>
      <c r="L260" s="1">
        <v>2018</v>
      </c>
      <c r="M260" s="1">
        <v>2019</v>
      </c>
      <c r="N260" s="1">
        <v>2020</v>
      </c>
      <c r="O260" s="1">
        <v>2021</v>
      </c>
      <c r="P260" s="1">
        <v>2022</v>
      </c>
      <c r="Q260" s="1">
        <v>2023</v>
      </c>
      <c r="R260" s="1">
        <v>2024</v>
      </c>
      <c r="S260" s="1">
        <v>2025</v>
      </c>
      <c r="T260" s="1">
        <v>2026</v>
      </c>
      <c r="U260" s="1">
        <v>2027</v>
      </c>
      <c r="V260" s="1">
        <v>2028</v>
      </c>
      <c r="W260" s="1">
        <v>2029</v>
      </c>
      <c r="X260" s="1" t="s">
        <v>217</v>
      </c>
    </row>
    <row r="261" spans="1:24" x14ac:dyDescent="0.2">
      <c r="A261" s="1" t="s">
        <v>1</v>
      </c>
      <c r="B261" s="1" t="s">
        <v>261</v>
      </c>
      <c r="C261" s="261" t="s">
        <v>267</v>
      </c>
      <c r="D261" s="15">
        <v>4.7604719857952862</v>
      </c>
      <c r="E261" s="15">
        <v>6.7063131113203172</v>
      </c>
      <c r="F261" s="15">
        <v>9.5041057881394106</v>
      </c>
      <c r="G261" s="98">
        <v>12.301898464958498</v>
      </c>
      <c r="H261" s="98">
        <v>15.38367499220894</v>
      </c>
      <c r="I261" s="98">
        <v>18.465451519459386</v>
      </c>
      <c r="J261" s="98">
        <v>21.15730991463116</v>
      </c>
      <c r="K261" s="98">
        <v>23.849168309802941</v>
      </c>
      <c r="L261" s="98">
        <v>57.317428332530646</v>
      </c>
      <c r="M261" s="98">
        <v>57.677904459136514</v>
      </c>
      <c r="N261" s="98">
        <v>57.677904459136514</v>
      </c>
      <c r="O261" s="98">
        <v>57.677904459136514</v>
      </c>
      <c r="P261" s="98">
        <v>57.677904459136514</v>
      </c>
      <c r="Q261" s="98">
        <v>57.677904459136514</v>
      </c>
      <c r="R261" s="98">
        <v>57.677904459136514</v>
      </c>
      <c r="S261" s="98">
        <v>57.677904459136514</v>
      </c>
      <c r="T261" s="98">
        <v>57.677904459136514</v>
      </c>
      <c r="U261" s="98">
        <v>57.677904459136514</v>
      </c>
      <c r="V261" s="98">
        <v>57.677904459136514</v>
      </c>
      <c r="W261" s="98">
        <v>57.677904459136514</v>
      </c>
      <c r="X261" s="98">
        <v>803.90277146934807</v>
      </c>
    </row>
    <row r="262" spans="1:24" x14ac:dyDescent="0.2">
      <c r="A262" s="1" t="s">
        <v>1</v>
      </c>
      <c r="B262" s="1" t="s">
        <v>261</v>
      </c>
      <c r="C262" s="261" t="s">
        <v>268</v>
      </c>
      <c r="D262" s="15">
        <v>5.4639948018674112</v>
      </c>
      <c r="E262" s="15">
        <v>10.497595631931633</v>
      </c>
      <c r="F262" s="15">
        <v>15.531196461995853</v>
      </c>
      <c r="G262" s="98">
        <v>20.564797292060071</v>
      </c>
      <c r="H262" s="98">
        <v>25.598398122124291</v>
      </c>
      <c r="I262" s="98">
        <v>30.631998952188511</v>
      </c>
      <c r="J262" s="98">
        <v>35.665599782252727</v>
      </c>
      <c r="K262" s="98">
        <v>40.69920061231695</v>
      </c>
      <c r="L262" s="98">
        <v>45.732801442381174</v>
      </c>
      <c r="M262" s="98">
        <v>50.186374730527625</v>
      </c>
      <c r="N262" s="98">
        <v>54.639948018674083</v>
      </c>
      <c r="O262" s="98">
        <v>54.639948018674097</v>
      </c>
      <c r="P262" s="98">
        <v>54.639948018674097</v>
      </c>
      <c r="Q262" s="98">
        <v>54.639948018674097</v>
      </c>
      <c r="R262" s="98">
        <v>54.639948018674097</v>
      </c>
      <c r="S262" s="98">
        <v>54.639948018674097</v>
      </c>
      <c r="T262" s="98">
        <v>54.639948018674097</v>
      </c>
      <c r="U262" s="98">
        <v>54.639948018674097</v>
      </c>
      <c r="V262" s="98">
        <v>54.639948018674097</v>
      </c>
      <c r="W262" s="98">
        <v>54.639948018674097</v>
      </c>
      <c r="X262" s="98">
        <v>826.9714380163872</v>
      </c>
    </row>
    <row r="263" spans="1:24" x14ac:dyDescent="0.2">
      <c r="A263" s="1" t="s">
        <v>1</v>
      </c>
      <c r="B263" s="1" t="s">
        <v>261</v>
      </c>
      <c r="C263" s="261" t="s">
        <v>269</v>
      </c>
      <c r="D263" s="15">
        <v>4.5914339078226716</v>
      </c>
      <c r="E263" s="15">
        <v>9.1156688386016924</v>
      </c>
      <c r="F263" s="15">
        <v>13.639903769380711</v>
      </c>
      <c r="G263" s="98">
        <v>18.164138700159739</v>
      </c>
      <c r="H263" s="98">
        <v>22.688373630938749</v>
      </c>
      <c r="I263" s="98">
        <v>27.212608561717765</v>
      </c>
      <c r="J263" s="98">
        <v>31.720043748235877</v>
      </c>
      <c r="K263" s="98">
        <v>36.227478934754004</v>
      </c>
      <c r="L263" s="98">
        <v>40.734914121272126</v>
      </c>
      <c r="M263" s="98">
        <v>45.242349307790207</v>
      </c>
      <c r="N263" s="98">
        <v>45.242349307790207</v>
      </c>
      <c r="O263" s="98">
        <v>45.242349307790207</v>
      </c>
      <c r="P263" s="98">
        <v>45.242349307790207</v>
      </c>
      <c r="Q263" s="98">
        <v>45.242349307790207</v>
      </c>
      <c r="R263" s="98">
        <v>45.242349307790207</v>
      </c>
      <c r="S263" s="98">
        <v>45.242349307790207</v>
      </c>
      <c r="T263" s="98">
        <v>45.242349307790207</v>
      </c>
      <c r="U263" s="98">
        <v>45.242349307790207</v>
      </c>
      <c r="V263" s="98">
        <v>45.242349307790207</v>
      </c>
      <c r="W263" s="98">
        <v>45.242349307790207</v>
      </c>
      <c r="X263" s="98">
        <v>701.76040659857551</v>
      </c>
    </row>
    <row r="264" spans="1:24" x14ac:dyDescent="0.2">
      <c r="A264" s="1" t="s">
        <v>2</v>
      </c>
      <c r="B264" s="1" t="s">
        <v>261</v>
      </c>
      <c r="C264" s="261" t="s">
        <v>270</v>
      </c>
      <c r="D264" s="15">
        <v>11.885234624732472</v>
      </c>
      <c r="E264" s="15">
        <v>22.327391611464915</v>
      </c>
      <c r="F264" s="15">
        <v>32.314786151928594</v>
      </c>
      <c r="G264" s="98">
        <v>40.962826178502667</v>
      </c>
      <c r="H264" s="98">
        <v>45.525920357060322</v>
      </c>
      <c r="I264" s="98">
        <v>48.714555500813304</v>
      </c>
      <c r="J264" s="98">
        <v>50.806845215412494</v>
      </c>
      <c r="K264" s="98">
        <v>53.598216725632184</v>
      </c>
      <c r="L264" s="98">
        <v>55.854668300216588</v>
      </c>
      <c r="M264" s="98">
        <v>56.786728251647929</v>
      </c>
      <c r="N264" s="98">
        <v>58.225727891602489</v>
      </c>
      <c r="O264" s="98">
        <v>53.689547450937013</v>
      </c>
      <c r="P264" s="98">
        <v>49.767544009597238</v>
      </c>
      <c r="Q264" s="98">
        <v>47.390228590778136</v>
      </c>
      <c r="R264" s="98">
        <v>46.969444080207147</v>
      </c>
      <c r="S264" s="98">
        <v>46.852687482296261</v>
      </c>
      <c r="T264" s="98">
        <v>46.548765597272187</v>
      </c>
      <c r="U264" s="98">
        <v>46.953395633234585</v>
      </c>
      <c r="V264" s="98">
        <v>40.818028201751915</v>
      </c>
      <c r="W264" s="98">
        <v>34.924024781875303</v>
      </c>
      <c r="X264" s="98">
        <v>890.91656663696381</v>
      </c>
    </row>
    <row r="265" spans="1:24" x14ac:dyDescent="0.2">
      <c r="A265" s="1" t="s">
        <v>11</v>
      </c>
      <c r="B265" s="1" t="s">
        <v>261</v>
      </c>
      <c r="C265" s="261"/>
      <c r="D265" s="15">
        <v>26.701135320217841</v>
      </c>
      <c r="E265" s="15">
        <v>48.646969193318554</v>
      </c>
      <c r="F265" s="15">
        <v>70.98999217144457</v>
      </c>
      <c r="G265" s="98">
        <v>91.993660635680982</v>
      </c>
      <c r="H265" s="98">
        <v>109.1963671023323</v>
      </c>
      <c r="I265" s="98">
        <v>125.02461453417897</v>
      </c>
      <c r="J265" s="98">
        <v>139.34979866053226</v>
      </c>
      <c r="K265" s="98">
        <v>154.37406458250609</v>
      </c>
      <c r="L265" s="98">
        <v>199.63981219640056</v>
      </c>
      <c r="M265" s="98">
        <v>209.89335674910225</v>
      </c>
      <c r="N265" s="98">
        <v>215.78592967720328</v>
      </c>
      <c r="O265" s="98">
        <v>211.24974923653787</v>
      </c>
      <c r="P265" s="98">
        <v>207.32774579519807</v>
      </c>
      <c r="Q265" s="98">
        <v>204.95043037637896</v>
      </c>
      <c r="R265" s="98">
        <v>204.52964586580799</v>
      </c>
      <c r="S265" s="98">
        <v>204.4128892678971</v>
      </c>
      <c r="T265" s="98">
        <v>204.10896738287303</v>
      </c>
      <c r="U265" s="98">
        <v>204.51359741883542</v>
      </c>
      <c r="V265" s="98">
        <v>198.37822998735277</v>
      </c>
      <c r="W265" s="98">
        <v>192.48422656747613</v>
      </c>
      <c r="X265" s="98">
        <v>3223.5511827212754</v>
      </c>
    </row>
    <row r="266" spans="1:24" x14ac:dyDescent="0.2">
      <c r="A266" s="1" t="s">
        <v>271</v>
      </c>
      <c r="B266" s="1"/>
      <c r="C266" s="261"/>
      <c r="D266" s="15">
        <v>26.701135320217841</v>
      </c>
      <c r="E266" s="15">
        <v>75.348104513536398</v>
      </c>
      <c r="F266" s="15">
        <v>146.33809668498097</v>
      </c>
      <c r="G266" s="98">
        <v>238.33175732066195</v>
      </c>
      <c r="H266" s="98">
        <v>347.52812442299427</v>
      </c>
      <c r="I266" s="98">
        <v>472.55273895717323</v>
      </c>
      <c r="J266" s="98">
        <v>611.90253761770555</v>
      </c>
      <c r="K266" s="98">
        <v>766.27660220021164</v>
      </c>
      <c r="L266" s="98">
        <v>965.91641439661225</v>
      </c>
      <c r="M266" s="98">
        <v>1175.8097711457144</v>
      </c>
      <c r="N266" s="98">
        <v>1391.5957008229177</v>
      </c>
      <c r="O266" s="98">
        <v>1602.8454500594555</v>
      </c>
      <c r="P266" s="98">
        <v>1810.1731958546536</v>
      </c>
      <c r="Q266" s="98">
        <v>2015.1236262310326</v>
      </c>
      <c r="R266" s="98">
        <v>2219.6532720968407</v>
      </c>
      <c r="S266" s="98">
        <v>2424.066161364738</v>
      </c>
      <c r="T266" s="98">
        <v>2628.1751287476109</v>
      </c>
      <c r="U266" s="98">
        <v>2832.6887261664465</v>
      </c>
      <c r="V266" s="98">
        <v>3031.0669561537993</v>
      </c>
      <c r="W266" s="98">
        <v>3223.5511827212754</v>
      </c>
      <c r="X266" s="98"/>
    </row>
    <row r="267" spans="1:24" x14ac:dyDescent="0.2">
      <c r="A267" s="1"/>
      <c r="B267" s="1"/>
      <c r="C267" s="261"/>
      <c r="D267" s="261"/>
      <c r="E267" s="261"/>
      <c r="F267" s="261"/>
      <c r="G267" s="1"/>
      <c r="H267" s="1"/>
      <c r="I267" s="1"/>
      <c r="J267" s="1"/>
      <c r="K267" s="1"/>
      <c r="L267" s="1"/>
      <c r="M267" s="1"/>
      <c r="N267" s="1"/>
      <c r="O267" s="1"/>
      <c r="P267" s="1"/>
      <c r="Q267" s="1"/>
      <c r="R267" s="1"/>
      <c r="S267" s="1"/>
      <c r="T267" s="1"/>
      <c r="U267" s="1"/>
      <c r="V267" s="1"/>
      <c r="W267" s="1"/>
      <c r="X267" s="1"/>
    </row>
    <row r="268" spans="1:24" x14ac:dyDescent="0.2">
      <c r="A268" s="1" t="s">
        <v>1</v>
      </c>
      <c r="B268" s="1" t="s">
        <v>262</v>
      </c>
      <c r="C268" s="261" t="s">
        <v>267</v>
      </c>
      <c r="D268" s="15">
        <v>68.766520586672272</v>
      </c>
      <c r="E268" s="15">
        <v>68.766520586672272</v>
      </c>
      <c r="F268" s="15">
        <v>68.766520586672272</v>
      </c>
      <c r="G268" s="98">
        <v>68.766520586672272</v>
      </c>
      <c r="H268" s="98">
        <v>68.766520586672272</v>
      </c>
      <c r="I268" s="98">
        <v>1.632605929887075</v>
      </c>
      <c r="J268" s="98">
        <v>1.632605929887075</v>
      </c>
      <c r="K268" s="98">
        <v>1.632605929887075</v>
      </c>
      <c r="L268" s="98">
        <v>1.632605929887075</v>
      </c>
      <c r="M268" s="98">
        <v>1.632605929887075</v>
      </c>
      <c r="N268" s="98">
        <v>1.632605929887075</v>
      </c>
      <c r="O268" s="98">
        <v>1.632605929887075</v>
      </c>
      <c r="P268" s="98">
        <v>1.632605929887075</v>
      </c>
      <c r="Q268" s="98">
        <v>1.632605929887075</v>
      </c>
      <c r="R268" s="98">
        <v>1.632605929887075</v>
      </c>
      <c r="S268" s="98">
        <v>1.632605929887075</v>
      </c>
      <c r="T268" s="98">
        <v>1.632605929887075</v>
      </c>
      <c r="U268" s="98">
        <v>1.632605929887075</v>
      </c>
      <c r="V268" s="98">
        <v>1.632605929887075</v>
      </c>
      <c r="W268" s="98">
        <v>1.632605929887075</v>
      </c>
      <c r="X268" s="98">
        <v>368.32169188166733</v>
      </c>
    </row>
    <row r="269" spans="1:24" x14ac:dyDescent="0.2">
      <c r="A269" s="1" t="s">
        <v>1</v>
      </c>
      <c r="B269" s="1" t="s">
        <v>262</v>
      </c>
      <c r="C269" s="261" t="s">
        <v>269</v>
      </c>
      <c r="D269" s="15">
        <v>31.90008740439999</v>
      </c>
      <c r="E269" s="15">
        <v>31.90008740439999</v>
      </c>
      <c r="F269" s="15">
        <v>31.90008740439999</v>
      </c>
      <c r="G269" s="98">
        <v>31.90008740439999</v>
      </c>
      <c r="H269" s="98">
        <v>31.90008740439999</v>
      </c>
      <c r="I269" s="98">
        <v>31.90008740439999</v>
      </c>
      <c r="J269" s="98">
        <v>31.90008740439999</v>
      </c>
      <c r="K269" s="98">
        <v>31.90008740439999</v>
      </c>
      <c r="L269" s="98">
        <v>31.90008740439999</v>
      </c>
      <c r="M269" s="98">
        <v>31.90008740439999</v>
      </c>
      <c r="N269" s="98">
        <v>31.90008740439999</v>
      </c>
      <c r="O269" s="98">
        <v>31.90008740439999</v>
      </c>
      <c r="P269" s="98">
        <v>31.90008740439999</v>
      </c>
      <c r="Q269" s="98">
        <v>31.90008740439999</v>
      </c>
      <c r="R269" s="98">
        <v>31.90008740439999</v>
      </c>
      <c r="S269" s="98">
        <v>0</v>
      </c>
      <c r="T269" s="98">
        <v>0</v>
      </c>
      <c r="U269" s="98">
        <v>0</v>
      </c>
      <c r="V269" s="98">
        <v>0</v>
      </c>
      <c r="W269" s="98">
        <v>0</v>
      </c>
      <c r="X269" s="98">
        <v>478.5013110659998</v>
      </c>
    </row>
    <row r="270" spans="1:24" x14ac:dyDescent="0.2">
      <c r="A270" s="1" t="s">
        <v>2</v>
      </c>
      <c r="B270" s="1" t="s">
        <v>262</v>
      </c>
      <c r="C270" s="261" t="s">
        <v>270</v>
      </c>
      <c r="D270" s="15">
        <v>25.562244810234343</v>
      </c>
      <c r="E270" s="15">
        <v>26.648071367838497</v>
      </c>
      <c r="F270" s="15">
        <v>27.908559215004566</v>
      </c>
      <c r="G270" s="98">
        <v>29.222378367527309</v>
      </c>
      <c r="H270" s="98">
        <v>30.557806958974375</v>
      </c>
      <c r="I270" s="98">
        <v>31.898012375910657</v>
      </c>
      <c r="J270" s="98">
        <v>33.355652723680279</v>
      </c>
      <c r="K270" s="98">
        <v>34.470149417017794</v>
      </c>
      <c r="L270" s="98">
        <v>36.00592288357727</v>
      </c>
      <c r="M270" s="98">
        <v>37.507271620751553</v>
      </c>
      <c r="N270" s="98">
        <v>36.018042194948151</v>
      </c>
      <c r="O270" s="98">
        <v>36.312234436350224</v>
      </c>
      <c r="P270" s="98">
        <v>37.061570094884651</v>
      </c>
      <c r="Q270" s="98">
        <v>37.017116098008074</v>
      </c>
      <c r="R270" s="98">
        <v>18.305325329236627</v>
      </c>
      <c r="S270" s="98">
        <v>15.459773048478377</v>
      </c>
      <c r="T270" s="98">
        <v>14.245021289631495</v>
      </c>
      <c r="U270" s="98">
        <v>11.884121095393072</v>
      </c>
      <c r="V270" s="98">
        <v>7.795499805725643</v>
      </c>
      <c r="W270" s="98">
        <v>5.9160179761685736</v>
      </c>
      <c r="X270" s="98">
        <v>533.15079110934141</v>
      </c>
    </row>
    <row r="271" spans="1:24" x14ac:dyDescent="0.2">
      <c r="A271" s="1" t="s">
        <v>3</v>
      </c>
      <c r="B271" s="1" t="s">
        <v>262</v>
      </c>
      <c r="C271" s="261" t="s">
        <v>270</v>
      </c>
      <c r="D271" s="15">
        <v>30.195705784531956</v>
      </c>
      <c r="E271" s="15">
        <v>35.211531479166652</v>
      </c>
      <c r="F271" s="15">
        <v>40.227357173801394</v>
      </c>
      <c r="G271" s="98">
        <v>45.243182868436065</v>
      </c>
      <c r="H271" s="98">
        <v>50.259008563070779</v>
      </c>
      <c r="I271" s="98">
        <v>52.263195528443731</v>
      </c>
      <c r="J271" s="98">
        <v>52.263195528443589</v>
      </c>
      <c r="K271" s="98">
        <v>52.263195528443703</v>
      </c>
      <c r="L271" s="98">
        <v>52.263195528443703</v>
      </c>
      <c r="M271" s="98">
        <v>52.263195528443703</v>
      </c>
      <c r="N271" s="98">
        <v>36.484751738489422</v>
      </c>
      <c r="O271" s="98">
        <v>36.484751738489194</v>
      </c>
      <c r="P271" s="98">
        <v>28.415217971366246</v>
      </c>
      <c r="Q271" s="98">
        <v>28.415217971365792</v>
      </c>
      <c r="R271" s="98">
        <v>28.415217971366133</v>
      </c>
      <c r="S271" s="98">
        <v>28.415217971366019</v>
      </c>
      <c r="T271" s="98">
        <v>28.415217971366133</v>
      </c>
      <c r="U271" s="98">
        <v>28.415217971366133</v>
      </c>
      <c r="V271" s="98">
        <v>28.415217971366019</v>
      </c>
      <c r="W271" s="98">
        <v>28.415217971366019</v>
      </c>
      <c r="X271" s="98">
        <v>762.74401075913238</v>
      </c>
    </row>
    <row r="272" spans="1:24" x14ac:dyDescent="0.2">
      <c r="A272" s="1" t="s">
        <v>218</v>
      </c>
      <c r="B272" s="1" t="s">
        <v>262</v>
      </c>
      <c r="C272" s="261" t="s">
        <v>270</v>
      </c>
      <c r="D272" s="15">
        <v>4.7901859976255707</v>
      </c>
      <c r="E272" s="15">
        <v>9.5803719952511432</v>
      </c>
      <c r="F272" s="15">
        <v>14.370557992876714</v>
      </c>
      <c r="G272" s="98">
        <v>19.160743990502279</v>
      </c>
      <c r="H272" s="98">
        <v>23.950929988127854</v>
      </c>
      <c r="I272" s="98">
        <v>25.530900089254189</v>
      </c>
      <c r="J272" s="98">
        <v>26.908291475007616</v>
      </c>
      <c r="K272" s="98">
        <v>28.285682860761014</v>
      </c>
      <c r="L272" s="98">
        <v>29.663074246514469</v>
      </c>
      <c r="M272" s="98">
        <v>31.040465632267853</v>
      </c>
      <c r="N272" s="98">
        <v>31.040465632267882</v>
      </c>
      <c r="O272" s="98">
        <v>31.04046563226791</v>
      </c>
      <c r="P272" s="98">
        <v>15.495832938203932</v>
      </c>
      <c r="Q272" s="98">
        <v>15.495832938203932</v>
      </c>
      <c r="R272" s="98">
        <v>15.495832938203932</v>
      </c>
      <c r="S272" s="98">
        <v>15.495832938203989</v>
      </c>
      <c r="T272" s="98">
        <v>15.495832938203932</v>
      </c>
      <c r="U272" s="98">
        <v>15.495832938203932</v>
      </c>
      <c r="V272" s="98">
        <v>15.495832938203932</v>
      </c>
      <c r="W272" s="98">
        <v>15.495832938204046</v>
      </c>
      <c r="X272" s="98">
        <v>399.32879903835612</v>
      </c>
    </row>
    <row r="273" spans="1:24" x14ac:dyDescent="0.2">
      <c r="A273" s="1" t="s">
        <v>272</v>
      </c>
      <c r="B273" s="1" t="s">
        <v>262</v>
      </c>
      <c r="C273" s="261" t="s">
        <v>273</v>
      </c>
      <c r="D273" s="15">
        <v>1.5605660280582652</v>
      </c>
      <c r="E273" s="15">
        <v>1.5605660280582652</v>
      </c>
      <c r="F273" s="15">
        <v>1.5605660280582652</v>
      </c>
      <c r="G273" s="98">
        <v>1.5605660280582652</v>
      </c>
      <c r="H273" s="98">
        <v>1.5605660280582652</v>
      </c>
      <c r="I273" s="98">
        <v>1.5605660280582652</v>
      </c>
      <c r="J273" s="98">
        <v>1.5605660280582652</v>
      </c>
      <c r="K273" s="98">
        <v>1.5605660280582652</v>
      </c>
      <c r="L273" s="98">
        <v>1.5605660280582652</v>
      </c>
      <c r="M273" s="98">
        <v>1.5605660280582652</v>
      </c>
      <c r="N273" s="98">
        <v>0</v>
      </c>
      <c r="O273" s="98">
        <v>0</v>
      </c>
      <c r="P273" s="98">
        <v>0</v>
      </c>
      <c r="Q273" s="98">
        <v>0</v>
      </c>
      <c r="R273" s="98">
        <v>0</v>
      </c>
      <c r="S273" s="98">
        <v>0</v>
      </c>
      <c r="T273" s="98">
        <v>0</v>
      </c>
      <c r="U273" s="98">
        <v>0</v>
      </c>
      <c r="V273" s="98">
        <v>0</v>
      </c>
      <c r="W273" s="98">
        <v>0</v>
      </c>
      <c r="X273" s="98">
        <v>15.605660280582649</v>
      </c>
    </row>
    <row r="274" spans="1:24" x14ac:dyDescent="0.2">
      <c r="A274" s="1" t="s">
        <v>272</v>
      </c>
      <c r="B274" s="1" t="s">
        <v>262</v>
      </c>
      <c r="C274" s="261" t="s">
        <v>274</v>
      </c>
      <c r="D274" s="15">
        <v>7.0585781853531353</v>
      </c>
      <c r="E274" s="15">
        <v>7.0585781853531353</v>
      </c>
      <c r="F274" s="15">
        <v>7.0585781853531353</v>
      </c>
      <c r="G274" s="98">
        <v>7.0585781853531353</v>
      </c>
      <c r="H274" s="98">
        <v>7.0585781853531353</v>
      </c>
      <c r="I274" s="98">
        <v>7.0585781853531353</v>
      </c>
      <c r="J274" s="98">
        <v>7.0585781853531353</v>
      </c>
      <c r="K274" s="98">
        <v>7.0585781853531353</v>
      </c>
      <c r="L274" s="98">
        <v>7.0585781853531353</v>
      </c>
      <c r="M274" s="98">
        <v>7.0585781853531353</v>
      </c>
      <c r="N274" s="98">
        <v>0</v>
      </c>
      <c r="O274" s="98">
        <v>0</v>
      </c>
      <c r="P274" s="98">
        <v>0</v>
      </c>
      <c r="Q274" s="98">
        <v>0</v>
      </c>
      <c r="R274" s="98">
        <v>0</v>
      </c>
      <c r="S274" s="98">
        <v>0</v>
      </c>
      <c r="T274" s="98">
        <v>0</v>
      </c>
      <c r="U274" s="98">
        <v>0</v>
      </c>
      <c r="V274" s="98">
        <v>0</v>
      </c>
      <c r="W274" s="98">
        <v>0</v>
      </c>
      <c r="X274" s="98">
        <v>70.585781853531358</v>
      </c>
    </row>
    <row r="275" spans="1:24" x14ac:dyDescent="0.2">
      <c r="A275" s="1" t="s">
        <v>275</v>
      </c>
      <c r="B275" s="1" t="s">
        <v>262</v>
      </c>
      <c r="C275" s="261" t="s">
        <v>276</v>
      </c>
      <c r="D275" s="15">
        <v>0.8576880560469019</v>
      </c>
      <c r="E275" s="15">
        <v>0.8576880560469019</v>
      </c>
      <c r="F275" s="15">
        <v>0.8576880560469019</v>
      </c>
      <c r="G275" s="98">
        <v>0.8576880560469019</v>
      </c>
      <c r="H275" s="98">
        <v>0.8576880560469019</v>
      </c>
      <c r="I275" s="98">
        <v>0.8576880560469019</v>
      </c>
      <c r="J275" s="98">
        <v>0.8576880560469019</v>
      </c>
      <c r="K275" s="98">
        <v>0.8576880560469019</v>
      </c>
      <c r="L275" s="98">
        <v>0.8576880560469019</v>
      </c>
      <c r="M275" s="98">
        <v>0.8576880560469019</v>
      </c>
      <c r="N275" s="98">
        <v>0</v>
      </c>
      <c r="O275" s="98">
        <v>0</v>
      </c>
      <c r="P275" s="98">
        <v>0</v>
      </c>
      <c r="Q275" s="98">
        <v>0</v>
      </c>
      <c r="R275" s="98">
        <v>0</v>
      </c>
      <c r="S275" s="98">
        <v>0</v>
      </c>
      <c r="T275" s="98">
        <v>0</v>
      </c>
      <c r="U275" s="98">
        <v>0</v>
      </c>
      <c r="V275" s="98">
        <v>0</v>
      </c>
      <c r="W275" s="98">
        <v>0</v>
      </c>
      <c r="X275" s="98">
        <v>8.5768805604690197</v>
      </c>
    </row>
    <row r="276" spans="1:24" x14ac:dyDescent="0.2">
      <c r="A276" s="1" t="s">
        <v>11</v>
      </c>
      <c r="B276" s="1" t="s">
        <v>262</v>
      </c>
      <c r="C276" s="261"/>
      <c r="D276" s="15">
        <v>170.69157685292242</v>
      </c>
      <c r="E276" s="15">
        <v>181.58341510278686</v>
      </c>
      <c r="F276" s="15">
        <v>192.64991464221322</v>
      </c>
      <c r="G276" s="98">
        <v>203.76974548699621</v>
      </c>
      <c r="H276" s="98">
        <v>214.91118577070355</v>
      </c>
      <c r="I276" s="98">
        <v>152.70163359735395</v>
      </c>
      <c r="J276" s="98">
        <v>155.53666533087684</v>
      </c>
      <c r="K276" s="98">
        <v>158.02855340996788</v>
      </c>
      <c r="L276" s="98">
        <v>160.9417182622808</v>
      </c>
      <c r="M276" s="98">
        <v>163.82045838520847</v>
      </c>
      <c r="N276" s="98">
        <v>137.07595289999253</v>
      </c>
      <c r="O276" s="98">
        <v>137.3701451413944</v>
      </c>
      <c r="P276" s="98">
        <v>114.5053143387419</v>
      </c>
      <c r="Q276" s="98">
        <v>114.46086034186487</v>
      </c>
      <c r="R276" s="98">
        <v>95.749069573093763</v>
      </c>
      <c r="S276" s="98">
        <v>61.003429887935461</v>
      </c>
      <c r="T276" s="98">
        <v>59.788678129088638</v>
      </c>
      <c r="U276" s="98">
        <v>57.427777934850212</v>
      </c>
      <c r="V276" s="98">
        <v>53.339156645182669</v>
      </c>
      <c r="W276" s="98">
        <v>51.459674815625711</v>
      </c>
      <c r="X276" s="98">
        <v>2636.8149265490811</v>
      </c>
    </row>
    <row r="277" spans="1:24" x14ac:dyDescent="0.2">
      <c r="A277" s="1" t="s">
        <v>271</v>
      </c>
      <c r="B277" s="1"/>
      <c r="C277" s="261"/>
      <c r="D277" s="15">
        <v>170.69157685292242</v>
      </c>
      <c r="E277" s="15">
        <v>352.27499195570931</v>
      </c>
      <c r="F277" s="15">
        <v>544.92490659792247</v>
      </c>
      <c r="G277" s="98">
        <v>748.69465208491874</v>
      </c>
      <c r="H277" s="98">
        <v>963.60583785562233</v>
      </c>
      <c r="I277" s="98">
        <v>1116.3074714529762</v>
      </c>
      <c r="J277" s="98">
        <v>1271.8441367838529</v>
      </c>
      <c r="K277" s="98">
        <v>1429.8726901938207</v>
      </c>
      <c r="L277" s="98">
        <v>1590.8144084561015</v>
      </c>
      <c r="M277" s="98">
        <v>1754.63486684131</v>
      </c>
      <c r="N277" s="98">
        <v>1891.7108197413024</v>
      </c>
      <c r="O277" s="98">
        <v>2029.0809648826969</v>
      </c>
      <c r="P277" s="98">
        <v>2143.5862792214389</v>
      </c>
      <c r="Q277" s="98">
        <v>2258.047139563304</v>
      </c>
      <c r="R277" s="98">
        <v>2353.7962091363979</v>
      </c>
      <c r="S277" s="98">
        <v>2414.7996390243334</v>
      </c>
      <c r="T277" s="98">
        <v>2474.5883171534219</v>
      </c>
      <c r="U277" s="98">
        <v>2532.0160950882723</v>
      </c>
      <c r="V277" s="98">
        <v>2585.3552517334551</v>
      </c>
      <c r="W277" s="98">
        <v>2636.8149265490811</v>
      </c>
      <c r="X277" s="98"/>
    </row>
    <row r="278" spans="1:24" x14ac:dyDescent="0.2">
      <c r="A278" s="1" t="s">
        <v>277</v>
      </c>
      <c r="B278" s="1"/>
      <c r="C278" s="261"/>
      <c r="D278" s="15">
        <v>197.39271217314027</v>
      </c>
      <c r="E278" s="15">
        <v>230.2303842961054</v>
      </c>
      <c r="F278" s="15">
        <v>263.63990681365777</v>
      </c>
      <c r="G278" s="98">
        <v>295.76340612267722</v>
      </c>
      <c r="H278" s="98">
        <v>324.10755287303584</v>
      </c>
      <c r="I278" s="98">
        <v>277.72624813153288</v>
      </c>
      <c r="J278" s="98">
        <v>294.88646399140907</v>
      </c>
      <c r="K278" s="98">
        <v>312.40261799247401</v>
      </c>
      <c r="L278" s="98">
        <v>360.58153045868136</v>
      </c>
      <c r="M278" s="98">
        <v>373.71381513431072</v>
      </c>
      <c r="N278" s="98">
        <v>352.86188257719584</v>
      </c>
      <c r="O278" s="98">
        <v>348.61989437793227</v>
      </c>
      <c r="P278" s="98">
        <v>321.83306013393997</v>
      </c>
      <c r="Q278" s="98">
        <v>319.41129071824383</v>
      </c>
      <c r="R278" s="98">
        <v>300.27871543890177</v>
      </c>
      <c r="S278" s="98">
        <v>265.41631915583258</v>
      </c>
      <c r="T278" s="98">
        <v>263.89764551196168</v>
      </c>
      <c r="U278" s="98">
        <v>261.94137535368566</v>
      </c>
      <c r="V278" s="98">
        <v>251.71738663253544</v>
      </c>
      <c r="W278" s="98">
        <v>243.94390138310183</v>
      </c>
      <c r="X278" s="98">
        <v>5860.3661092703569</v>
      </c>
    </row>
    <row r="279" spans="1:24" x14ac:dyDescent="0.2">
      <c r="A279" s="1" t="s">
        <v>278</v>
      </c>
      <c r="B279" s="1"/>
      <c r="C279" s="261"/>
      <c r="D279" s="15">
        <v>197.39271217314027</v>
      </c>
      <c r="E279" s="15">
        <v>427.62309646924564</v>
      </c>
      <c r="F279" s="15">
        <v>691.26300328290336</v>
      </c>
      <c r="G279" s="98">
        <v>987.02640940558058</v>
      </c>
      <c r="H279" s="98">
        <v>1311.1339622786163</v>
      </c>
      <c r="I279" s="98">
        <v>1588.8602104101492</v>
      </c>
      <c r="J279" s="98">
        <v>1883.7466744015583</v>
      </c>
      <c r="K279" s="98">
        <v>2196.1492923940323</v>
      </c>
      <c r="L279" s="98">
        <v>2556.7308228527136</v>
      </c>
      <c r="M279" s="98">
        <v>2930.4446379870242</v>
      </c>
      <c r="N279" s="98">
        <v>3283.3065205642201</v>
      </c>
      <c r="O279" s="98">
        <v>3631.9264149421524</v>
      </c>
      <c r="P279" s="98">
        <v>3953.7594750760923</v>
      </c>
      <c r="Q279" s="98">
        <v>4273.1707657943361</v>
      </c>
      <c r="R279" s="98">
        <v>4573.4494812332377</v>
      </c>
      <c r="S279" s="98">
        <v>4838.8658003890705</v>
      </c>
      <c r="T279" s="98">
        <v>5102.7634459010324</v>
      </c>
      <c r="U279" s="98">
        <v>5364.7048212547179</v>
      </c>
      <c r="V279" s="98">
        <v>5616.4222078872535</v>
      </c>
      <c r="W279" s="98">
        <v>5860.3661092703551</v>
      </c>
      <c r="X279" s="1"/>
    </row>
  </sheetData>
  <sheetProtection autoFilter="0" pivotTables="0"/>
  <autoFilter ref="A33:AC185">
    <filterColumn colId="2">
      <filters>
        <filter val="CA"/>
        <filter val="NV"/>
        <filter val="WY"/>
      </filters>
    </filterColumn>
  </autoFilter>
  <sortState ref="A34:G184">
    <sortCondition ref="B34:B184"/>
    <sortCondition ref="C34:C184"/>
  </sortState>
  <mergeCells count="1">
    <mergeCell ref="I32:AB32"/>
  </mergeCells>
  <phoneticPr fontId="0"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A160"/>
  <sheetViews>
    <sheetView workbookViewId="0">
      <selection activeCell="A12" sqref="A12:XFD13"/>
    </sheetView>
  </sheetViews>
  <sheetFormatPr defaultRowHeight="12.75" x14ac:dyDescent="0.2"/>
  <cols>
    <col min="1" max="1" width="51.85546875" customWidth="1"/>
    <col min="2" max="2" width="33.85546875" customWidth="1"/>
    <col min="3" max="3" width="14.85546875" customWidth="1"/>
    <col min="4" max="4" width="16.28515625" customWidth="1"/>
    <col min="5" max="5" width="12.28515625" customWidth="1"/>
    <col min="6" max="7" width="12.5703125" customWidth="1"/>
    <col min="8" max="8" width="10" customWidth="1"/>
    <col min="9" max="9" width="12.7109375" customWidth="1"/>
    <col min="10" max="10" width="13.85546875" customWidth="1"/>
    <col min="11" max="11" width="11.5703125" customWidth="1"/>
    <col min="12" max="12" width="10.42578125" customWidth="1"/>
    <col min="13" max="13" width="11.7109375" customWidth="1"/>
    <col min="14" max="14" width="11.28515625" customWidth="1"/>
    <col min="15" max="15" width="11" customWidth="1"/>
    <col min="17" max="17" width="13.5703125" customWidth="1"/>
    <col min="18" max="18" width="10.85546875" customWidth="1"/>
    <col min="19" max="19" width="10.7109375" customWidth="1"/>
    <col min="21" max="21" width="12.28515625" customWidth="1"/>
    <col min="22" max="22" width="12.140625" customWidth="1"/>
    <col min="23" max="23" width="13.5703125" customWidth="1"/>
  </cols>
  <sheetData>
    <row r="1" spans="1:27" ht="16.5" thickBot="1" x14ac:dyDescent="0.3">
      <c r="A1" s="392" t="s">
        <v>289</v>
      </c>
      <c r="B1" s="393"/>
      <c r="C1" s="393"/>
      <c r="D1" s="393"/>
      <c r="E1" s="275">
        <v>5</v>
      </c>
      <c r="F1" s="275">
        <v>6</v>
      </c>
      <c r="G1" s="275">
        <v>7</v>
      </c>
      <c r="H1" s="275">
        <v>8</v>
      </c>
      <c r="I1" s="275">
        <v>9</v>
      </c>
      <c r="J1" s="275">
        <v>10</v>
      </c>
      <c r="K1" s="275">
        <v>11</v>
      </c>
      <c r="L1" s="275">
        <v>12</v>
      </c>
      <c r="M1" s="275">
        <v>13</v>
      </c>
      <c r="N1" s="275">
        <v>14</v>
      </c>
      <c r="O1" s="275">
        <v>15</v>
      </c>
      <c r="P1" s="275">
        <v>16</v>
      </c>
      <c r="Q1" s="275">
        <v>17</v>
      </c>
      <c r="R1" s="275">
        <v>18</v>
      </c>
      <c r="S1" s="275">
        <v>19</v>
      </c>
      <c r="T1" s="275">
        <v>20</v>
      </c>
      <c r="U1" s="275">
        <v>21</v>
      </c>
      <c r="V1" s="275">
        <v>22</v>
      </c>
      <c r="W1" s="275">
        <v>23</v>
      </c>
      <c r="X1" s="275">
        <v>24</v>
      </c>
    </row>
    <row r="2" spans="1:27" ht="13.5" thickBot="1" x14ac:dyDescent="0.25">
      <c r="A2" t="s">
        <v>196</v>
      </c>
      <c r="B2" t="s">
        <v>197</v>
      </c>
    </row>
    <row r="3" spans="1:27" ht="15.75" thickBot="1" x14ac:dyDescent="0.3">
      <c r="A3" t="s">
        <v>198</v>
      </c>
      <c r="B3" t="s">
        <v>443</v>
      </c>
      <c r="C3" s="276"/>
      <c r="D3" s="394" t="s">
        <v>1</v>
      </c>
      <c r="E3" s="395"/>
      <c r="F3" s="396"/>
      <c r="G3" s="396"/>
      <c r="H3" s="397"/>
      <c r="I3" s="394" t="s">
        <v>2</v>
      </c>
      <c r="J3" s="395"/>
      <c r="K3" s="396"/>
      <c r="L3" s="396"/>
      <c r="M3" s="394" t="s">
        <v>3</v>
      </c>
      <c r="N3" s="395"/>
      <c r="O3" s="396"/>
      <c r="P3" s="396"/>
      <c r="Q3" s="394" t="s">
        <v>290</v>
      </c>
      <c r="R3" s="396"/>
      <c r="S3" s="396"/>
      <c r="T3" s="397"/>
      <c r="U3" s="394" t="s">
        <v>183</v>
      </c>
      <c r="V3" s="396"/>
      <c r="W3" s="396"/>
      <c r="X3" s="397"/>
    </row>
    <row r="4" spans="1:27" ht="75" x14ac:dyDescent="0.25">
      <c r="A4" s="277" t="s">
        <v>291</v>
      </c>
      <c r="B4" s="278" t="s">
        <v>292</v>
      </c>
      <c r="C4" s="278" t="s">
        <v>293</v>
      </c>
      <c r="D4" s="279" t="s">
        <v>294</v>
      </c>
      <c r="E4" s="280" t="s">
        <v>295</v>
      </c>
      <c r="F4" s="281" t="s">
        <v>296</v>
      </c>
      <c r="G4" s="281" t="s">
        <v>297</v>
      </c>
      <c r="H4" s="282" t="s">
        <v>298</v>
      </c>
      <c r="I4" s="283" t="s">
        <v>295</v>
      </c>
      <c r="J4" s="284" t="s">
        <v>296</v>
      </c>
      <c r="K4" s="284" t="s">
        <v>297</v>
      </c>
      <c r="L4" s="285" t="s">
        <v>298</v>
      </c>
      <c r="M4" s="283" t="s">
        <v>295</v>
      </c>
      <c r="N4" s="284" t="s">
        <v>296</v>
      </c>
      <c r="O4" s="284" t="s">
        <v>297</v>
      </c>
      <c r="P4" s="285" t="s">
        <v>298</v>
      </c>
      <c r="Q4" s="283" t="s">
        <v>295</v>
      </c>
      <c r="R4" s="284" t="s">
        <v>296</v>
      </c>
      <c r="S4" s="284" t="s">
        <v>297</v>
      </c>
      <c r="T4" s="285" t="s">
        <v>298</v>
      </c>
      <c r="U4" s="283" t="s">
        <v>295</v>
      </c>
      <c r="V4" s="284" t="s">
        <v>296</v>
      </c>
      <c r="W4" s="284" t="s">
        <v>297</v>
      </c>
      <c r="X4" s="285" t="s">
        <v>298</v>
      </c>
    </row>
    <row r="5" spans="1:27" x14ac:dyDescent="0.2">
      <c r="A5" s="1" t="s">
        <v>299</v>
      </c>
      <c r="B5" s="286" t="s">
        <v>20</v>
      </c>
      <c r="C5" s="287" t="s">
        <v>14</v>
      </c>
      <c r="D5" s="287" t="s">
        <v>300</v>
      </c>
      <c r="E5" s="2">
        <v>253</v>
      </c>
      <c r="F5" s="2">
        <v>3842</v>
      </c>
      <c r="G5" s="288">
        <v>246</v>
      </c>
      <c r="H5" s="1">
        <v>6.4</v>
      </c>
      <c r="I5" s="2">
        <v>28</v>
      </c>
      <c r="J5" s="2">
        <v>378</v>
      </c>
      <c r="K5" s="288">
        <v>24.9</v>
      </c>
      <c r="L5" s="1">
        <v>6.59</v>
      </c>
      <c r="M5" s="2">
        <v>0</v>
      </c>
      <c r="N5" s="2">
        <v>0</v>
      </c>
      <c r="O5" s="288">
        <v>0</v>
      </c>
      <c r="P5" s="1">
        <v>0</v>
      </c>
      <c r="Q5" s="2">
        <v>0</v>
      </c>
      <c r="R5" s="2">
        <v>0</v>
      </c>
      <c r="S5" s="288">
        <v>0</v>
      </c>
      <c r="T5" s="1">
        <v>0</v>
      </c>
      <c r="U5" s="2">
        <v>281</v>
      </c>
      <c r="V5" s="2">
        <v>4220</v>
      </c>
      <c r="W5" s="288">
        <v>270.89999999999998</v>
      </c>
      <c r="X5" s="1">
        <v>6.42</v>
      </c>
      <c r="Z5" t="b">
        <f>AA5=A5</f>
        <v>1</v>
      </c>
      <c r="AA5" s="27" t="s">
        <v>299</v>
      </c>
    </row>
    <row r="6" spans="1:27" x14ac:dyDescent="0.2">
      <c r="A6" s="1" t="s">
        <v>301</v>
      </c>
      <c r="B6" s="286" t="s">
        <v>136</v>
      </c>
      <c r="C6" s="287" t="s">
        <v>19</v>
      </c>
      <c r="D6" s="287" t="s">
        <v>302</v>
      </c>
      <c r="E6" s="2">
        <v>105286</v>
      </c>
      <c r="F6" s="2">
        <v>1179482</v>
      </c>
      <c r="G6" s="288">
        <v>100732</v>
      </c>
      <c r="H6" s="1">
        <v>8.5399999999999991</v>
      </c>
      <c r="I6" s="2">
        <v>16725</v>
      </c>
      <c r="J6" s="2">
        <v>998465</v>
      </c>
      <c r="K6" s="288">
        <v>84976</v>
      </c>
      <c r="L6" s="1">
        <v>8.51</v>
      </c>
      <c r="M6" s="2">
        <v>476</v>
      </c>
      <c r="N6" s="2">
        <v>1210786</v>
      </c>
      <c r="O6" s="288">
        <v>64194</v>
      </c>
      <c r="P6" s="1">
        <v>5.3</v>
      </c>
      <c r="Q6" s="2">
        <v>0</v>
      </c>
      <c r="R6" s="2">
        <v>0</v>
      </c>
      <c r="S6" s="288">
        <v>0</v>
      </c>
      <c r="T6" s="1">
        <v>0</v>
      </c>
      <c r="U6" s="2">
        <v>122487</v>
      </c>
      <c r="V6" s="2">
        <v>3388733</v>
      </c>
      <c r="W6" s="288">
        <v>249902</v>
      </c>
      <c r="X6" s="1">
        <v>7.37</v>
      </c>
      <c r="Z6" t="b">
        <f t="shared" ref="Z6:Z67" si="0">AA6=A6</f>
        <v>1</v>
      </c>
      <c r="AA6" s="27" t="s">
        <v>301</v>
      </c>
    </row>
    <row r="7" spans="1:27" x14ac:dyDescent="0.2">
      <c r="A7" s="1" t="s">
        <v>303</v>
      </c>
      <c r="B7" s="286" t="s">
        <v>136</v>
      </c>
      <c r="C7" s="287" t="s">
        <v>56</v>
      </c>
      <c r="D7" s="287" t="s">
        <v>302</v>
      </c>
      <c r="E7" s="2">
        <v>8</v>
      </c>
      <c r="F7" s="2">
        <v>133</v>
      </c>
      <c r="G7" s="288">
        <v>6.7</v>
      </c>
      <c r="H7" s="1">
        <v>5.04</v>
      </c>
      <c r="I7" s="2">
        <v>12</v>
      </c>
      <c r="J7" s="2">
        <v>348</v>
      </c>
      <c r="K7" s="288">
        <v>23</v>
      </c>
      <c r="L7" s="1">
        <v>6.61</v>
      </c>
      <c r="M7" s="2">
        <v>0</v>
      </c>
      <c r="N7" s="2">
        <v>0</v>
      </c>
      <c r="O7" s="288">
        <v>0</v>
      </c>
      <c r="P7" s="1">
        <v>0</v>
      </c>
      <c r="Q7" s="2">
        <v>0</v>
      </c>
      <c r="R7" s="2">
        <v>0</v>
      </c>
      <c r="S7" s="288">
        <v>0</v>
      </c>
      <c r="T7" s="1">
        <v>0</v>
      </c>
      <c r="U7" s="2">
        <v>20</v>
      </c>
      <c r="V7" s="2">
        <v>481</v>
      </c>
      <c r="W7" s="288">
        <v>29.7</v>
      </c>
      <c r="X7" s="1">
        <v>6.17</v>
      </c>
      <c r="Z7" t="b">
        <f t="shared" si="0"/>
        <v>1</v>
      </c>
      <c r="AA7" s="27" t="s">
        <v>303</v>
      </c>
    </row>
    <row r="8" spans="1:27" x14ac:dyDescent="0.2">
      <c r="A8" s="1" t="s">
        <v>304</v>
      </c>
      <c r="B8" s="286" t="s">
        <v>136</v>
      </c>
      <c r="C8" s="287" t="s">
        <v>14</v>
      </c>
      <c r="D8" s="287" t="s">
        <v>302</v>
      </c>
      <c r="E8" s="2">
        <v>209988</v>
      </c>
      <c r="F8" s="2">
        <v>2438713</v>
      </c>
      <c r="G8" s="288">
        <v>195888</v>
      </c>
      <c r="H8" s="1">
        <v>8.0299999999999994</v>
      </c>
      <c r="I8" s="2">
        <v>23287</v>
      </c>
      <c r="J8" s="2">
        <v>2139915</v>
      </c>
      <c r="K8" s="288">
        <v>187922</v>
      </c>
      <c r="L8" s="1">
        <v>8.7799999999999994</v>
      </c>
      <c r="M8" s="2">
        <v>900</v>
      </c>
      <c r="N8" s="2">
        <v>888547</v>
      </c>
      <c r="O8" s="288">
        <v>50598</v>
      </c>
      <c r="P8" s="1">
        <v>5.69</v>
      </c>
      <c r="Q8" s="2">
        <v>0</v>
      </c>
      <c r="R8" s="2">
        <v>0</v>
      </c>
      <c r="S8" s="288">
        <v>0</v>
      </c>
      <c r="T8" s="1">
        <v>0</v>
      </c>
      <c r="U8" s="2">
        <v>234175</v>
      </c>
      <c r="V8" s="2">
        <v>5467175</v>
      </c>
      <c r="W8" s="288">
        <v>434408</v>
      </c>
      <c r="X8" s="1">
        <v>7.95</v>
      </c>
      <c r="Z8" t="b">
        <f t="shared" si="0"/>
        <v>1</v>
      </c>
      <c r="AA8" s="27" t="s">
        <v>304</v>
      </c>
    </row>
    <row r="9" spans="1:27" x14ac:dyDescent="0.2">
      <c r="A9" s="1" t="s">
        <v>305</v>
      </c>
      <c r="B9" s="286" t="s">
        <v>25</v>
      </c>
      <c r="C9" s="287" t="s">
        <v>14</v>
      </c>
      <c r="D9" s="287" t="s">
        <v>300</v>
      </c>
      <c r="E9" s="2">
        <v>11539</v>
      </c>
      <c r="F9" s="2">
        <v>218313</v>
      </c>
      <c r="G9" s="288">
        <v>15999</v>
      </c>
      <c r="H9" s="1">
        <v>7.33</v>
      </c>
      <c r="I9" s="2">
        <v>1294</v>
      </c>
      <c r="J9" s="2">
        <v>111267</v>
      </c>
      <c r="K9" s="288">
        <v>6530</v>
      </c>
      <c r="L9" s="1">
        <v>5.87</v>
      </c>
      <c r="M9" s="2">
        <v>1910</v>
      </c>
      <c r="N9" s="2">
        <v>201062</v>
      </c>
      <c r="O9" s="288">
        <v>10849</v>
      </c>
      <c r="P9" s="1">
        <v>5.4</v>
      </c>
      <c r="Q9" s="2">
        <v>0</v>
      </c>
      <c r="R9" s="2">
        <v>0</v>
      </c>
      <c r="S9" s="288">
        <v>0</v>
      </c>
      <c r="T9" s="1">
        <v>0</v>
      </c>
      <c r="U9" s="2">
        <v>14743</v>
      </c>
      <c r="V9" s="2">
        <v>530642</v>
      </c>
      <c r="W9" s="288">
        <v>33378</v>
      </c>
      <c r="X9" s="1">
        <v>6.29</v>
      </c>
      <c r="Z9" t="b">
        <f t="shared" si="0"/>
        <v>1</v>
      </c>
      <c r="AA9" s="27" t="s">
        <v>305</v>
      </c>
    </row>
    <row r="10" spans="1:27" x14ac:dyDescent="0.2">
      <c r="A10" s="1" t="s">
        <v>306</v>
      </c>
      <c r="B10" s="286" t="s">
        <v>26</v>
      </c>
      <c r="C10" s="287" t="s">
        <v>14</v>
      </c>
      <c r="D10" s="287" t="s">
        <v>300</v>
      </c>
      <c r="E10" s="2">
        <v>4536</v>
      </c>
      <c r="F10" s="2">
        <v>94865</v>
      </c>
      <c r="G10" s="288">
        <v>5988.7</v>
      </c>
      <c r="H10" s="1">
        <v>6.31</v>
      </c>
      <c r="I10" s="2">
        <v>4002</v>
      </c>
      <c r="J10" s="2">
        <v>377622</v>
      </c>
      <c r="K10" s="288">
        <v>18296</v>
      </c>
      <c r="L10" s="1">
        <v>4.8499999999999996</v>
      </c>
      <c r="M10" s="2">
        <v>0</v>
      </c>
      <c r="N10" s="2">
        <v>0</v>
      </c>
      <c r="O10" s="288">
        <v>0</v>
      </c>
      <c r="P10" s="1">
        <v>0</v>
      </c>
      <c r="Q10" s="2">
        <v>0</v>
      </c>
      <c r="R10" s="2">
        <v>0</v>
      </c>
      <c r="S10" s="288">
        <v>0</v>
      </c>
      <c r="T10" s="1">
        <v>0</v>
      </c>
      <c r="U10" s="2">
        <v>8538</v>
      </c>
      <c r="V10" s="2">
        <v>472487</v>
      </c>
      <c r="W10" s="288">
        <v>24284.7</v>
      </c>
      <c r="X10" s="1">
        <v>5.14</v>
      </c>
      <c r="Z10" t="b">
        <f t="shared" si="0"/>
        <v>1</v>
      </c>
      <c r="AA10" s="27" t="s">
        <v>306</v>
      </c>
    </row>
    <row r="11" spans="1:27" x14ac:dyDescent="0.2">
      <c r="A11" s="1" t="s">
        <v>307</v>
      </c>
      <c r="B11" s="286" t="s">
        <v>204</v>
      </c>
      <c r="C11" s="287" t="s">
        <v>22</v>
      </c>
      <c r="D11" s="287" t="s">
        <v>300</v>
      </c>
      <c r="E11" s="2">
        <v>3241</v>
      </c>
      <c r="F11" s="2">
        <v>51282</v>
      </c>
      <c r="G11" s="288">
        <v>4755</v>
      </c>
      <c r="H11" s="1">
        <v>9.27</v>
      </c>
      <c r="I11" s="2">
        <v>371</v>
      </c>
      <c r="J11" s="2">
        <v>39724</v>
      </c>
      <c r="K11" s="288">
        <v>2510</v>
      </c>
      <c r="L11" s="1">
        <v>6.32</v>
      </c>
      <c r="M11" s="2">
        <v>3</v>
      </c>
      <c r="N11" s="2">
        <v>42789</v>
      </c>
      <c r="O11" s="288">
        <v>2336</v>
      </c>
      <c r="P11" s="1">
        <v>5.46</v>
      </c>
      <c r="Q11" s="2">
        <v>0</v>
      </c>
      <c r="R11" s="2">
        <v>0</v>
      </c>
      <c r="S11" s="288">
        <v>0</v>
      </c>
      <c r="T11" s="1">
        <v>0</v>
      </c>
      <c r="U11" s="2">
        <v>3615</v>
      </c>
      <c r="V11" s="2">
        <v>133795</v>
      </c>
      <c r="W11" s="288">
        <v>9601</v>
      </c>
      <c r="X11" s="1">
        <v>7.18</v>
      </c>
      <c r="Z11" t="b">
        <f t="shared" si="0"/>
        <v>1</v>
      </c>
      <c r="AA11" s="27" t="s">
        <v>307</v>
      </c>
    </row>
    <row r="12" spans="1:27" x14ac:dyDescent="0.2">
      <c r="A12" s="1" t="s">
        <v>309</v>
      </c>
      <c r="B12" s="286" t="s">
        <v>205</v>
      </c>
      <c r="C12" s="287" t="s">
        <v>22</v>
      </c>
      <c r="D12" s="287" t="s">
        <v>310</v>
      </c>
      <c r="E12" s="2">
        <v>6042</v>
      </c>
      <c r="F12" s="2">
        <v>75941</v>
      </c>
      <c r="G12" s="288">
        <v>4559.8999999999996</v>
      </c>
      <c r="H12" s="1">
        <v>6</v>
      </c>
      <c r="I12" s="2">
        <v>663</v>
      </c>
      <c r="J12" s="2">
        <v>55833</v>
      </c>
      <c r="K12" s="288">
        <v>2605.1</v>
      </c>
      <c r="L12" s="1">
        <v>4.67</v>
      </c>
      <c r="M12" s="2">
        <v>11</v>
      </c>
      <c r="N12" s="2">
        <v>33214</v>
      </c>
      <c r="O12" s="288">
        <v>1477.8</v>
      </c>
      <c r="P12" s="1">
        <v>4.45</v>
      </c>
      <c r="Q12" s="2">
        <v>0</v>
      </c>
      <c r="R12" s="2">
        <v>0</v>
      </c>
      <c r="S12" s="288">
        <v>0</v>
      </c>
      <c r="T12" s="1">
        <v>0</v>
      </c>
      <c r="U12" s="2">
        <v>6716</v>
      </c>
      <c r="V12" s="2">
        <v>164988</v>
      </c>
      <c r="W12" s="288">
        <v>8642.7999999999993</v>
      </c>
      <c r="X12" s="1">
        <v>5.24</v>
      </c>
      <c r="Z12" t="b">
        <f t="shared" si="0"/>
        <v>1</v>
      </c>
      <c r="AA12" s="27" t="s">
        <v>309</v>
      </c>
    </row>
    <row r="13" spans="1:27" x14ac:dyDescent="0.2">
      <c r="A13" s="1" t="s">
        <v>311</v>
      </c>
      <c r="B13" s="286" t="s">
        <v>206</v>
      </c>
      <c r="C13" s="287" t="s">
        <v>22</v>
      </c>
      <c r="D13" s="287" t="s">
        <v>300</v>
      </c>
      <c r="E13" s="2">
        <v>26927</v>
      </c>
      <c r="F13" s="2">
        <v>445832</v>
      </c>
      <c r="G13" s="288">
        <v>36498</v>
      </c>
      <c r="H13" s="1">
        <v>8.19</v>
      </c>
      <c r="I13" s="2">
        <v>2535</v>
      </c>
      <c r="J13" s="2">
        <v>96469</v>
      </c>
      <c r="K13" s="288">
        <v>6754</v>
      </c>
      <c r="L13" s="1">
        <v>7</v>
      </c>
      <c r="M13" s="2">
        <v>1606</v>
      </c>
      <c r="N13" s="2">
        <v>101654</v>
      </c>
      <c r="O13" s="288">
        <v>5492</v>
      </c>
      <c r="P13" s="1">
        <v>5.4</v>
      </c>
      <c r="Q13" s="2">
        <v>0</v>
      </c>
      <c r="R13" s="2">
        <v>0</v>
      </c>
      <c r="S13" s="288">
        <v>0</v>
      </c>
      <c r="T13" s="1">
        <v>0</v>
      </c>
      <c r="U13" s="2">
        <v>31068</v>
      </c>
      <c r="V13" s="2">
        <v>643955</v>
      </c>
      <c r="W13" s="288">
        <v>48744</v>
      </c>
      <c r="X13" s="1">
        <v>7.57</v>
      </c>
      <c r="Z13" t="b">
        <f t="shared" si="0"/>
        <v>1</v>
      </c>
      <c r="AA13" s="27" t="s">
        <v>311</v>
      </c>
    </row>
    <row r="14" spans="1:27" x14ac:dyDescent="0.2">
      <c r="A14" s="1" t="s">
        <v>312</v>
      </c>
      <c r="B14" s="286" t="s">
        <v>31</v>
      </c>
      <c r="C14" s="287" t="s">
        <v>22</v>
      </c>
      <c r="D14" s="287" t="s">
        <v>310</v>
      </c>
      <c r="E14" s="2">
        <v>32782</v>
      </c>
      <c r="F14" s="2">
        <v>420380</v>
      </c>
      <c r="G14" s="288">
        <v>32271</v>
      </c>
      <c r="H14" s="1">
        <v>7.68</v>
      </c>
      <c r="I14" s="2">
        <v>5542</v>
      </c>
      <c r="J14" s="2">
        <v>190561</v>
      </c>
      <c r="K14" s="288">
        <v>13228</v>
      </c>
      <c r="L14" s="1">
        <v>6.94</v>
      </c>
      <c r="M14" s="2">
        <v>182</v>
      </c>
      <c r="N14" s="2">
        <v>601910</v>
      </c>
      <c r="O14" s="288">
        <v>24060</v>
      </c>
      <c r="P14" s="1">
        <v>4</v>
      </c>
      <c r="Q14" s="2">
        <v>0</v>
      </c>
      <c r="R14" s="2">
        <v>0</v>
      </c>
      <c r="S14" s="288">
        <v>0</v>
      </c>
      <c r="T14" s="1">
        <v>0</v>
      </c>
      <c r="U14" s="2">
        <v>38506</v>
      </c>
      <c r="V14" s="2">
        <v>1212851</v>
      </c>
      <c r="W14" s="288">
        <v>69559</v>
      </c>
      <c r="X14" s="1">
        <v>5.74</v>
      </c>
      <c r="Z14" t="b">
        <f t="shared" si="0"/>
        <v>1</v>
      </c>
      <c r="AA14" s="27" t="s">
        <v>312</v>
      </c>
    </row>
    <row r="15" spans="1:27" x14ac:dyDescent="0.2">
      <c r="A15" s="1" t="s">
        <v>313</v>
      </c>
      <c r="B15" s="286" t="s">
        <v>18</v>
      </c>
      <c r="C15" s="287" t="s">
        <v>19</v>
      </c>
      <c r="D15" s="287" t="s">
        <v>310</v>
      </c>
      <c r="E15" s="2">
        <v>166</v>
      </c>
      <c r="F15" s="2">
        <v>2192</v>
      </c>
      <c r="G15" s="288">
        <v>151</v>
      </c>
      <c r="H15" s="1">
        <v>6.89</v>
      </c>
      <c r="I15" s="2">
        <v>19</v>
      </c>
      <c r="J15" s="2">
        <v>965</v>
      </c>
      <c r="K15" s="288">
        <v>55</v>
      </c>
      <c r="L15" s="1">
        <v>5.7</v>
      </c>
      <c r="M15" s="2">
        <v>0</v>
      </c>
      <c r="N15" s="2">
        <v>0</v>
      </c>
      <c r="O15" s="288">
        <v>0</v>
      </c>
      <c r="P15" s="1">
        <v>0</v>
      </c>
      <c r="Q15" s="2">
        <v>0</v>
      </c>
      <c r="R15" s="2">
        <v>0</v>
      </c>
      <c r="S15" s="288">
        <v>0</v>
      </c>
      <c r="T15" s="1">
        <v>0</v>
      </c>
      <c r="U15" s="2">
        <v>185</v>
      </c>
      <c r="V15" s="2">
        <v>3157</v>
      </c>
      <c r="W15" s="288">
        <v>206</v>
      </c>
      <c r="X15" s="1">
        <v>6.53</v>
      </c>
      <c r="Z15" t="b">
        <f t="shared" si="0"/>
        <v>1</v>
      </c>
      <c r="AA15" s="27" t="s">
        <v>313</v>
      </c>
    </row>
    <row r="16" spans="1:27" x14ac:dyDescent="0.2">
      <c r="A16" s="1" t="s">
        <v>314</v>
      </c>
      <c r="B16" s="286" t="s">
        <v>21</v>
      </c>
      <c r="C16" s="287" t="s">
        <v>22</v>
      </c>
      <c r="D16" s="287" t="s">
        <v>310</v>
      </c>
      <c r="E16" s="2">
        <v>9557</v>
      </c>
      <c r="F16" s="2">
        <v>91219</v>
      </c>
      <c r="G16" s="288">
        <v>6213</v>
      </c>
      <c r="H16" s="1">
        <v>6.81</v>
      </c>
      <c r="I16" s="2">
        <v>1499</v>
      </c>
      <c r="J16" s="2">
        <v>81803</v>
      </c>
      <c r="K16" s="288">
        <v>5093</v>
      </c>
      <c r="L16" s="1">
        <v>6.23</v>
      </c>
      <c r="M16" s="2">
        <v>0</v>
      </c>
      <c r="N16" s="2">
        <v>0</v>
      </c>
      <c r="O16" s="288">
        <v>0</v>
      </c>
      <c r="P16" s="1">
        <v>0</v>
      </c>
      <c r="Q16" s="2">
        <v>0</v>
      </c>
      <c r="R16" s="2">
        <v>0</v>
      </c>
      <c r="S16" s="288">
        <v>0</v>
      </c>
      <c r="T16" s="1">
        <v>0</v>
      </c>
      <c r="U16" s="2">
        <v>11056</v>
      </c>
      <c r="V16" s="2">
        <v>173022</v>
      </c>
      <c r="W16" s="288">
        <v>11306</v>
      </c>
      <c r="X16" s="1">
        <v>6.53</v>
      </c>
      <c r="Z16" t="b">
        <f t="shared" si="0"/>
        <v>1</v>
      </c>
      <c r="AA16" s="27" t="s">
        <v>314</v>
      </c>
    </row>
    <row r="17" spans="1:27" x14ac:dyDescent="0.2">
      <c r="A17" s="1" t="s">
        <v>315</v>
      </c>
      <c r="B17" s="286" t="s">
        <v>23</v>
      </c>
      <c r="C17" s="287" t="s">
        <v>22</v>
      </c>
      <c r="D17" s="287" t="s">
        <v>310</v>
      </c>
      <c r="E17" s="2">
        <v>2750</v>
      </c>
      <c r="F17" s="2">
        <v>33339</v>
      </c>
      <c r="G17" s="288">
        <v>2444</v>
      </c>
      <c r="H17" s="1">
        <v>7.33</v>
      </c>
      <c r="I17" s="2">
        <v>982</v>
      </c>
      <c r="J17" s="2">
        <v>27473</v>
      </c>
      <c r="K17" s="288">
        <v>2053</v>
      </c>
      <c r="L17" s="1">
        <v>7.47</v>
      </c>
      <c r="M17" s="2">
        <v>3</v>
      </c>
      <c r="N17" s="2">
        <v>1145</v>
      </c>
      <c r="O17" s="288">
        <v>110</v>
      </c>
      <c r="P17" s="1">
        <v>9.61</v>
      </c>
      <c r="Q17" s="2">
        <v>0</v>
      </c>
      <c r="R17" s="2">
        <v>0</v>
      </c>
      <c r="S17" s="288">
        <v>0</v>
      </c>
      <c r="T17" s="1">
        <v>0</v>
      </c>
      <c r="U17" s="2">
        <v>3735</v>
      </c>
      <c r="V17" s="2">
        <v>61957</v>
      </c>
      <c r="W17" s="288">
        <v>4607</v>
      </c>
      <c r="X17" s="1">
        <v>7.44</v>
      </c>
      <c r="Z17" t="b">
        <f t="shared" si="0"/>
        <v>1</v>
      </c>
      <c r="AA17" s="27" t="s">
        <v>315</v>
      </c>
    </row>
    <row r="18" spans="1:27" x14ac:dyDescent="0.2">
      <c r="A18" s="1" t="s">
        <v>316</v>
      </c>
      <c r="B18" s="286" t="s">
        <v>27</v>
      </c>
      <c r="C18" s="287" t="s">
        <v>14</v>
      </c>
      <c r="D18" s="287" t="s">
        <v>310</v>
      </c>
      <c r="E18" s="2">
        <v>2423</v>
      </c>
      <c r="F18" s="2">
        <v>23078</v>
      </c>
      <c r="G18" s="288">
        <v>1562</v>
      </c>
      <c r="H18" s="1">
        <v>6.77</v>
      </c>
      <c r="I18" s="2">
        <v>507</v>
      </c>
      <c r="J18" s="2">
        <v>37945</v>
      </c>
      <c r="K18" s="288">
        <v>2841</v>
      </c>
      <c r="L18" s="1">
        <v>7.49</v>
      </c>
      <c r="M18" s="2">
        <v>14</v>
      </c>
      <c r="N18" s="2">
        <v>9098</v>
      </c>
      <c r="O18" s="288">
        <v>675</v>
      </c>
      <c r="P18" s="1">
        <v>7.42</v>
      </c>
      <c r="Q18" s="2">
        <v>0</v>
      </c>
      <c r="R18" s="2">
        <v>0</v>
      </c>
      <c r="S18" s="288">
        <v>0</v>
      </c>
      <c r="T18" s="1">
        <v>0</v>
      </c>
      <c r="U18" s="2">
        <v>2944</v>
      </c>
      <c r="V18" s="2">
        <v>70121</v>
      </c>
      <c r="W18" s="288">
        <v>5078</v>
      </c>
      <c r="X18" s="1">
        <v>7.24</v>
      </c>
      <c r="Z18" t="b">
        <f t="shared" si="0"/>
        <v>1</v>
      </c>
      <c r="AA18" s="27" t="s">
        <v>316</v>
      </c>
    </row>
    <row r="19" spans="1:27" x14ac:dyDescent="0.2">
      <c r="A19" s="1" t="s">
        <v>317</v>
      </c>
      <c r="B19" s="286" t="s">
        <v>28</v>
      </c>
      <c r="C19" s="287" t="s">
        <v>19</v>
      </c>
      <c r="D19" s="287" t="s">
        <v>310</v>
      </c>
      <c r="E19" s="2">
        <v>1918</v>
      </c>
      <c r="F19" s="2">
        <v>23529</v>
      </c>
      <c r="G19" s="288">
        <v>1782</v>
      </c>
      <c r="H19" s="1">
        <v>7.57</v>
      </c>
      <c r="I19" s="2">
        <v>660</v>
      </c>
      <c r="J19" s="2">
        <v>22537</v>
      </c>
      <c r="K19" s="288">
        <v>1509.4</v>
      </c>
      <c r="L19" s="1">
        <v>6.7</v>
      </c>
      <c r="M19" s="2">
        <v>21</v>
      </c>
      <c r="N19" s="2">
        <v>18974</v>
      </c>
      <c r="O19" s="288">
        <v>1061.8</v>
      </c>
      <c r="P19" s="1">
        <v>5.6</v>
      </c>
      <c r="Q19" s="2">
        <v>0</v>
      </c>
      <c r="R19" s="2">
        <v>0</v>
      </c>
      <c r="S19" s="288">
        <v>0</v>
      </c>
      <c r="T19" s="1">
        <v>0</v>
      </c>
      <c r="U19" s="2">
        <v>2599</v>
      </c>
      <c r="V19" s="2">
        <v>65040</v>
      </c>
      <c r="W19" s="288">
        <v>4353.2</v>
      </c>
      <c r="X19" s="1">
        <v>6.69</v>
      </c>
      <c r="Z19" t="b">
        <f t="shared" si="0"/>
        <v>1</v>
      </c>
      <c r="AA19" s="27" t="s">
        <v>317</v>
      </c>
    </row>
    <row r="20" spans="1:27" x14ac:dyDescent="0.2">
      <c r="A20" s="1" t="s">
        <v>318</v>
      </c>
      <c r="B20" s="286" t="s">
        <v>29</v>
      </c>
      <c r="C20" s="287" t="s">
        <v>19</v>
      </c>
      <c r="D20" s="287" t="s">
        <v>310</v>
      </c>
      <c r="E20" s="2">
        <v>3791</v>
      </c>
      <c r="F20" s="2">
        <v>47326</v>
      </c>
      <c r="G20" s="288">
        <v>3090</v>
      </c>
      <c r="H20" s="1">
        <v>6.53</v>
      </c>
      <c r="I20" s="2">
        <v>647</v>
      </c>
      <c r="J20" s="2">
        <v>66210</v>
      </c>
      <c r="K20" s="288">
        <v>3237</v>
      </c>
      <c r="L20" s="1">
        <v>4.8899999999999997</v>
      </c>
      <c r="M20" s="2">
        <v>0</v>
      </c>
      <c r="N20" s="2">
        <v>0</v>
      </c>
      <c r="O20" s="288">
        <v>0</v>
      </c>
      <c r="P20" s="1">
        <v>0</v>
      </c>
      <c r="Q20" s="2">
        <v>0</v>
      </c>
      <c r="R20" s="2">
        <v>0</v>
      </c>
      <c r="S20" s="288">
        <v>0</v>
      </c>
      <c r="T20" s="1">
        <v>0</v>
      </c>
      <c r="U20" s="2">
        <v>4438</v>
      </c>
      <c r="V20" s="2">
        <v>113536</v>
      </c>
      <c r="W20" s="288">
        <v>6327</v>
      </c>
      <c r="X20" s="1">
        <v>5.57</v>
      </c>
      <c r="Z20" t="b">
        <f t="shared" si="0"/>
        <v>1</v>
      </c>
      <c r="AA20" s="27" t="s">
        <v>318</v>
      </c>
    </row>
    <row r="21" spans="1:27" x14ac:dyDescent="0.2">
      <c r="A21" s="1" t="s">
        <v>319</v>
      </c>
      <c r="B21" s="286" t="s">
        <v>30</v>
      </c>
      <c r="C21" s="287" t="s">
        <v>22</v>
      </c>
      <c r="D21" s="287" t="s">
        <v>310</v>
      </c>
      <c r="E21" s="2">
        <v>515</v>
      </c>
      <c r="F21" s="2">
        <v>9010</v>
      </c>
      <c r="G21" s="288">
        <v>722</v>
      </c>
      <c r="H21" s="1">
        <v>8.01</v>
      </c>
      <c r="I21" s="2">
        <v>67</v>
      </c>
      <c r="J21" s="2">
        <v>10000</v>
      </c>
      <c r="K21" s="288">
        <v>805</v>
      </c>
      <c r="L21" s="1">
        <v>8.0500000000000007</v>
      </c>
      <c r="M21" s="2">
        <v>0</v>
      </c>
      <c r="N21" s="2">
        <v>0</v>
      </c>
      <c r="O21" s="288">
        <v>0</v>
      </c>
      <c r="P21" s="1">
        <v>0</v>
      </c>
      <c r="Q21" s="2">
        <v>0</v>
      </c>
      <c r="R21" s="2">
        <v>0</v>
      </c>
      <c r="S21" s="288">
        <v>0</v>
      </c>
      <c r="T21" s="1">
        <v>0</v>
      </c>
      <c r="U21" s="2">
        <v>582</v>
      </c>
      <c r="V21" s="2">
        <v>19010</v>
      </c>
      <c r="W21" s="288">
        <v>1527</v>
      </c>
      <c r="X21" s="1">
        <v>8.0299999999999994</v>
      </c>
      <c r="Z21" t="b">
        <f t="shared" si="0"/>
        <v>1</v>
      </c>
      <c r="AA21" s="27" t="s">
        <v>319</v>
      </c>
    </row>
    <row r="22" spans="1:27" x14ac:dyDescent="0.2">
      <c r="A22" s="1" t="s">
        <v>320</v>
      </c>
      <c r="B22" s="286" t="s">
        <v>32</v>
      </c>
      <c r="C22" s="287" t="s">
        <v>14</v>
      </c>
      <c r="D22" s="287" t="s">
        <v>310</v>
      </c>
      <c r="E22" s="2">
        <v>8365</v>
      </c>
      <c r="F22" s="2">
        <v>114952</v>
      </c>
      <c r="G22" s="288">
        <v>7910.7</v>
      </c>
      <c r="H22" s="1">
        <v>6.88</v>
      </c>
      <c r="I22" s="2">
        <v>1431</v>
      </c>
      <c r="J22" s="2">
        <v>34614</v>
      </c>
      <c r="K22" s="288">
        <v>2668.8</v>
      </c>
      <c r="L22" s="1">
        <v>7.71</v>
      </c>
      <c r="M22" s="2">
        <v>146</v>
      </c>
      <c r="N22" s="2">
        <v>110214</v>
      </c>
      <c r="O22" s="288">
        <v>7478.1</v>
      </c>
      <c r="P22" s="1">
        <v>6.79</v>
      </c>
      <c r="Q22" s="2">
        <v>0</v>
      </c>
      <c r="R22" s="2">
        <v>0</v>
      </c>
      <c r="S22" s="288">
        <v>0</v>
      </c>
      <c r="T22" s="1">
        <v>0</v>
      </c>
      <c r="U22" s="2">
        <v>9942</v>
      </c>
      <c r="V22" s="2">
        <v>259780</v>
      </c>
      <c r="W22" s="288">
        <v>18057.599999999999</v>
      </c>
      <c r="X22" s="1">
        <v>6.95</v>
      </c>
      <c r="Z22" t="b">
        <f t="shared" si="0"/>
        <v>1</v>
      </c>
      <c r="AA22" s="27" t="s">
        <v>320</v>
      </c>
    </row>
    <row r="23" spans="1:27" x14ac:dyDescent="0.2">
      <c r="A23" s="1" t="s">
        <v>321</v>
      </c>
      <c r="B23" s="286" t="s">
        <v>34</v>
      </c>
      <c r="C23" s="287" t="s">
        <v>14</v>
      </c>
      <c r="D23" s="287" t="s">
        <v>310</v>
      </c>
      <c r="E23" s="2">
        <v>4384</v>
      </c>
      <c r="F23" s="2">
        <v>50532</v>
      </c>
      <c r="G23" s="288">
        <v>3125</v>
      </c>
      <c r="H23" s="1">
        <v>6.18</v>
      </c>
      <c r="I23" s="2">
        <v>397</v>
      </c>
      <c r="J23" s="2">
        <v>69328</v>
      </c>
      <c r="K23" s="288">
        <v>3387</v>
      </c>
      <c r="L23" s="1">
        <v>4.8899999999999997</v>
      </c>
      <c r="M23" s="2">
        <v>8</v>
      </c>
      <c r="N23" s="2">
        <v>9792</v>
      </c>
      <c r="O23" s="288">
        <v>469</v>
      </c>
      <c r="P23" s="1">
        <v>4.79</v>
      </c>
      <c r="Q23" s="2">
        <v>0</v>
      </c>
      <c r="R23" s="2">
        <v>0</v>
      </c>
      <c r="S23" s="288">
        <v>0</v>
      </c>
      <c r="T23" s="1">
        <v>0</v>
      </c>
      <c r="U23" s="2">
        <v>4789</v>
      </c>
      <c r="V23" s="2">
        <v>129652</v>
      </c>
      <c r="W23" s="288">
        <v>6981</v>
      </c>
      <c r="X23" s="1">
        <v>5.38</v>
      </c>
      <c r="Z23" t="b">
        <f t="shared" si="0"/>
        <v>1</v>
      </c>
      <c r="AA23" s="27" t="s">
        <v>321</v>
      </c>
    </row>
    <row r="24" spans="1:27" x14ac:dyDescent="0.2">
      <c r="A24" s="1" t="s">
        <v>322</v>
      </c>
      <c r="B24" s="286" t="s">
        <v>35</v>
      </c>
      <c r="C24" s="287" t="s">
        <v>14</v>
      </c>
      <c r="D24" s="287" t="s">
        <v>310</v>
      </c>
      <c r="E24" s="2">
        <v>1095</v>
      </c>
      <c r="F24" s="2">
        <v>12345</v>
      </c>
      <c r="G24" s="288">
        <v>771</v>
      </c>
      <c r="H24" s="1">
        <v>6.25</v>
      </c>
      <c r="I24" s="2">
        <v>207</v>
      </c>
      <c r="J24" s="2">
        <v>9795</v>
      </c>
      <c r="K24" s="288">
        <v>722</v>
      </c>
      <c r="L24" s="1">
        <v>7.37</v>
      </c>
      <c r="M24" s="2">
        <v>0</v>
      </c>
      <c r="N24" s="2">
        <v>0</v>
      </c>
      <c r="O24" s="288">
        <v>0</v>
      </c>
      <c r="P24" s="1">
        <v>0</v>
      </c>
      <c r="Q24" s="2">
        <v>0</v>
      </c>
      <c r="R24" s="2">
        <v>0</v>
      </c>
      <c r="S24" s="288">
        <v>0</v>
      </c>
      <c r="T24" s="1">
        <v>0</v>
      </c>
      <c r="U24" s="2">
        <v>1302</v>
      </c>
      <c r="V24" s="2">
        <v>22140</v>
      </c>
      <c r="W24" s="288">
        <v>1493</v>
      </c>
      <c r="X24" s="1">
        <v>6.74</v>
      </c>
      <c r="Z24" t="b">
        <f t="shared" si="0"/>
        <v>1</v>
      </c>
      <c r="AA24" s="27" t="s">
        <v>322</v>
      </c>
    </row>
    <row r="25" spans="1:27" x14ac:dyDescent="0.2">
      <c r="A25" s="1" t="s">
        <v>323</v>
      </c>
      <c r="B25" s="286" t="s">
        <v>43</v>
      </c>
      <c r="C25" s="287" t="s">
        <v>14</v>
      </c>
      <c r="D25" s="287" t="s">
        <v>310</v>
      </c>
      <c r="E25" s="2">
        <v>518</v>
      </c>
      <c r="F25" s="2">
        <v>9249</v>
      </c>
      <c r="G25" s="288">
        <v>526</v>
      </c>
      <c r="H25" s="1">
        <v>5.69</v>
      </c>
      <c r="I25" s="2">
        <v>80</v>
      </c>
      <c r="J25" s="2">
        <v>7241</v>
      </c>
      <c r="K25" s="288">
        <v>412</v>
      </c>
      <c r="L25" s="1">
        <v>5.69</v>
      </c>
      <c r="M25" s="2">
        <v>0</v>
      </c>
      <c r="N25" s="2">
        <v>0</v>
      </c>
      <c r="O25" s="288">
        <v>0</v>
      </c>
      <c r="P25" s="1">
        <v>0</v>
      </c>
      <c r="Q25" s="2">
        <v>0</v>
      </c>
      <c r="R25" s="2">
        <v>0</v>
      </c>
      <c r="S25" s="288">
        <v>0</v>
      </c>
      <c r="T25" s="1">
        <v>0</v>
      </c>
      <c r="U25" s="2">
        <v>598</v>
      </c>
      <c r="V25" s="2">
        <v>16490</v>
      </c>
      <c r="W25" s="288">
        <v>938</v>
      </c>
      <c r="X25" s="1">
        <v>5.69</v>
      </c>
      <c r="Z25" t="b">
        <f t="shared" si="0"/>
        <v>1</v>
      </c>
      <c r="AA25" s="27" t="s">
        <v>323</v>
      </c>
    </row>
    <row r="26" spans="1:27" x14ac:dyDescent="0.2">
      <c r="A26" s="1" t="s">
        <v>324</v>
      </c>
      <c r="B26" s="286" t="s">
        <v>62</v>
      </c>
      <c r="C26" s="287" t="s">
        <v>19</v>
      </c>
      <c r="D26" s="287" t="s">
        <v>310</v>
      </c>
      <c r="E26" s="2">
        <v>107</v>
      </c>
      <c r="F26" s="2">
        <v>1392</v>
      </c>
      <c r="G26" s="288">
        <v>88</v>
      </c>
      <c r="H26" s="1">
        <v>6.32</v>
      </c>
      <c r="I26" s="2">
        <v>14</v>
      </c>
      <c r="J26" s="2">
        <v>862</v>
      </c>
      <c r="K26" s="288">
        <v>51</v>
      </c>
      <c r="L26" s="1">
        <v>5.92</v>
      </c>
      <c r="M26" s="2">
        <v>11</v>
      </c>
      <c r="N26" s="2">
        <v>2425</v>
      </c>
      <c r="O26" s="288">
        <v>200</v>
      </c>
      <c r="P26" s="1">
        <v>8.25</v>
      </c>
      <c r="Q26" s="2">
        <v>0</v>
      </c>
      <c r="R26" s="2">
        <v>0</v>
      </c>
      <c r="S26" s="288">
        <v>0</v>
      </c>
      <c r="T26" s="1">
        <v>0</v>
      </c>
      <c r="U26" s="2">
        <v>132</v>
      </c>
      <c r="V26" s="2">
        <v>4679</v>
      </c>
      <c r="W26" s="288">
        <v>339</v>
      </c>
      <c r="X26" s="1">
        <v>7.25</v>
      </c>
      <c r="Z26" t="b">
        <f t="shared" si="0"/>
        <v>1</v>
      </c>
      <c r="AA26" s="27" t="s">
        <v>324</v>
      </c>
    </row>
    <row r="27" spans="1:27" x14ac:dyDescent="0.2">
      <c r="A27" s="1" t="s">
        <v>325</v>
      </c>
      <c r="B27" s="286" t="s">
        <v>48</v>
      </c>
      <c r="C27" s="287" t="s">
        <v>22</v>
      </c>
      <c r="D27" s="287" t="s">
        <v>310</v>
      </c>
      <c r="E27" s="2">
        <v>534</v>
      </c>
      <c r="F27" s="2">
        <v>7504</v>
      </c>
      <c r="G27" s="288">
        <v>601</v>
      </c>
      <c r="H27" s="1">
        <v>8.01</v>
      </c>
      <c r="I27" s="2">
        <v>162</v>
      </c>
      <c r="J27" s="2">
        <v>3557</v>
      </c>
      <c r="K27" s="288">
        <v>305</v>
      </c>
      <c r="L27" s="1">
        <v>8.57</v>
      </c>
      <c r="M27" s="2">
        <v>8</v>
      </c>
      <c r="N27" s="2">
        <v>3769</v>
      </c>
      <c r="O27" s="288">
        <v>272</v>
      </c>
      <c r="P27" s="1">
        <v>7.22</v>
      </c>
      <c r="Q27" s="2">
        <v>0</v>
      </c>
      <c r="R27" s="2">
        <v>0</v>
      </c>
      <c r="S27" s="288">
        <v>0</v>
      </c>
      <c r="T27" s="1">
        <v>0</v>
      </c>
      <c r="U27" s="2">
        <v>704</v>
      </c>
      <c r="V27" s="2">
        <v>14830</v>
      </c>
      <c r="W27" s="288">
        <v>1178</v>
      </c>
      <c r="X27" s="1">
        <v>7.94</v>
      </c>
      <c r="Z27" t="b">
        <f t="shared" si="0"/>
        <v>1</v>
      </c>
      <c r="AA27" s="27" t="s">
        <v>325</v>
      </c>
    </row>
    <row r="28" spans="1:27" x14ac:dyDescent="0.2">
      <c r="A28" s="1" t="s">
        <v>326</v>
      </c>
      <c r="B28" s="286" t="s">
        <v>53</v>
      </c>
      <c r="C28" s="287" t="s">
        <v>14</v>
      </c>
      <c r="D28" s="287" t="s">
        <v>310</v>
      </c>
      <c r="E28" s="2">
        <v>7861</v>
      </c>
      <c r="F28" s="2">
        <v>70943</v>
      </c>
      <c r="G28" s="288">
        <v>5170</v>
      </c>
      <c r="H28" s="1">
        <v>7.29</v>
      </c>
      <c r="I28" s="2">
        <v>1481</v>
      </c>
      <c r="J28" s="2">
        <v>115143</v>
      </c>
      <c r="K28" s="288">
        <v>6330</v>
      </c>
      <c r="L28" s="1">
        <v>5.5</v>
      </c>
      <c r="M28" s="2">
        <v>1</v>
      </c>
      <c r="N28" s="2">
        <v>8229</v>
      </c>
      <c r="O28" s="288">
        <v>488</v>
      </c>
      <c r="P28" s="1">
        <v>5.93</v>
      </c>
      <c r="Q28" s="2">
        <v>0</v>
      </c>
      <c r="R28" s="2">
        <v>0</v>
      </c>
      <c r="S28" s="288">
        <v>0</v>
      </c>
      <c r="T28" s="1">
        <v>0</v>
      </c>
      <c r="U28" s="2">
        <v>9343</v>
      </c>
      <c r="V28" s="2">
        <v>194315</v>
      </c>
      <c r="W28" s="288">
        <v>11988</v>
      </c>
      <c r="X28" s="1">
        <v>6.17</v>
      </c>
      <c r="Z28" t="b">
        <f t="shared" si="0"/>
        <v>1</v>
      </c>
      <c r="AA28" s="27" t="s">
        <v>326</v>
      </c>
    </row>
    <row r="29" spans="1:27" x14ac:dyDescent="0.2">
      <c r="A29" s="27" t="str">
        <f>B29&amp;" - "&amp;C29</f>
        <v>City of Eugene - OR</v>
      </c>
      <c r="B29" s="286" t="s">
        <v>52</v>
      </c>
      <c r="C29" s="287" t="s">
        <v>22</v>
      </c>
      <c r="D29" s="287" t="s">
        <v>310</v>
      </c>
      <c r="E29" s="2">
        <v>77896</v>
      </c>
      <c r="F29" s="2">
        <v>957844</v>
      </c>
      <c r="G29" s="288">
        <v>81444</v>
      </c>
      <c r="H29" s="1">
        <v>8.5</v>
      </c>
      <c r="I29" s="2">
        <v>9187</v>
      </c>
      <c r="J29" s="2">
        <v>868286</v>
      </c>
      <c r="K29" s="288">
        <v>59739</v>
      </c>
      <c r="L29" s="1">
        <v>6.88</v>
      </c>
      <c r="M29" s="2">
        <v>4</v>
      </c>
      <c r="N29" s="2">
        <v>573671</v>
      </c>
      <c r="O29" s="288">
        <v>25664</v>
      </c>
      <c r="P29" s="1">
        <v>4.47</v>
      </c>
      <c r="Q29" s="2">
        <v>0</v>
      </c>
      <c r="R29" s="2">
        <v>0</v>
      </c>
      <c r="S29" s="288">
        <v>0</v>
      </c>
      <c r="T29" s="1">
        <v>0</v>
      </c>
      <c r="U29" s="2">
        <v>87087</v>
      </c>
      <c r="V29" s="2">
        <v>2399801</v>
      </c>
      <c r="W29" s="288">
        <v>166847</v>
      </c>
      <c r="X29" s="1">
        <v>6.95</v>
      </c>
      <c r="Z29" t="b">
        <f t="shared" si="0"/>
        <v>1</v>
      </c>
      <c r="AA29" s="27" t="s">
        <v>444</v>
      </c>
    </row>
    <row r="30" spans="1:27" x14ac:dyDescent="0.2">
      <c r="A30" s="1" t="s">
        <v>327</v>
      </c>
      <c r="B30" s="286" t="s">
        <v>60</v>
      </c>
      <c r="C30" s="287" t="s">
        <v>22</v>
      </c>
      <c r="D30" s="287" t="s">
        <v>310</v>
      </c>
      <c r="E30" s="2">
        <v>8047</v>
      </c>
      <c r="F30" s="2">
        <v>107730</v>
      </c>
      <c r="G30" s="288">
        <v>6651.8</v>
      </c>
      <c r="H30" s="1">
        <v>6.17</v>
      </c>
      <c r="I30" s="2">
        <v>796</v>
      </c>
      <c r="J30" s="2">
        <v>41078</v>
      </c>
      <c r="K30" s="288">
        <v>1762.6</v>
      </c>
      <c r="L30" s="1">
        <v>4.29</v>
      </c>
      <c r="M30" s="2">
        <v>134</v>
      </c>
      <c r="N30" s="2">
        <v>81335</v>
      </c>
      <c r="O30" s="288">
        <v>4737.3999999999996</v>
      </c>
      <c r="P30" s="1">
        <v>5.82</v>
      </c>
      <c r="Q30" s="2">
        <v>0</v>
      </c>
      <c r="R30" s="2">
        <v>0</v>
      </c>
      <c r="S30" s="288">
        <v>0</v>
      </c>
      <c r="T30" s="1">
        <v>0</v>
      </c>
      <c r="U30" s="2">
        <v>8977</v>
      </c>
      <c r="V30" s="2">
        <v>230143</v>
      </c>
      <c r="W30" s="288">
        <v>13151.8</v>
      </c>
      <c r="X30" s="1">
        <v>5.71</v>
      </c>
      <c r="Z30" t="b">
        <f t="shared" si="0"/>
        <v>1</v>
      </c>
      <c r="AA30" s="27" t="s">
        <v>327</v>
      </c>
    </row>
    <row r="31" spans="1:27" x14ac:dyDescent="0.2">
      <c r="A31" s="1" t="s">
        <v>328</v>
      </c>
      <c r="B31" s="286" t="s">
        <v>65</v>
      </c>
      <c r="C31" s="287" t="s">
        <v>22</v>
      </c>
      <c r="D31" s="287" t="s">
        <v>310</v>
      </c>
      <c r="E31" s="2">
        <v>4444</v>
      </c>
      <c r="F31" s="2">
        <v>49967</v>
      </c>
      <c r="G31" s="288">
        <v>3502</v>
      </c>
      <c r="H31" s="1">
        <v>7.01</v>
      </c>
      <c r="I31" s="2">
        <v>801</v>
      </c>
      <c r="J31" s="2">
        <v>55674</v>
      </c>
      <c r="K31" s="288">
        <v>3564</v>
      </c>
      <c r="L31" s="1">
        <v>6.4</v>
      </c>
      <c r="M31" s="2">
        <v>0</v>
      </c>
      <c r="N31" s="2">
        <v>0</v>
      </c>
      <c r="O31" s="288">
        <v>0</v>
      </c>
      <c r="P31" s="1">
        <v>0</v>
      </c>
      <c r="Q31" s="2">
        <v>0</v>
      </c>
      <c r="R31" s="2">
        <v>0</v>
      </c>
      <c r="S31" s="288">
        <v>0</v>
      </c>
      <c r="T31" s="1">
        <v>0</v>
      </c>
      <c r="U31" s="2">
        <v>5245</v>
      </c>
      <c r="V31" s="2">
        <v>105641</v>
      </c>
      <c r="W31" s="288">
        <v>7066</v>
      </c>
      <c r="X31" s="1">
        <v>6.69</v>
      </c>
      <c r="Z31" t="b">
        <f t="shared" si="0"/>
        <v>1</v>
      </c>
      <c r="AA31" s="27" t="s">
        <v>328</v>
      </c>
    </row>
    <row r="32" spans="1:27" x14ac:dyDescent="0.2">
      <c r="A32" s="27" t="str">
        <f>B32&amp;" - "&amp;C32</f>
        <v>City of Heyburn - ID</v>
      </c>
      <c r="B32" s="291" t="s">
        <v>66</v>
      </c>
      <c r="C32" s="287" t="s">
        <v>19</v>
      </c>
      <c r="D32" s="287" t="s">
        <v>310</v>
      </c>
      <c r="E32" s="2">
        <v>1205</v>
      </c>
      <c r="F32" s="2">
        <v>18446</v>
      </c>
      <c r="G32" s="288">
        <v>847.5</v>
      </c>
      <c r="H32" s="1">
        <v>4.59</v>
      </c>
      <c r="I32" s="2">
        <v>96</v>
      </c>
      <c r="J32" s="2">
        <v>6978</v>
      </c>
      <c r="K32" s="288">
        <v>393.2</v>
      </c>
      <c r="L32" s="1">
        <v>5.63</v>
      </c>
      <c r="M32" s="2">
        <v>5</v>
      </c>
      <c r="N32" s="2">
        <v>13143</v>
      </c>
      <c r="O32" s="288">
        <v>500.6</v>
      </c>
      <c r="P32" s="1">
        <v>3.81</v>
      </c>
      <c r="Q32" s="2">
        <v>0</v>
      </c>
      <c r="R32" s="2">
        <v>0</v>
      </c>
      <c r="S32" s="288">
        <v>0</v>
      </c>
      <c r="T32" s="1">
        <v>0</v>
      </c>
      <c r="U32" s="2">
        <v>1306</v>
      </c>
      <c r="V32" s="2">
        <v>38567</v>
      </c>
      <c r="W32" s="288">
        <v>1741.3</v>
      </c>
      <c r="X32" s="1">
        <v>4.51</v>
      </c>
      <c r="Z32" t="b">
        <f t="shared" si="0"/>
        <v>1</v>
      </c>
      <c r="AA32" s="27" t="s">
        <v>445</v>
      </c>
    </row>
    <row r="33" spans="1:27" x14ac:dyDescent="0.2">
      <c r="A33" s="27" t="str">
        <f>B33&amp;" - "&amp;C33</f>
        <v>City of Idaho Falls - ID</v>
      </c>
      <c r="B33" s="291" t="s">
        <v>70</v>
      </c>
      <c r="C33" s="287" t="s">
        <v>19</v>
      </c>
      <c r="D33" s="287" t="s">
        <v>310</v>
      </c>
      <c r="E33" s="2">
        <v>22339</v>
      </c>
      <c r="F33" s="2">
        <v>296989</v>
      </c>
      <c r="G33" s="288">
        <v>18692</v>
      </c>
      <c r="H33" s="1">
        <v>6.29</v>
      </c>
      <c r="I33" s="2">
        <v>3689</v>
      </c>
      <c r="J33" s="2">
        <v>310392</v>
      </c>
      <c r="K33" s="288">
        <v>19379</v>
      </c>
      <c r="L33" s="1">
        <v>6.24</v>
      </c>
      <c r="M33" s="2">
        <v>7</v>
      </c>
      <c r="N33" s="2">
        <v>87933</v>
      </c>
      <c r="O33" s="288">
        <v>4297</v>
      </c>
      <c r="P33" s="1">
        <v>4.8899999999999997</v>
      </c>
      <c r="Q33" s="2">
        <v>0</v>
      </c>
      <c r="R33" s="2">
        <v>0</v>
      </c>
      <c r="S33" s="288">
        <v>0</v>
      </c>
      <c r="T33" s="1">
        <v>0</v>
      </c>
      <c r="U33" s="2">
        <v>26035</v>
      </c>
      <c r="V33" s="2">
        <v>695314</v>
      </c>
      <c r="W33" s="288">
        <v>42368</v>
      </c>
      <c r="X33" s="1">
        <v>6.09</v>
      </c>
      <c r="Z33" t="b">
        <f t="shared" si="0"/>
        <v>1</v>
      </c>
      <c r="AA33" s="27" t="s">
        <v>446</v>
      </c>
    </row>
    <row r="34" spans="1:27" x14ac:dyDescent="0.2">
      <c r="A34" s="1" t="s">
        <v>329</v>
      </c>
      <c r="B34" s="286" t="s">
        <v>83</v>
      </c>
      <c r="C34" s="287" t="s">
        <v>14</v>
      </c>
      <c r="D34" s="287" t="s">
        <v>310</v>
      </c>
      <c r="E34" s="2">
        <v>967</v>
      </c>
      <c r="F34" s="2">
        <v>16490</v>
      </c>
      <c r="G34" s="288">
        <v>1166.2</v>
      </c>
      <c r="H34" s="1">
        <v>7.07</v>
      </c>
      <c r="I34" s="2">
        <v>66</v>
      </c>
      <c r="J34" s="2">
        <v>2505</v>
      </c>
      <c r="K34" s="288">
        <v>177.5</v>
      </c>
      <c r="L34" s="1">
        <v>7.09</v>
      </c>
      <c r="M34" s="2">
        <v>2</v>
      </c>
      <c r="N34" s="2">
        <v>11838</v>
      </c>
      <c r="O34" s="288">
        <v>723.4</v>
      </c>
      <c r="P34" s="1">
        <v>6.11</v>
      </c>
      <c r="Q34" s="2">
        <v>0</v>
      </c>
      <c r="R34" s="2">
        <v>0</v>
      </c>
      <c r="S34" s="288">
        <v>0</v>
      </c>
      <c r="T34" s="1">
        <v>0</v>
      </c>
      <c r="U34" s="2">
        <v>1035</v>
      </c>
      <c r="V34" s="2">
        <v>30833</v>
      </c>
      <c r="W34" s="288">
        <v>2067.1</v>
      </c>
      <c r="X34" s="1">
        <v>6.7</v>
      </c>
      <c r="Z34" t="b">
        <f t="shared" si="0"/>
        <v>1</v>
      </c>
      <c r="AA34" s="27" t="s">
        <v>329</v>
      </c>
    </row>
    <row r="35" spans="1:27" x14ac:dyDescent="0.2">
      <c r="A35" s="27" t="str">
        <f>B35&amp;" - "&amp;C35</f>
        <v>City of McMinnville - OR</v>
      </c>
      <c r="B35" s="291" t="s">
        <v>84</v>
      </c>
      <c r="C35" s="292" t="s">
        <v>22</v>
      </c>
      <c r="D35" s="287" t="s">
        <v>310</v>
      </c>
      <c r="E35" s="2">
        <v>13439</v>
      </c>
      <c r="F35" s="2">
        <v>201283</v>
      </c>
      <c r="G35" s="288">
        <v>9151</v>
      </c>
      <c r="H35" s="1">
        <v>4.55</v>
      </c>
      <c r="I35" s="2">
        <v>3571</v>
      </c>
      <c r="J35" s="2">
        <v>172938</v>
      </c>
      <c r="K35" s="288">
        <v>9917</v>
      </c>
      <c r="L35" s="1">
        <v>5.73</v>
      </c>
      <c r="M35" s="2">
        <v>65</v>
      </c>
      <c r="N35" s="2">
        <v>351004</v>
      </c>
      <c r="O35" s="288">
        <v>11328</v>
      </c>
      <c r="P35" s="1">
        <v>3.23</v>
      </c>
      <c r="Q35" s="2">
        <v>0</v>
      </c>
      <c r="R35" s="2">
        <v>0</v>
      </c>
      <c r="S35" s="288">
        <v>0</v>
      </c>
      <c r="T35" s="1">
        <v>0</v>
      </c>
      <c r="U35" s="2">
        <v>17075</v>
      </c>
      <c r="V35" s="2">
        <v>725225</v>
      </c>
      <c r="W35" s="288">
        <v>30396</v>
      </c>
      <c r="X35" s="1">
        <v>4.1900000000000004</v>
      </c>
      <c r="Z35" t="b">
        <f t="shared" si="0"/>
        <v>1</v>
      </c>
      <c r="AA35" s="27" t="s">
        <v>447</v>
      </c>
    </row>
    <row r="36" spans="1:27" x14ac:dyDescent="0.2">
      <c r="A36" s="1" t="s">
        <v>330</v>
      </c>
      <c r="B36" s="286" t="s">
        <v>88</v>
      </c>
      <c r="C36" s="287" t="s">
        <v>14</v>
      </c>
      <c r="D36" s="287" t="s">
        <v>310</v>
      </c>
      <c r="E36" s="2">
        <v>3190</v>
      </c>
      <c r="F36" s="2">
        <v>41174</v>
      </c>
      <c r="G36" s="288">
        <v>2689</v>
      </c>
      <c r="H36" s="1">
        <v>6.53</v>
      </c>
      <c r="I36" s="2">
        <v>206</v>
      </c>
      <c r="J36" s="2">
        <v>19077</v>
      </c>
      <c r="K36" s="288">
        <v>1323</v>
      </c>
      <c r="L36" s="1">
        <v>6.94</v>
      </c>
      <c r="M36" s="2">
        <v>0</v>
      </c>
      <c r="N36" s="2">
        <v>0</v>
      </c>
      <c r="O36" s="288">
        <v>0</v>
      </c>
      <c r="P36" s="1">
        <v>0</v>
      </c>
      <c r="Q36" s="2">
        <v>0</v>
      </c>
      <c r="R36" s="2">
        <v>0</v>
      </c>
      <c r="S36" s="288">
        <v>0</v>
      </c>
      <c r="T36" s="1">
        <v>0</v>
      </c>
      <c r="U36" s="2">
        <v>3396</v>
      </c>
      <c r="V36" s="2">
        <v>60251</v>
      </c>
      <c r="W36" s="288">
        <v>4012</v>
      </c>
      <c r="X36" s="1">
        <v>6.66</v>
      </c>
      <c r="Z36" t="b">
        <f t="shared" si="0"/>
        <v>1</v>
      </c>
      <c r="AA36" s="27" t="s">
        <v>330</v>
      </c>
    </row>
    <row r="37" spans="1:27" x14ac:dyDescent="0.2">
      <c r="A37" s="1" t="s">
        <v>331</v>
      </c>
      <c r="B37" s="286" t="s">
        <v>87</v>
      </c>
      <c r="C37" s="287" t="s">
        <v>22</v>
      </c>
      <c r="D37" s="287" t="s">
        <v>310</v>
      </c>
      <c r="E37" s="2">
        <v>3518</v>
      </c>
      <c r="F37" s="2">
        <v>60045</v>
      </c>
      <c r="G37" s="288">
        <v>3333</v>
      </c>
      <c r="H37" s="1">
        <v>5.55</v>
      </c>
      <c r="I37" s="2">
        <v>1052</v>
      </c>
      <c r="J37" s="2">
        <v>15086</v>
      </c>
      <c r="K37" s="288">
        <v>802</v>
      </c>
      <c r="L37" s="1">
        <v>5.32</v>
      </c>
      <c r="M37" s="2">
        <v>336</v>
      </c>
      <c r="N37" s="2">
        <v>28571</v>
      </c>
      <c r="O37" s="288">
        <v>1487</v>
      </c>
      <c r="P37" s="1">
        <v>5.2</v>
      </c>
      <c r="Q37" s="2">
        <v>0</v>
      </c>
      <c r="R37" s="2">
        <v>0</v>
      </c>
      <c r="S37" s="288">
        <v>0</v>
      </c>
      <c r="T37" s="1">
        <v>0</v>
      </c>
      <c r="U37" s="2">
        <v>4906</v>
      </c>
      <c r="V37" s="2">
        <v>103702</v>
      </c>
      <c r="W37" s="288">
        <v>5622</v>
      </c>
      <c r="X37" s="1">
        <v>5.42</v>
      </c>
      <c r="Z37" t="b">
        <f t="shared" si="0"/>
        <v>1</v>
      </c>
      <c r="AA37" s="27" t="s">
        <v>331</v>
      </c>
    </row>
    <row r="38" spans="1:27" x14ac:dyDescent="0.2">
      <c r="A38" s="1" t="s">
        <v>332</v>
      </c>
      <c r="B38" s="286" t="s">
        <v>86</v>
      </c>
      <c r="C38" s="287" t="s">
        <v>19</v>
      </c>
      <c r="D38" s="287" t="s">
        <v>310</v>
      </c>
      <c r="E38" s="2">
        <v>46</v>
      </c>
      <c r="F38" s="2">
        <v>772</v>
      </c>
      <c r="G38" s="288">
        <v>55</v>
      </c>
      <c r="H38" s="1">
        <v>7.12</v>
      </c>
      <c r="I38" s="2">
        <v>2</v>
      </c>
      <c r="J38" s="2">
        <v>24</v>
      </c>
      <c r="K38" s="288">
        <v>2</v>
      </c>
      <c r="L38" s="1">
        <v>8.33</v>
      </c>
      <c r="M38" s="2">
        <v>0</v>
      </c>
      <c r="N38" s="2">
        <v>0</v>
      </c>
      <c r="O38" s="288">
        <v>0</v>
      </c>
      <c r="P38" s="1">
        <v>0</v>
      </c>
      <c r="Q38" s="2">
        <v>0</v>
      </c>
      <c r="R38" s="2">
        <v>0</v>
      </c>
      <c r="S38" s="288">
        <v>0</v>
      </c>
      <c r="T38" s="1">
        <v>0</v>
      </c>
      <c r="U38" s="2">
        <v>48</v>
      </c>
      <c r="V38" s="2">
        <v>796</v>
      </c>
      <c r="W38" s="288">
        <v>57</v>
      </c>
      <c r="X38" s="1">
        <v>7.16</v>
      </c>
      <c r="Z38" t="b">
        <f t="shared" si="0"/>
        <v>1</v>
      </c>
      <c r="AA38" s="27" t="s">
        <v>332</v>
      </c>
    </row>
    <row r="39" spans="1:27" x14ac:dyDescent="0.2">
      <c r="A39" s="1" t="s">
        <v>333</v>
      </c>
      <c r="B39" s="286" t="s">
        <v>91</v>
      </c>
      <c r="C39" s="287" t="s">
        <v>22</v>
      </c>
      <c r="D39" s="287" t="s">
        <v>310</v>
      </c>
      <c r="E39" s="2">
        <v>3892</v>
      </c>
      <c r="F39" s="2">
        <v>43126</v>
      </c>
      <c r="G39" s="288">
        <v>3732</v>
      </c>
      <c r="H39" s="1">
        <v>8.65</v>
      </c>
      <c r="I39" s="2">
        <v>213</v>
      </c>
      <c r="J39" s="2">
        <v>3849</v>
      </c>
      <c r="K39" s="288">
        <v>330.2</v>
      </c>
      <c r="L39" s="1">
        <v>8.58</v>
      </c>
      <c r="M39" s="2">
        <v>56</v>
      </c>
      <c r="N39" s="2">
        <v>21266</v>
      </c>
      <c r="O39" s="288">
        <v>1624.9</v>
      </c>
      <c r="P39" s="1">
        <v>7.64</v>
      </c>
      <c r="Q39" s="2">
        <v>0</v>
      </c>
      <c r="R39" s="2">
        <v>0</v>
      </c>
      <c r="S39" s="288">
        <v>0</v>
      </c>
      <c r="T39" s="1">
        <v>0</v>
      </c>
      <c r="U39" s="2">
        <v>4161</v>
      </c>
      <c r="V39" s="2">
        <v>68241</v>
      </c>
      <c r="W39" s="288">
        <v>5687.1</v>
      </c>
      <c r="X39" s="1">
        <v>8.33</v>
      </c>
      <c r="Z39" t="b">
        <f t="shared" si="0"/>
        <v>1</v>
      </c>
      <c r="AA39" s="27" t="s">
        <v>333</v>
      </c>
    </row>
    <row r="40" spans="1:27" x14ac:dyDescent="0.2">
      <c r="A40" s="1" t="s">
        <v>334</v>
      </c>
      <c r="B40" s="286" t="s">
        <v>110</v>
      </c>
      <c r="C40" s="287" t="s">
        <v>19</v>
      </c>
      <c r="D40" s="287" t="s">
        <v>310</v>
      </c>
      <c r="E40" s="2">
        <v>776</v>
      </c>
      <c r="F40" s="2">
        <v>9370</v>
      </c>
      <c r="G40" s="288">
        <v>674</v>
      </c>
      <c r="H40" s="1">
        <v>7.19</v>
      </c>
      <c r="I40" s="2">
        <v>155</v>
      </c>
      <c r="J40" s="2">
        <v>7514</v>
      </c>
      <c r="K40" s="288">
        <v>461</v>
      </c>
      <c r="L40" s="1">
        <v>6.14</v>
      </c>
      <c r="M40" s="2">
        <v>4</v>
      </c>
      <c r="N40" s="2">
        <v>14400</v>
      </c>
      <c r="O40" s="288">
        <v>633</v>
      </c>
      <c r="P40" s="1">
        <v>4.4000000000000004</v>
      </c>
      <c r="Q40" s="2">
        <v>0</v>
      </c>
      <c r="R40" s="2">
        <v>0</v>
      </c>
      <c r="S40" s="288">
        <v>0</v>
      </c>
      <c r="T40" s="1">
        <v>0</v>
      </c>
      <c r="U40" s="2">
        <v>935</v>
      </c>
      <c r="V40" s="2">
        <v>31284</v>
      </c>
      <c r="W40" s="288">
        <v>1768</v>
      </c>
      <c r="X40" s="1">
        <v>5.65</v>
      </c>
      <c r="Z40" t="b">
        <f t="shared" si="0"/>
        <v>1</v>
      </c>
      <c r="AA40" s="27" t="s">
        <v>334</v>
      </c>
    </row>
    <row r="41" spans="1:27" x14ac:dyDescent="0.2">
      <c r="A41" s="27" t="str">
        <f>B41&amp;" - "&amp;C41</f>
        <v>City of Port Angeles - WA</v>
      </c>
      <c r="B41" s="291" t="s">
        <v>108</v>
      </c>
      <c r="C41" s="292" t="s">
        <v>14</v>
      </c>
      <c r="D41" s="287" t="s">
        <v>310</v>
      </c>
      <c r="E41" s="2">
        <v>8938</v>
      </c>
      <c r="F41" s="2">
        <v>131455</v>
      </c>
      <c r="G41" s="288">
        <v>8734</v>
      </c>
      <c r="H41" s="1">
        <v>6.64</v>
      </c>
      <c r="I41" s="2">
        <v>1814</v>
      </c>
      <c r="J41" s="2">
        <v>107428</v>
      </c>
      <c r="K41" s="288">
        <v>6410</v>
      </c>
      <c r="L41" s="1">
        <v>5.97</v>
      </c>
      <c r="M41" s="2">
        <v>5</v>
      </c>
      <c r="N41" s="2">
        <v>481029</v>
      </c>
      <c r="O41" s="288">
        <v>15811</v>
      </c>
      <c r="P41" s="1">
        <v>3.29</v>
      </c>
      <c r="Q41" s="2">
        <v>0</v>
      </c>
      <c r="R41" s="2">
        <v>0</v>
      </c>
      <c r="S41" s="288">
        <v>0</v>
      </c>
      <c r="T41" s="1">
        <v>0</v>
      </c>
      <c r="U41" s="2">
        <v>10757</v>
      </c>
      <c r="V41" s="2">
        <v>719912</v>
      </c>
      <c r="W41" s="288">
        <v>30955</v>
      </c>
      <c r="X41" s="1">
        <v>4.3</v>
      </c>
      <c r="Z41" t="b">
        <f t="shared" si="0"/>
        <v>1</v>
      </c>
      <c r="AA41" s="27" t="s">
        <v>448</v>
      </c>
    </row>
    <row r="42" spans="1:27" x14ac:dyDescent="0.2">
      <c r="A42" s="1" t="s">
        <v>335</v>
      </c>
      <c r="B42" s="286" t="s">
        <v>113</v>
      </c>
      <c r="C42" s="287" t="s">
        <v>14</v>
      </c>
      <c r="D42" s="287" t="s">
        <v>310</v>
      </c>
      <c r="E42" s="2">
        <v>21089</v>
      </c>
      <c r="F42" s="2">
        <v>326038</v>
      </c>
      <c r="G42" s="288">
        <v>22484</v>
      </c>
      <c r="H42" s="1">
        <v>6.9</v>
      </c>
      <c r="I42" s="2">
        <v>2908</v>
      </c>
      <c r="J42" s="2">
        <v>342447</v>
      </c>
      <c r="K42" s="288">
        <v>16301</v>
      </c>
      <c r="L42" s="1">
        <v>4.76</v>
      </c>
      <c r="M42" s="2">
        <v>20</v>
      </c>
      <c r="N42" s="2">
        <v>171129</v>
      </c>
      <c r="O42" s="288">
        <v>6930</v>
      </c>
      <c r="P42" s="1">
        <v>4.05</v>
      </c>
      <c r="Q42" s="2">
        <v>0</v>
      </c>
      <c r="R42" s="2">
        <v>0</v>
      </c>
      <c r="S42" s="288">
        <v>0</v>
      </c>
      <c r="T42" s="1">
        <v>0</v>
      </c>
      <c r="U42" s="2">
        <v>24017</v>
      </c>
      <c r="V42" s="2">
        <v>839614</v>
      </c>
      <c r="W42" s="288">
        <v>45715</v>
      </c>
      <c r="X42" s="1">
        <v>5.44</v>
      </c>
      <c r="Z42" t="b">
        <f t="shared" si="0"/>
        <v>1</v>
      </c>
      <c r="AA42" s="27" t="s">
        <v>335</v>
      </c>
    </row>
    <row r="43" spans="1:27" x14ac:dyDescent="0.2">
      <c r="A43" s="27" t="str">
        <f>B43&amp;" - "&amp;C43</f>
        <v>City of Rupert - ID</v>
      </c>
      <c r="B43" s="291" t="s">
        <v>114</v>
      </c>
      <c r="C43" s="292" t="s">
        <v>19</v>
      </c>
      <c r="D43" s="287" t="s">
        <v>310</v>
      </c>
      <c r="E43" s="2">
        <v>2789</v>
      </c>
      <c r="F43" s="2">
        <v>35457</v>
      </c>
      <c r="G43" s="288">
        <v>2032</v>
      </c>
      <c r="H43" s="1">
        <v>5.73</v>
      </c>
      <c r="I43" s="2">
        <v>337</v>
      </c>
      <c r="J43" s="2">
        <v>25980</v>
      </c>
      <c r="K43" s="288">
        <v>909</v>
      </c>
      <c r="L43" s="1">
        <v>3.5</v>
      </c>
      <c r="M43" s="2">
        <v>1</v>
      </c>
      <c r="N43" s="2">
        <v>10609</v>
      </c>
      <c r="O43" s="288">
        <v>416</v>
      </c>
      <c r="P43" s="1">
        <v>3.92</v>
      </c>
      <c r="Q43" s="2">
        <v>0</v>
      </c>
      <c r="R43" s="2">
        <v>0</v>
      </c>
      <c r="S43" s="288">
        <v>0</v>
      </c>
      <c r="T43" s="1">
        <v>0</v>
      </c>
      <c r="U43" s="2">
        <v>3127</v>
      </c>
      <c r="V43" s="2">
        <v>72046</v>
      </c>
      <c r="W43" s="288">
        <v>3357</v>
      </c>
      <c r="X43" s="1">
        <v>4.66</v>
      </c>
      <c r="Z43" t="b">
        <f t="shared" si="0"/>
        <v>1</v>
      </c>
      <c r="AA43" s="27" t="s">
        <v>449</v>
      </c>
    </row>
    <row r="44" spans="1:27" x14ac:dyDescent="0.2">
      <c r="A44" s="27" t="str">
        <f>B44&amp;" - "&amp;C44</f>
        <v>City of Salem - OR</v>
      </c>
      <c r="B44" s="291" t="s">
        <v>116</v>
      </c>
      <c r="C44" s="292" t="s">
        <v>22</v>
      </c>
      <c r="D44" s="287" t="s">
        <v>300</v>
      </c>
      <c r="E44" s="2">
        <v>16454</v>
      </c>
      <c r="F44" s="2">
        <v>182615</v>
      </c>
      <c r="G44" s="288">
        <v>13550</v>
      </c>
      <c r="H44" s="1">
        <v>7.42</v>
      </c>
      <c r="I44" s="2">
        <v>2053</v>
      </c>
      <c r="J44" s="2">
        <v>104642</v>
      </c>
      <c r="K44" s="288">
        <v>7153</v>
      </c>
      <c r="L44" s="1">
        <v>6.84</v>
      </c>
      <c r="M44" s="2">
        <v>9</v>
      </c>
      <c r="N44" s="2">
        <v>22966</v>
      </c>
      <c r="O44" s="288">
        <v>1467</v>
      </c>
      <c r="P44" s="1">
        <v>6.39</v>
      </c>
      <c r="Q44" s="2">
        <v>0</v>
      </c>
      <c r="R44" s="2">
        <v>0</v>
      </c>
      <c r="S44" s="288">
        <v>0</v>
      </c>
      <c r="T44" s="1">
        <v>0</v>
      </c>
      <c r="U44" s="2">
        <v>18516</v>
      </c>
      <c r="V44" s="2">
        <v>310223</v>
      </c>
      <c r="W44" s="288">
        <v>22170</v>
      </c>
      <c r="X44" s="1">
        <v>7.15</v>
      </c>
      <c r="Z44" t="b">
        <f t="shared" si="0"/>
        <v>1</v>
      </c>
      <c r="AA44" s="27" t="s">
        <v>450</v>
      </c>
    </row>
    <row r="45" spans="1:27" x14ac:dyDescent="0.2">
      <c r="A45" s="27" t="str">
        <f>B45&amp;" - "&amp;C45</f>
        <v>City of Seattle - WA</v>
      </c>
      <c r="B45" s="291" t="s">
        <v>118</v>
      </c>
      <c r="C45" s="292" t="s">
        <v>14</v>
      </c>
      <c r="D45" s="287" t="s">
        <v>310</v>
      </c>
      <c r="E45" s="2">
        <v>359116</v>
      </c>
      <c r="F45" s="2">
        <v>3094576</v>
      </c>
      <c r="G45" s="288">
        <v>223660</v>
      </c>
      <c r="H45" s="1">
        <v>7.23</v>
      </c>
      <c r="I45" s="2">
        <v>39521</v>
      </c>
      <c r="J45" s="2">
        <v>5084754</v>
      </c>
      <c r="K45" s="288">
        <v>334465</v>
      </c>
      <c r="L45" s="1">
        <v>6.58</v>
      </c>
      <c r="M45" s="2">
        <v>217</v>
      </c>
      <c r="N45" s="2">
        <v>1204764</v>
      </c>
      <c r="O45" s="288">
        <v>66024</v>
      </c>
      <c r="P45" s="1">
        <v>5.48</v>
      </c>
      <c r="Q45" s="2">
        <v>4</v>
      </c>
      <c r="R45" s="2">
        <v>642</v>
      </c>
      <c r="S45" s="288">
        <v>45</v>
      </c>
      <c r="T45" s="1">
        <v>7.01</v>
      </c>
      <c r="U45" s="2">
        <v>398858</v>
      </c>
      <c r="V45" s="2">
        <v>9384736</v>
      </c>
      <c r="W45" s="288">
        <v>624194</v>
      </c>
      <c r="X45" s="1">
        <v>6.65</v>
      </c>
      <c r="Z45" t="b">
        <f t="shared" si="0"/>
        <v>1</v>
      </c>
      <c r="AA45" s="27" t="s">
        <v>451</v>
      </c>
    </row>
    <row r="46" spans="1:27" x14ac:dyDescent="0.2">
      <c r="A46" s="1" t="s">
        <v>336</v>
      </c>
      <c r="B46" s="286" t="s">
        <v>121</v>
      </c>
      <c r="C46" s="287" t="s">
        <v>19</v>
      </c>
      <c r="D46" s="287" t="s">
        <v>310</v>
      </c>
      <c r="E46" s="2">
        <v>1436</v>
      </c>
      <c r="F46" s="2">
        <v>12286</v>
      </c>
      <c r="G46" s="288">
        <v>1032.0999999999999</v>
      </c>
      <c r="H46" s="1">
        <v>8.4</v>
      </c>
      <c r="I46" s="2">
        <v>322</v>
      </c>
      <c r="J46" s="2">
        <v>11874</v>
      </c>
      <c r="K46" s="288">
        <v>856.3</v>
      </c>
      <c r="L46" s="1">
        <v>7.21</v>
      </c>
      <c r="M46" s="2">
        <v>9</v>
      </c>
      <c r="N46" s="2">
        <v>420</v>
      </c>
      <c r="O46" s="288">
        <v>40.6</v>
      </c>
      <c r="P46" s="1">
        <v>9.67</v>
      </c>
      <c r="Q46" s="2">
        <v>0</v>
      </c>
      <c r="R46" s="2">
        <v>0</v>
      </c>
      <c r="S46" s="288">
        <v>0</v>
      </c>
      <c r="T46" s="1">
        <v>0</v>
      </c>
      <c r="U46" s="2">
        <v>1767</v>
      </c>
      <c r="V46" s="2">
        <v>24580</v>
      </c>
      <c r="W46" s="288">
        <v>1929</v>
      </c>
      <c r="X46" s="1">
        <v>7.85</v>
      </c>
      <c r="Z46" t="b">
        <f t="shared" si="0"/>
        <v>1</v>
      </c>
      <c r="AA46" s="27" t="s">
        <v>336</v>
      </c>
    </row>
    <row r="47" spans="1:27" x14ac:dyDescent="0.2">
      <c r="A47" s="1" t="s">
        <v>337</v>
      </c>
      <c r="B47" s="286" t="s">
        <v>123</v>
      </c>
      <c r="C47" s="287" t="s">
        <v>22</v>
      </c>
      <c r="D47" s="287" t="s">
        <v>310</v>
      </c>
      <c r="E47" s="2">
        <v>27640</v>
      </c>
      <c r="F47" s="2">
        <v>385240</v>
      </c>
      <c r="G47" s="288">
        <v>20823</v>
      </c>
      <c r="H47" s="1">
        <v>5.41</v>
      </c>
      <c r="I47" s="2">
        <v>3847</v>
      </c>
      <c r="J47" s="2">
        <v>258683</v>
      </c>
      <c r="K47" s="288">
        <v>13553</v>
      </c>
      <c r="L47" s="1">
        <v>5.24</v>
      </c>
      <c r="M47" s="2">
        <v>15</v>
      </c>
      <c r="N47" s="2">
        <v>164159</v>
      </c>
      <c r="O47" s="288">
        <v>7789</v>
      </c>
      <c r="P47" s="1">
        <v>4.74</v>
      </c>
      <c r="Q47" s="2">
        <v>0</v>
      </c>
      <c r="R47" s="2">
        <v>0</v>
      </c>
      <c r="S47" s="288">
        <v>0</v>
      </c>
      <c r="T47" s="1">
        <v>0</v>
      </c>
      <c r="U47" s="2">
        <v>31502</v>
      </c>
      <c r="V47" s="2">
        <v>808082</v>
      </c>
      <c r="W47" s="288">
        <v>42165</v>
      </c>
      <c r="X47" s="1">
        <v>5.22</v>
      </c>
      <c r="Z47" t="b">
        <f t="shared" si="0"/>
        <v>1</v>
      </c>
      <c r="AA47" s="27" t="s">
        <v>337</v>
      </c>
    </row>
    <row r="48" spans="1:27" x14ac:dyDescent="0.2">
      <c r="A48" s="1" t="s">
        <v>338</v>
      </c>
      <c r="B48" s="286" t="s">
        <v>126</v>
      </c>
      <c r="C48" s="287" t="s">
        <v>14</v>
      </c>
      <c r="D48" s="287" t="s">
        <v>310</v>
      </c>
      <c r="E48" s="2">
        <v>537</v>
      </c>
      <c r="F48" s="2">
        <v>4846</v>
      </c>
      <c r="G48" s="288">
        <v>331</v>
      </c>
      <c r="H48" s="1">
        <v>6.83</v>
      </c>
      <c r="I48" s="2">
        <v>131</v>
      </c>
      <c r="J48" s="2">
        <v>5068</v>
      </c>
      <c r="K48" s="288">
        <v>309</v>
      </c>
      <c r="L48" s="1">
        <v>6.1</v>
      </c>
      <c r="M48" s="2">
        <v>16</v>
      </c>
      <c r="N48" s="2">
        <v>19939</v>
      </c>
      <c r="O48" s="288">
        <v>1197</v>
      </c>
      <c r="P48" s="1">
        <v>6</v>
      </c>
      <c r="Q48" s="2">
        <v>0</v>
      </c>
      <c r="R48" s="2">
        <v>0</v>
      </c>
      <c r="S48" s="288">
        <v>0</v>
      </c>
      <c r="T48" s="1">
        <v>0</v>
      </c>
      <c r="U48" s="2">
        <v>684</v>
      </c>
      <c r="V48" s="2">
        <v>29853</v>
      </c>
      <c r="W48" s="288">
        <v>1837</v>
      </c>
      <c r="X48" s="1">
        <v>6.15</v>
      </c>
      <c r="Z48" t="b">
        <f t="shared" si="0"/>
        <v>1</v>
      </c>
      <c r="AA48" s="27" t="s">
        <v>338</v>
      </c>
    </row>
    <row r="49" spans="1:27" x14ac:dyDescent="0.2">
      <c r="A49" s="27" t="str">
        <f>B49&amp;" - "&amp;C49</f>
        <v>City of Tacoma - WA</v>
      </c>
      <c r="B49" s="291" t="s">
        <v>127</v>
      </c>
      <c r="C49" s="292" t="s">
        <v>14</v>
      </c>
      <c r="D49" s="287" t="s">
        <v>310</v>
      </c>
      <c r="E49" s="2">
        <v>150614</v>
      </c>
      <c r="F49" s="2">
        <v>1886814</v>
      </c>
      <c r="G49" s="288">
        <v>127944</v>
      </c>
      <c r="H49" s="1">
        <v>6.78</v>
      </c>
      <c r="I49" s="2">
        <v>15907</v>
      </c>
      <c r="J49" s="2">
        <v>338648</v>
      </c>
      <c r="K49" s="288">
        <v>22207.8</v>
      </c>
      <c r="L49" s="1">
        <v>6.56</v>
      </c>
      <c r="M49" s="2">
        <v>2885</v>
      </c>
      <c r="N49" s="2">
        <v>2485765</v>
      </c>
      <c r="O49" s="288">
        <v>113797.1</v>
      </c>
      <c r="P49" s="1">
        <v>4.58</v>
      </c>
      <c r="Q49" s="2">
        <v>1</v>
      </c>
      <c r="R49" s="2">
        <v>2539</v>
      </c>
      <c r="S49" s="288">
        <v>159.9</v>
      </c>
      <c r="T49" s="1">
        <v>6.3</v>
      </c>
      <c r="U49" s="2">
        <v>169407</v>
      </c>
      <c r="V49" s="2">
        <v>4713766</v>
      </c>
      <c r="W49" s="288">
        <v>264108.79999999999</v>
      </c>
      <c r="X49" s="1">
        <v>5.6</v>
      </c>
      <c r="Z49" t="b">
        <f t="shared" si="0"/>
        <v>1</v>
      </c>
      <c r="AA49" s="27" t="s">
        <v>452</v>
      </c>
    </row>
    <row r="50" spans="1:27" x14ac:dyDescent="0.2">
      <c r="A50" s="1" t="s">
        <v>339</v>
      </c>
      <c r="B50" s="286" t="s">
        <v>130</v>
      </c>
      <c r="C50" s="287" t="s">
        <v>56</v>
      </c>
      <c r="D50" s="287" t="s">
        <v>310</v>
      </c>
      <c r="E50" s="2">
        <v>824</v>
      </c>
      <c r="F50" s="2">
        <v>11342</v>
      </c>
      <c r="G50" s="288">
        <v>675</v>
      </c>
      <c r="H50" s="1">
        <v>5.95</v>
      </c>
      <c r="I50" s="2">
        <v>157</v>
      </c>
      <c r="J50" s="2">
        <v>5170</v>
      </c>
      <c r="K50" s="288">
        <v>278</v>
      </c>
      <c r="L50" s="1">
        <v>5.38</v>
      </c>
      <c r="M50" s="2">
        <v>5</v>
      </c>
      <c r="N50" s="2">
        <v>68</v>
      </c>
      <c r="O50" s="288">
        <v>6</v>
      </c>
      <c r="P50" s="1">
        <v>8.82</v>
      </c>
      <c r="Q50" s="2">
        <v>0</v>
      </c>
      <c r="R50" s="2">
        <v>0</v>
      </c>
      <c r="S50" s="288">
        <v>0</v>
      </c>
      <c r="T50" s="1">
        <v>0</v>
      </c>
      <c r="U50" s="2">
        <v>986</v>
      </c>
      <c r="V50" s="2">
        <v>16580</v>
      </c>
      <c r="W50" s="288">
        <v>959</v>
      </c>
      <c r="X50" s="1">
        <v>5.78</v>
      </c>
      <c r="Z50" t="b">
        <f t="shared" si="0"/>
        <v>1</v>
      </c>
      <c r="AA50" s="27" t="s">
        <v>339</v>
      </c>
    </row>
    <row r="51" spans="1:27" x14ac:dyDescent="0.2">
      <c r="A51" s="1" t="s">
        <v>340</v>
      </c>
      <c r="B51" s="286" t="s">
        <v>137</v>
      </c>
      <c r="C51" s="287" t="s">
        <v>19</v>
      </c>
      <c r="D51" s="287" t="s">
        <v>310</v>
      </c>
      <c r="E51" s="2">
        <v>2406</v>
      </c>
      <c r="F51" s="2">
        <v>24989</v>
      </c>
      <c r="G51" s="288">
        <v>1529.2</v>
      </c>
      <c r="H51" s="1">
        <v>6.12</v>
      </c>
      <c r="I51" s="2">
        <v>335</v>
      </c>
      <c r="J51" s="2">
        <v>14673</v>
      </c>
      <c r="K51" s="288">
        <v>726.6</v>
      </c>
      <c r="L51" s="1">
        <v>4.95</v>
      </c>
      <c r="M51" s="2">
        <v>1</v>
      </c>
      <c r="N51" s="2">
        <v>8619</v>
      </c>
      <c r="O51" s="288">
        <v>325.39999999999998</v>
      </c>
      <c r="P51" s="1">
        <v>3.78</v>
      </c>
      <c r="Q51" s="2">
        <v>0</v>
      </c>
      <c r="R51" s="2">
        <v>0</v>
      </c>
      <c r="S51" s="288">
        <v>0</v>
      </c>
      <c r="T51" s="1">
        <v>0</v>
      </c>
      <c r="U51" s="2">
        <v>2742</v>
      </c>
      <c r="V51" s="2">
        <v>48281</v>
      </c>
      <c r="W51" s="288">
        <v>2581.1999999999998</v>
      </c>
      <c r="X51" s="1">
        <v>5.35</v>
      </c>
      <c r="Z51" t="b">
        <f t="shared" si="0"/>
        <v>1</v>
      </c>
      <c r="AA51" s="27" t="s">
        <v>340</v>
      </c>
    </row>
    <row r="52" spans="1:27" x14ac:dyDescent="0.2">
      <c r="A52" s="1" t="s">
        <v>341</v>
      </c>
      <c r="B52" s="286" t="s">
        <v>144</v>
      </c>
      <c r="C52" s="287" t="s">
        <v>22</v>
      </c>
      <c r="D52" s="287" t="s">
        <v>310</v>
      </c>
      <c r="E52" s="2">
        <v>4039</v>
      </c>
      <c r="F52" s="2">
        <v>72174</v>
      </c>
      <c r="G52" s="288">
        <v>3256</v>
      </c>
      <c r="H52" s="1">
        <v>4.51</v>
      </c>
      <c r="I52" s="2">
        <v>568</v>
      </c>
      <c r="J52" s="2">
        <v>25182</v>
      </c>
      <c r="K52" s="288">
        <v>1218</v>
      </c>
      <c r="L52" s="1">
        <v>4.84</v>
      </c>
      <c r="M52" s="2">
        <v>4</v>
      </c>
      <c r="N52" s="2">
        <v>856652</v>
      </c>
      <c r="O52" s="288">
        <v>38459</v>
      </c>
      <c r="P52" s="1">
        <v>4.49</v>
      </c>
      <c r="Q52" s="2">
        <v>0</v>
      </c>
      <c r="R52" s="2">
        <v>0</v>
      </c>
      <c r="S52" s="288">
        <v>0</v>
      </c>
      <c r="T52" s="1">
        <v>0</v>
      </c>
      <c r="U52" s="2">
        <v>4611</v>
      </c>
      <c r="V52" s="2">
        <v>954008</v>
      </c>
      <c r="W52" s="288">
        <v>42933</v>
      </c>
      <c r="X52" s="1">
        <v>4.5</v>
      </c>
      <c r="Z52" t="b">
        <f t="shared" si="0"/>
        <v>1</v>
      </c>
      <c r="AA52" s="27" t="s">
        <v>341</v>
      </c>
    </row>
    <row r="53" spans="1:27" x14ac:dyDescent="0.2">
      <c r="A53" s="1" t="s">
        <v>342</v>
      </c>
      <c r="B53" s="286" t="s">
        <v>38</v>
      </c>
      <c r="C53" s="287" t="s">
        <v>19</v>
      </c>
      <c r="D53" s="287" t="s">
        <v>300</v>
      </c>
      <c r="E53" s="2">
        <v>8562</v>
      </c>
      <c r="F53" s="2">
        <v>114343</v>
      </c>
      <c r="G53" s="288">
        <v>11469</v>
      </c>
      <c r="H53" s="1">
        <v>10.029999999999999</v>
      </c>
      <c r="I53" s="2">
        <v>748</v>
      </c>
      <c r="J53" s="2">
        <v>25474</v>
      </c>
      <c r="K53" s="288">
        <v>2032</v>
      </c>
      <c r="L53" s="1">
        <v>7.98</v>
      </c>
      <c r="M53" s="2">
        <v>5</v>
      </c>
      <c r="N53" s="2">
        <v>21491</v>
      </c>
      <c r="O53" s="288">
        <v>1070</v>
      </c>
      <c r="P53" s="1">
        <v>4.9800000000000004</v>
      </c>
      <c r="Q53" s="2">
        <v>0</v>
      </c>
      <c r="R53" s="2">
        <v>0</v>
      </c>
      <c r="S53" s="288">
        <v>0</v>
      </c>
      <c r="T53" s="1">
        <v>0</v>
      </c>
      <c r="U53" s="2">
        <v>9315</v>
      </c>
      <c r="V53" s="2">
        <v>161308</v>
      </c>
      <c r="W53" s="288">
        <v>14571</v>
      </c>
      <c r="X53" s="1">
        <v>9.0299999999999994</v>
      </c>
      <c r="Z53" t="b">
        <f t="shared" si="0"/>
        <v>1</v>
      </c>
      <c r="AA53" s="27" t="s">
        <v>342</v>
      </c>
    </row>
    <row r="54" spans="1:27" x14ac:dyDescent="0.2">
      <c r="A54" s="1" t="s">
        <v>343</v>
      </c>
      <c r="B54" s="286" t="s">
        <v>38</v>
      </c>
      <c r="C54" s="287" t="s">
        <v>22</v>
      </c>
      <c r="D54" s="287" t="s">
        <v>300</v>
      </c>
      <c r="E54" s="2">
        <v>136</v>
      </c>
      <c r="F54" s="2">
        <v>1458</v>
      </c>
      <c r="G54" s="288">
        <v>147</v>
      </c>
      <c r="H54" s="1">
        <v>10.08</v>
      </c>
      <c r="I54" s="2">
        <v>21</v>
      </c>
      <c r="J54" s="2">
        <v>241</v>
      </c>
      <c r="K54" s="288">
        <v>24</v>
      </c>
      <c r="L54" s="1">
        <v>9.9600000000000009</v>
      </c>
      <c r="M54" s="2">
        <v>0</v>
      </c>
      <c r="N54" s="2">
        <v>0</v>
      </c>
      <c r="O54" s="288">
        <v>0</v>
      </c>
      <c r="P54" s="1">
        <v>0</v>
      </c>
      <c r="Q54" s="2">
        <v>0</v>
      </c>
      <c r="R54" s="2">
        <v>0</v>
      </c>
      <c r="S54" s="288">
        <v>0</v>
      </c>
      <c r="T54" s="1">
        <v>0</v>
      </c>
      <c r="U54" s="2">
        <v>157</v>
      </c>
      <c r="V54" s="2">
        <v>1699</v>
      </c>
      <c r="W54" s="288">
        <v>171</v>
      </c>
      <c r="X54" s="1">
        <v>10.06</v>
      </c>
      <c r="Z54" t="b">
        <f t="shared" si="0"/>
        <v>1</v>
      </c>
      <c r="AA54" s="27" t="s">
        <v>343</v>
      </c>
    </row>
    <row r="55" spans="1:27" x14ac:dyDescent="0.2">
      <c r="A55" s="1" t="s">
        <v>344</v>
      </c>
      <c r="B55" s="286" t="s">
        <v>38</v>
      </c>
      <c r="C55" s="287" t="s">
        <v>14</v>
      </c>
      <c r="D55" s="287" t="s">
        <v>300</v>
      </c>
      <c r="E55" s="2">
        <v>811</v>
      </c>
      <c r="F55" s="2">
        <v>9491</v>
      </c>
      <c r="G55" s="288">
        <v>968</v>
      </c>
      <c r="H55" s="1">
        <v>10.199999999999999</v>
      </c>
      <c r="I55" s="2">
        <v>134</v>
      </c>
      <c r="J55" s="2">
        <v>2788</v>
      </c>
      <c r="K55" s="288">
        <v>242</v>
      </c>
      <c r="L55" s="1">
        <v>8.68</v>
      </c>
      <c r="M55" s="2">
        <v>1</v>
      </c>
      <c r="N55" s="2">
        <v>1221</v>
      </c>
      <c r="O55" s="288">
        <v>51</v>
      </c>
      <c r="P55" s="1">
        <v>4.18</v>
      </c>
      <c r="Q55" s="2">
        <v>0</v>
      </c>
      <c r="R55" s="2">
        <v>0</v>
      </c>
      <c r="S55" s="288">
        <v>0</v>
      </c>
      <c r="T55" s="1">
        <v>0</v>
      </c>
      <c r="U55" s="2">
        <v>946</v>
      </c>
      <c r="V55" s="2">
        <v>13500</v>
      </c>
      <c r="W55" s="288">
        <v>1261</v>
      </c>
      <c r="X55" s="1">
        <v>9.34</v>
      </c>
      <c r="Z55" t="b">
        <f t="shared" si="0"/>
        <v>1</v>
      </c>
      <c r="AA55" s="27" t="s">
        <v>344</v>
      </c>
    </row>
    <row r="56" spans="1:27" x14ac:dyDescent="0.2">
      <c r="A56" s="1" t="s">
        <v>345</v>
      </c>
      <c r="B56" s="286" t="s">
        <v>39</v>
      </c>
      <c r="C56" s="287" t="s">
        <v>22</v>
      </c>
      <c r="D56" s="287" t="s">
        <v>300</v>
      </c>
      <c r="E56" s="2">
        <v>3092</v>
      </c>
      <c r="F56" s="2">
        <v>38360</v>
      </c>
      <c r="G56" s="288">
        <v>3406.3</v>
      </c>
      <c r="H56" s="1">
        <v>8.8800000000000008</v>
      </c>
      <c r="I56" s="2">
        <v>502</v>
      </c>
      <c r="J56" s="2">
        <v>22949</v>
      </c>
      <c r="K56" s="288">
        <v>1618.9</v>
      </c>
      <c r="L56" s="1">
        <v>7.05</v>
      </c>
      <c r="M56" s="2">
        <v>239</v>
      </c>
      <c r="N56" s="2">
        <v>32827</v>
      </c>
      <c r="O56" s="288">
        <v>1724</v>
      </c>
      <c r="P56" s="1">
        <v>5.25</v>
      </c>
      <c r="Q56" s="2">
        <v>0</v>
      </c>
      <c r="R56" s="2">
        <v>0</v>
      </c>
      <c r="S56" s="288">
        <v>0</v>
      </c>
      <c r="T56" s="1">
        <v>0</v>
      </c>
      <c r="U56" s="2">
        <v>3833</v>
      </c>
      <c r="V56" s="2">
        <v>94136</v>
      </c>
      <c r="W56" s="288">
        <v>6749.2</v>
      </c>
      <c r="X56" s="1">
        <v>7.17</v>
      </c>
      <c r="Z56" t="b">
        <f t="shared" si="0"/>
        <v>1</v>
      </c>
      <c r="AA56" s="27" t="s">
        <v>345</v>
      </c>
    </row>
    <row r="57" spans="1:27" x14ac:dyDescent="0.2">
      <c r="A57" s="1" t="s">
        <v>346</v>
      </c>
      <c r="B57" s="286" t="s">
        <v>40</v>
      </c>
      <c r="C57" s="287" t="s">
        <v>22</v>
      </c>
      <c r="D57" s="287" t="s">
        <v>300</v>
      </c>
      <c r="E57" s="2">
        <v>1324</v>
      </c>
      <c r="F57" s="2">
        <v>13974</v>
      </c>
      <c r="G57" s="288">
        <v>1280</v>
      </c>
      <c r="H57" s="1">
        <v>9.16</v>
      </c>
      <c r="I57" s="2">
        <v>246</v>
      </c>
      <c r="J57" s="2">
        <v>5334</v>
      </c>
      <c r="K57" s="288">
        <v>425</v>
      </c>
      <c r="L57" s="1">
        <v>7.97</v>
      </c>
      <c r="M57" s="2">
        <v>249</v>
      </c>
      <c r="N57" s="2">
        <v>4633</v>
      </c>
      <c r="O57" s="288">
        <v>323</v>
      </c>
      <c r="P57" s="1">
        <v>6.97</v>
      </c>
      <c r="Q57" s="2">
        <v>0</v>
      </c>
      <c r="R57" s="2">
        <v>0</v>
      </c>
      <c r="S57" s="288">
        <v>0</v>
      </c>
      <c r="T57" s="1">
        <v>0</v>
      </c>
      <c r="U57" s="2">
        <v>1819</v>
      </c>
      <c r="V57" s="2">
        <v>23941</v>
      </c>
      <c r="W57" s="288">
        <v>2028</v>
      </c>
      <c r="X57" s="1">
        <v>8.4700000000000006</v>
      </c>
      <c r="Z57" t="b">
        <f t="shared" si="0"/>
        <v>1</v>
      </c>
      <c r="AA57" s="27" t="s">
        <v>346</v>
      </c>
    </row>
    <row r="58" spans="1:27" x14ac:dyDescent="0.2">
      <c r="A58" s="1" t="s">
        <v>347</v>
      </c>
      <c r="B58" s="286" t="s">
        <v>146</v>
      </c>
      <c r="C58" s="287" t="s">
        <v>22</v>
      </c>
      <c r="D58" s="287" t="s">
        <v>310</v>
      </c>
      <c r="E58" s="2">
        <v>16121</v>
      </c>
      <c r="F58" s="2">
        <v>209135</v>
      </c>
      <c r="G58" s="288">
        <v>13538.5</v>
      </c>
      <c r="H58" s="1">
        <v>6.47</v>
      </c>
      <c r="I58" s="2">
        <v>2403</v>
      </c>
      <c r="J58" s="2">
        <v>86352</v>
      </c>
      <c r="K58" s="288">
        <v>5958.6</v>
      </c>
      <c r="L58" s="1">
        <v>6.9</v>
      </c>
      <c r="M58" s="2">
        <v>66</v>
      </c>
      <c r="N58" s="2">
        <v>156510</v>
      </c>
      <c r="O58" s="288">
        <v>6407.9</v>
      </c>
      <c r="P58" s="1">
        <v>4.09</v>
      </c>
      <c r="Q58" s="2">
        <v>0</v>
      </c>
      <c r="R58" s="2">
        <v>0</v>
      </c>
      <c r="S58" s="288">
        <v>0</v>
      </c>
      <c r="T58" s="1">
        <v>0</v>
      </c>
      <c r="U58" s="2">
        <v>18590</v>
      </c>
      <c r="V58" s="2">
        <v>451997</v>
      </c>
      <c r="W58" s="288">
        <v>25905</v>
      </c>
      <c r="X58" s="1">
        <v>5.73</v>
      </c>
      <c r="Z58" t="b">
        <f t="shared" si="0"/>
        <v>1</v>
      </c>
      <c r="AA58" s="27" t="s">
        <v>347</v>
      </c>
    </row>
    <row r="59" spans="1:27" x14ac:dyDescent="0.2">
      <c r="A59" s="1" t="s">
        <v>348</v>
      </c>
      <c r="B59" s="286" t="s">
        <v>41</v>
      </c>
      <c r="C59" s="287" t="s">
        <v>22</v>
      </c>
      <c r="D59" s="287" t="s">
        <v>300</v>
      </c>
      <c r="E59" s="2">
        <v>45</v>
      </c>
      <c r="F59" s="2">
        <v>813</v>
      </c>
      <c r="G59" s="288">
        <v>69</v>
      </c>
      <c r="H59" s="1">
        <v>8.49</v>
      </c>
      <c r="I59" s="2">
        <v>27</v>
      </c>
      <c r="J59" s="2">
        <v>129</v>
      </c>
      <c r="K59" s="288">
        <v>22</v>
      </c>
      <c r="L59" s="1">
        <v>17.05</v>
      </c>
      <c r="M59" s="2">
        <v>67</v>
      </c>
      <c r="N59" s="2">
        <v>4294</v>
      </c>
      <c r="O59" s="288">
        <v>292</v>
      </c>
      <c r="P59" s="1">
        <v>6.8</v>
      </c>
      <c r="Q59" s="2">
        <v>0</v>
      </c>
      <c r="R59" s="2">
        <v>0</v>
      </c>
      <c r="S59" s="288">
        <v>0</v>
      </c>
      <c r="T59" s="1">
        <v>0</v>
      </c>
      <c r="U59" s="2">
        <v>139</v>
      </c>
      <c r="V59" s="2">
        <v>5236</v>
      </c>
      <c r="W59" s="288">
        <v>383</v>
      </c>
      <c r="X59" s="1">
        <v>7.31</v>
      </c>
      <c r="Z59" t="b">
        <f t="shared" si="0"/>
        <v>1</v>
      </c>
      <c r="AA59" s="27" t="s">
        <v>348</v>
      </c>
    </row>
    <row r="60" spans="1:27" x14ac:dyDescent="0.2">
      <c r="A60" s="1" t="s">
        <v>349</v>
      </c>
      <c r="B60" s="286" t="s">
        <v>41</v>
      </c>
      <c r="C60" s="287" t="s">
        <v>14</v>
      </c>
      <c r="D60" s="287" t="s">
        <v>300</v>
      </c>
      <c r="E60" s="2">
        <v>2886</v>
      </c>
      <c r="F60" s="2">
        <v>46380</v>
      </c>
      <c r="G60" s="288">
        <v>4041</v>
      </c>
      <c r="H60" s="1">
        <v>8.7100000000000009</v>
      </c>
      <c r="I60" s="2">
        <v>1155</v>
      </c>
      <c r="J60" s="2">
        <v>32892</v>
      </c>
      <c r="K60" s="288">
        <v>2714</v>
      </c>
      <c r="L60" s="1">
        <v>8.25</v>
      </c>
      <c r="M60" s="2">
        <v>526</v>
      </c>
      <c r="N60" s="2">
        <v>200012</v>
      </c>
      <c r="O60" s="288">
        <v>10734</v>
      </c>
      <c r="P60" s="1">
        <v>5.37</v>
      </c>
      <c r="Q60" s="2">
        <v>0</v>
      </c>
      <c r="R60" s="2">
        <v>0</v>
      </c>
      <c r="S60" s="288">
        <v>0</v>
      </c>
      <c r="T60" s="1">
        <v>0</v>
      </c>
      <c r="U60" s="2">
        <v>4567</v>
      </c>
      <c r="V60" s="2">
        <v>279284</v>
      </c>
      <c r="W60" s="288">
        <v>17489</v>
      </c>
      <c r="X60" s="1">
        <v>6.26</v>
      </c>
      <c r="Z60" t="b">
        <f t="shared" si="0"/>
        <v>1</v>
      </c>
      <c r="AA60" s="27" t="s">
        <v>349</v>
      </c>
    </row>
    <row r="61" spans="1:27" x14ac:dyDescent="0.2">
      <c r="A61" s="1" t="s">
        <v>350</v>
      </c>
      <c r="B61" s="286" t="s">
        <v>45</v>
      </c>
      <c r="C61" s="287" t="s">
        <v>22</v>
      </c>
      <c r="D61" s="287" t="s">
        <v>300</v>
      </c>
      <c r="E61" s="2">
        <v>19387</v>
      </c>
      <c r="F61" s="2">
        <v>264075</v>
      </c>
      <c r="G61" s="288">
        <v>22607</v>
      </c>
      <c r="H61" s="1">
        <v>8.56</v>
      </c>
      <c r="I61" s="2">
        <v>1738</v>
      </c>
      <c r="J61" s="2">
        <v>103366</v>
      </c>
      <c r="K61" s="288">
        <v>7470</v>
      </c>
      <c r="L61" s="1">
        <v>7.23</v>
      </c>
      <c r="M61" s="2">
        <v>574</v>
      </c>
      <c r="N61" s="2">
        <v>16035</v>
      </c>
      <c r="O61" s="288">
        <v>1261</v>
      </c>
      <c r="P61" s="1">
        <v>7.86</v>
      </c>
      <c r="Q61" s="2">
        <v>0</v>
      </c>
      <c r="R61" s="2">
        <v>0</v>
      </c>
      <c r="S61" s="288">
        <v>0</v>
      </c>
      <c r="T61" s="1">
        <v>0</v>
      </c>
      <c r="U61" s="2">
        <v>21699</v>
      </c>
      <c r="V61" s="2">
        <v>383476</v>
      </c>
      <c r="W61" s="288">
        <v>31338</v>
      </c>
      <c r="X61" s="1">
        <v>8.17</v>
      </c>
      <c r="Z61" t="b">
        <f t="shared" si="0"/>
        <v>1</v>
      </c>
      <c r="AA61" s="27" t="s">
        <v>350</v>
      </c>
    </row>
    <row r="62" spans="1:27" x14ac:dyDescent="0.2">
      <c r="A62" s="1" t="s">
        <v>351</v>
      </c>
      <c r="B62" s="286" t="s">
        <v>42</v>
      </c>
      <c r="C62" s="287" t="s">
        <v>22</v>
      </c>
      <c r="D62" s="287" t="s">
        <v>300</v>
      </c>
      <c r="E62" s="2">
        <v>14947</v>
      </c>
      <c r="F62" s="2">
        <v>199760</v>
      </c>
      <c r="G62" s="288">
        <v>17939.2</v>
      </c>
      <c r="H62" s="1">
        <v>8.98</v>
      </c>
      <c r="I62" s="2">
        <v>2015</v>
      </c>
      <c r="J62" s="2">
        <v>95740</v>
      </c>
      <c r="K62" s="288">
        <v>7891.9</v>
      </c>
      <c r="L62" s="1">
        <v>8.24</v>
      </c>
      <c r="M62" s="2">
        <v>431</v>
      </c>
      <c r="N62" s="2">
        <v>42069</v>
      </c>
      <c r="O62" s="288">
        <v>2898.2</v>
      </c>
      <c r="P62" s="1">
        <v>6.89</v>
      </c>
      <c r="Q62" s="2">
        <v>0</v>
      </c>
      <c r="R62" s="2">
        <v>0</v>
      </c>
      <c r="S62" s="288">
        <v>0</v>
      </c>
      <c r="T62" s="1">
        <v>0</v>
      </c>
      <c r="U62" s="2">
        <v>17393</v>
      </c>
      <c r="V62" s="2">
        <v>337569</v>
      </c>
      <c r="W62" s="288">
        <v>28729.3</v>
      </c>
      <c r="X62" s="1">
        <v>8.51</v>
      </c>
      <c r="Z62" t="b">
        <f t="shared" si="0"/>
        <v>1</v>
      </c>
      <c r="AA62" s="27" t="s">
        <v>351</v>
      </c>
    </row>
    <row r="63" spans="1:27" x14ac:dyDescent="0.2">
      <c r="A63" s="1" t="s">
        <v>352</v>
      </c>
      <c r="B63" s="286" t="s">
        <v>47</v>
      </c>
      <c r="C63" s="287" t="s">
        <v>22</v>
      </c>
      <c r="D63" s="287" t="s">
        <v>300</v>
      </c>
      <c r="E63" s="2">
        <v>8967</v>
      </c>
      <c r="F63" s="2">
        <v>119640</v>
      </c>
      <c r="G63" s="288">
        <v>11165</v>
      </c>
      <c r="H63" s="1">
        <v>9.33</v>
      </c>
      <c r="I63" s="2">
        <v>692</v>
      </c>
      <c r="J63" s="2">
        <v>17550</v>
      </c>
      <c r="K63" s="288">
        <v>1630</v>
      </c>
      <c r="L63" s="1">
        <v>9.2899999999999991</v>
      </c>
      <c r="M63" s="2">
        <v>8</v>
      </c>
      <c r="N63" s="2">
        <v>8353</v>
      </c>
      <c r="O63" s="288">
        <v>680</v>
      </c>
      <c r="P63" s="1">
        <v>8.14</v>
      </c>
      <c r="Q63" s="2">
        <v>0</v>
      </c>
      <c r="R63" s="2">
        <v>0</v>
      </c>
      <c r="S63" s="288">
        <v>0</v>
      </c>
      <c r="T63" s="1">
        <v>0</v>
      </c>
      <c r="U63" s="2">
        <v>9667</v>
      </c>
      <c r="V63" s="2">
        <v>145543</v>
      </c>
      <c r="W63" s="288">
        <v>13475</v>
      </c>
      <c r="X63" s="1">
        <v>9.26</v>
      </c>
      <c r="Z63" t="b">
        <f t="shared" si="0"/>
        <v>1</v>
      </c>
      <c r="AA63" s="27" t="s">
        <v>352</v>
      </c>
    </row>
    <row r="64" spans="1:27" x14ac:dyDescent="0.2">
      <c r="A64" s="1" t="s">
        <v>353</v>
      </c>
      <c r="B64" s="286" t="s">
        <v>49</v>
      </c>
      <c r="C64" s="287" t="s">
        <v>19</v>
      </c>
      <c r="D64" s="287" t="s">
        <v>300</v>
      </c>
      <c r="E64" s="2">
        <v>470</v>
      </c>
      <c r="F64" s="2">
        <v>13000</v>
      </c>
      <c r="G64" s="288">
        <v>863</v>
      </c>
      <c r="H64" s="1">
        <v>6.64</v>
      </c>
      <c r="I64" s="2">
        <v>0</v>
      </c>
      <c r="J64" s="2">
        <v>0</v>
      </c>
      <c r="K64" s="288">
        <v>0</v>
      </c>
      <c r="L64" s="1">
        <v>0</v>
      </c>
      <c r="M64" s="2">
        <v>231</v>
      </c>
      <c r="N64" s="2">
        <v>7000</v>
      </c>
      <c r="O64" s="288">
        <v>417</v>
      </c>
      <c r="P64" s="1">
        <v>5.96</v>
      </c>
      <c r="Q64" s="2">
        <v>0</v>
      </c>
      <c r="R64" s="2">
        <v>0</v>
      </c>
      <c r="S64" s="288">
        <v>0</v>
      </c>
      <c r="T64" s="1">
        <v>0</v>
      </c>
      <c r="U64" s="2">
        <v>701</v>
      </c>
      <c r="V64" s="2">
        <v>20000</v>
      </c>
      <c r="W64" s="288">
        <v>1280</v>
      </c>
      <c r="X64" s="1">
        <v>6.4</v>
      </c>
      <c r="Z64" t="b">
        <f t="shared" si="0"/>
        <v>1</v>
      </c>
      <c r="AA64" s="27" t="s">
        <v>353</v>
      </c>
    </row>
    <row r="65" spans="1:27" x14ac:dyDescent="0.2">
      <c r="A65" s="1" t="s">
        <v>354</v>
      </c>
      <c r="B65" s="286" t="s">
        <v>51</v>
      </c>
      <c r="C65" s="287" t="s">
        <v>14</v>
      </c>
      <c r="D65" s="287" t="s">
        <v>300</v>
      </c>
      <c r="E65" s="2">
        <v>13142</v>
      </c>
      <c r="F65" s="2">
        <v>217412</v>
      </c>
      <c r="G65" s="288">
        <v>12194</v>
      </c>
      <c r="H65" s="1">
        <v>5.61</v>
      </c>
      <c r="I65" s="2">
        <v>628</v>
      </c>
      <c r="J65" s="2">
        <v>41616</v>
      </c>
      <c r="K65" s="288">
        <v>2088</v>
      </c>
      <c r="L65" s="1">
        <v>5.0199999999999996</v>
      </c>
      <c r="M65" s="2">
        <v>0</v>
      </c>
      <c r="N65" s="2">
        <v>0</v>
      </c>
      <c r="O65" s="288">
        <v>0</v>
      </c>
      <c r="P65" s="1">
        <v>0</v>
      </c>
      <c r="Q65" s="2">
        <v>0</v>
      </c>
      <c r="R65" s="2">
        <v>0</v>
      </c>
      <c r="S65" s="288">
        <v>0</v>
      </c>
      <c r="T65" s="1">
        <v>0</v>
      </c>
      <c r="U65" s="2">
        <v>13770</v>
      </c>
      <c r="V65" s="2">
        <v>259028</v>
      </c>
      <c r="W65" s="288">
        <v>14282</v>
      </c>
      <c r="X65" s="1">
        <v>5.51</v>
      </c>
      <c r="Z65" t="b">
        <f t="shared" si="0"/>
        <v>1</v>
      </c>
      <c r="AA65" s="27" t="s">
        <v>354</v>
      </c>
    </row>
    <row r="66" spans="1:27" x14ac:dyDescent="0.2">
      <c r="A66" s="1" t="s">
        <v>355</v>
      </c>
      <c r="B66" s="286" t="s">
        <v>145</v>
      </c>
      <c r="C66" s="287" t="s">
        <v>22</v>
      </c>
      <c r="D66" s="287" t="s">
        <v>310</v>
      </c>
      <c r="E66" s="2">
        <v>17920</v>
      </c>
      <c r="F66" s="2">
        <v>272984</v>
      </c>
      <c r="G66" s="288">
        <v>22127</v>
      </c>
      <c r="H66" s="1">
        <v>8.11</v>
      </c>
      <c r="I66" s="2">
        <v>2350</v>
      </c>
      <c r="J66" s="2">
        <v>84290</v>
      </c>
      <c r="K66" s="288">
        <v>6991</v>
      </c>
      <c r="L66" s="1">
        <v>8.2899999999999991</v>
      </c>
      <c r="M66" s="2">
        <v>9</v>
      </c>
      <c r="N66" s="2">
        <v>50753</v>
      </c>
      <c r="O66" s="288">
        <v>3218</v>
      </c>
      <c r="P66" s="1">
        <v>6.34</v>
      </c>
      <c r="Q66" s="2">
        <v>0</v>
      </c>
      <c r="R66" s="2">
        <v>0</v>
      </c>
      <c r="S66" s="288">
        <v>0</v>
      </c>
      <c r="T66" s="1">
        <v>0</v>
      </c>
      <c r="U66" s="2">
        <v>20279</v>
      </c>
      <c r="V66" s="2">
        <v>408027</v>
      </c>
      <c r="W66" s="288">
        <v>32336</v>
      </c>
      <c r="X66" s="1">
        <v>7.92</v>
      </c>
      <c r="Z66" t="b">
        <f t="shared" si="0"/>
        <v>1</v>
      </c>
      <c r="AA66" s="27" t="s">
        <v>355</v>
      </c>
    </row>
    <row r="67" spans="1:27" x14ac:dyDescent="0.2">
      <c r="A67" s="1" t="s">
        <v>356</v>
      </c>
      <c r="B67" s="290" t="s">
        <v>55</v>
      </c>
      <c r="C67" s="287" t="s">
        <v>19</v>
      </c>
      <c r="D67" s="287" t="s">
        <v>300</v>
      </c>
      <c r="E67" s="2">
        <v>10870</v>
      </c>
      <c r="F67" s="2">
        <v>133917</v>
      </c>
      <c r="G67" s="288">
        <v>13882</v>
      </c>
      <c r="H67" s="1">
        <v>10.37</v>
      </c>
      <c r="I67" s="2">
        <v>2229</v>
      </c>
      <c r="J67" s="2">
        <v>84903</v>
      </c>
      <c r="K67" s="288">
        <v>6291</v>
      </c>
      <c r="L67" s="1">
        <v>7.41</v>
      </c>
      <c r="M67" s="2">
        <v>0</v>
      </c>
      <c r="N67" s="2">
        <v>0</v>
      </c>
      <c r="O67" s="288">
        <v>0</v>
      </c>
      <c r="P67" s="1">
        <v>0</v>
      </c>
      <c r="Q67" s="2">
        <v>0</v>
      </c>
      <c r="R67" s="2">
        <v>0</v>
      </c>
      <c r="S67" s="288">
        <v>0</v>
      </c>
      <c r="T67" s="1">
        <v>0</v>
      </c>
      <c r="U67" s="2">
        <v>13099</v>
      </c>
      <c r="V67" s="2">
        <v>218820</v>
      </c>
      <c r="W67" s="288">
        <v>20173</v>
      </c>
      <c r="X67" s="1">
        <v>9.2200000000000006</v>
      </c>
      <c r="Z67" t="b">
        <f t="shared" si="0"/>
        <v>1</v>
      </c>
      <c r="AA67" s="27" t="s">
        <v>356</v>
      </c>
    </row>
    <row r="68" spans="1:27" x14ac:dyDescent="0.2">
      <c r="A68" s="1" t="s">
        <v>357</v>
      </c>
      <c r="B68" s="286" t="s">
        <v>55</v>
      </c>
      <c r="C68" s="287" t="s">
        <v>56</v>
      </c>
      <c r="D68" s="287" t="s">
        <v>300</v>
      </c>
      <c r="E68" s="2">
        <v>1349</v>
      </c>
      <c r="F68" s="2">
        <v>16571</v>
      </c>
      <c r="G68" s="288">
        <v>1724</v>
      </c>
      <c r="H68" s="1">
        <v>10.4</v>
      </c>
      <c r="I68" s="2">
        <v>500</v>
      </c>
      <c r="J68" s="2">
        <v>30805</v>
      </c>
      <c r="K68" s="288">
        <v>2185</v>
      </c>
      <c r="L68" s="1">
        <v>7.09</v>
      </c>
      <c r="M68" s="2">
        <v>0</v>
      </c>
      <c r="N68" s="2">
        <v>0</v>
      </c>
      <c r="O68" s="288">
        <v>0</v>
      </c>
      <c r="P68" s="1">
        <v>0</v>
      </c>
      <c r="Q68" s="2">
        <v>0</v>
      </c>
      <c r="R68" s="2">
        <v>0</v>
      </c>
      <c r="S68" s="288">
        <v>0</v>
      </c>
      <c r="T68" s="1">
        <v>0</v>
      </c>
      <c r="U68" s="2">
        <v>1849</v>
      </c>
      <c r="V68" s="2">
        <v>47376</v>
      </c>
      <c r="W68" s="288">
        <v>3909</v>
      </c>
      <c r="X68" s="1">
        <v>8.25</v>
      </c>
      <c r="Z68" t="b">
        <f t="shared" ref="Z68:Z131" si="1">AA68=A68</f>
        <v>1</v>
      </c>
      <c r="AA68" s="27" t="s">
        <v>357</v>
      </c>
    </row>
    <row r="69" spans="1:27" x14ac:dyDescent="0.2">
      <c r="A69" s="1" t="s">
        <v>358</v>
      </c>
      <c r="B69" s="286" t="s">
        <v>55</v>
      </c>
      <c r="C69" s="287" t="s">
        <v>57</v>
      </c>
      <c r="D69" s="287" t="s">
        <v>300</v>
      </c>
      <c r="E69" s="2">
        <v>250</v>
      </c>
      <c r="F69" s="2">
        <v>4588</v>
      </c>
      <c r="G69" s="288">
        <v>423</v>
      </c>
      <c r="H69" s="1">
        <v>9.2200000000000006</v>
      </c>
      <c r="I69" s="2">
        <v>56</v>
      </c>
      <c r="J69" s="2">
        <v>3555</v>
      </c>
      <c r="K69" s="288">
        <v>286</v>
      </c>
      <c r="L69" s="1">
        <v>8.0500000000000007</v>
      </c>
      <c r="M69" s="2">
        <v>0</v>
      </c>
      <c r="N69" s="2">
        <v>0</v>
      </c>
      <c r="O69" s="288">
        <v>0</v>
      </c>
      <c r="P69" s="1">
        <v>0</v>
      </c>
      <c r="Q69" s="2">
        <v>0</v>
      </c>
      <c r="R69" s="2">
        <v>0</v>
      </c>
      <c r="S69" s="288">
        <v>0</v>
      </c>
      <c r="T69" s="1">
        <v>0</v>
      </c>
      <c r="U69" s="2">
        <v>306</v>
      </c>
      <c r="V69" s="2">
        <v>8143</v>
      </c>
      <c r="W69" s="288">
        <v>709</v>
      </c>
      <c r="X69" s="1">
        <v>8.7100000000000009</v>
      </c>
      <c r="Z69" t="b">
        <f t="shared" si="1"/>
        <v>1</v>
      </c>
      <c r="AA69" s="27" t="s">
        <v>358</v>
      </c>
    </row>
    <row r="70" spans="1:27" x14ac:dyDescent="0.2">
      <c r="A70" s="1" t="s">
        <v>359</v>
      </c>
      <c r="B70" s="290" t="s">
        <v>54</v>
      </c>
      <c r="C70" s="287" t="s">
        <v>19</v>
      </c>
      <c r="D70" s="287" t="s">
        <v>300</v>
      </c>
      <c r="E70" s="2">
        <v>99</v>
      </c>
      <c r="F70" s="2">
        <v>1858</v>
      </c>
      <c r="G70" s="288">
        <v>106</v>
      </c>
      <c r="H70" s="1">
        <v>5.71</v>
      </c>
      <c r="I70" s="2">
        <v>14</v>
      </c>
      <c r="J70" s="2">
        <v>2056</v>
      </c>
      <c r="K70" s="288">
        <v>101</v>
      </c>
      <c r="L70" s="1">
        <v>4.91</v>
      </c>
      <c r="M70" s="2">
        <v>10</v>
      </c>
      <c r="N70" s="2">
        <v>223</v>
      </c>
      <c r="O70" s="288">
        <v>10</v>
      </c>
      <c r="P70" s="1">
        <v>4.4800000000000004</v>
      </c>
      <c r="Q70" s="2">
        <v>0</v>
      </c>
      <c r="R70" s="2">
        <v>0</v>
      </c>
      <c r="S70" s="288">
        <v>0</v>
      </c>
      <c r="T70" s="1">
        <v>0</v>
      </c>
      <c r="U70" s="2">
        <v>123</v>
      </c>
      <c r="V70" s="2">
        <v>4137</v>
      </c>
      <c r="W70" s="288">
        <v>217</v>
      </c>
      <c r="X70" s="1">
        <v>5.25</v>
      </c>
      <c r="Z70" t="b">
        <f t="shared" si="1"/>
        <v>1</v>
      </c>
      <c r="AA70" s="27" t="s">
        <v>359</v>
      </c>
    </row>
    <row r="71" spans="1:27" x14ac:dyDescent="0.2">
      <c r="A71" s="1" t="s">
        <v>360</v>
      </c>
      <c r="B71" s="286" t="s">
        <v>59</v>
      </c>
      <c r="C71" s="287" t="s">
        <v>56</v>
      </c>
      <c r="D71" s="287" t="s">
        <v>300</v>
      </c>
      <c r="E71" s="2">
        <v>51730</v>
      </c>
      <c r="F71" s="2">
        <v>681884</v>
      </c>
      <c r="G71" s="288">
        <v>49806</v>
      </c>
      <c r="H71" s="1">
        <v>7.3</v>
      </c>
      <c r="I71" s="2">
        <v>9689</v>
      </c>
      <c r="J71" s="2">
        <v>421098</v>
      </c>
      <c r="K71" s="288">
        <v>26660</v>
      </c>
      <c r="L71" s="1">
        <v>6.33</v>
      </c>
      <c r="M71" s="2">
        <v>82</v>
      </c>
      <c r="N71" s="2">
        <v>205093</v>
      </c>
      <c r="O71" s="288">
        <v>10074</v>
      </c>
      <c r="P71" s="1">
        <v>4.91</v>
      </c>
      <c r="Q71" s="2">
        <v>0</v>
      </c>
      <c r="R71" s="2">
        <v>0</v>
      </c>
      <c r="S71" s="288">
        <v>0</v>
      </c>
      <c r="T71" s="1">
        <v>0</v>
      </c>
      <c r="U71" s="2">
        <v>61501</v>
      </c>
      <c r="V71" s="2">
        <v>1308075</v>
      </c>
      <c r="W71" s="288">
        <v>86540</v>
      </c>
      <c r="X71" s="1">
        <v>6.62</v>
      </c>
      <c r="Z71" t="b">
        <f t="shared" si="1"/>
        <v>1</v>
      </c>
      <c r="AA71" s="27" t="s">
        <v>360</v>
      </c>
    </row>
    <row r="72" spans="1:27" x14ac:dyDescent="0.2">
      <c r="A72" s="1" t="s">
        <v>361</v>
      </c>
      <c r="B72" s="286" t="s">
        <v>63</v>
      </c>
      <c r="C72" s="287" t="s">
        <v>56</v>
      </c>
      <c r="D72" s="287" t="s">
        <v>300</v>
      </c>
      <c r="E72" s="2">
        <v>5786</v>
      </c>
      <c r="F72" s="2">
        <v>68494</v>
      </c>
      <c r="G72" s="288">
        <v>6389</v>
      </c>
      <c r="H72" s="1">
        <v>9.33</v>
      </c>
      <c r="I72" s="2">
        <v>1651</v>
      </c>
      <c r="J72" s="2">
        <v>73445</v>
      </c>
      <c r="K72" s="288">
        <v>5320</v>
      </c>
      <c r="L72" s="1">
        <v>7.24</v>
      </c>
      <c r="M72" s="2">
        <v>4</v>
      </c>
      <c r="N72" s="2">
        <v>19094</v>
      </c>
      <c r="O72" s="288">
        <v>1080</v>
      </c>
      <c r="P72" s="1">
        <v>5.66</v>
      </c>
      <c r="Q72" s="2">
        <v>0</v>
      </c>
      <c r="R72" s="2">
        <v>0</v>
      </c>
      <c r="S72" s="288">
        <v>0</v>
      </c>
      <c r="T72" s="1">
        <v>0</v>
      </c>
      <c r="U72" s="2">
        <v>7441</v>
      </c>
      <c r="V72" s="2">
        <v>161033</v>
      </c>
      <c r="W72" s="288">
        <v>12789</v>
      </c>
      <c r="X72" s="1">
        <v>7.94</v>
      </c>
      <c r="Z72" t="b">
        <f t="shared" si="1"/>
        <v>1</v>
      </c>
      <c r="AA72" s="27" t="s">
        <v>361</v>
      </c>
    </row>
    <row r="73" spans="1:27" x14ac:dyDescent="0.2">
      <c r="A73" s="1" t="s">
        <v>362</v>
      </c>
      <c r="B73" s="286" t="s">
        <v>81</v>
      </c>
      <c r="C73" s="287" t="s">
        <v>82</v>
      </c>
      <c r="D73" s="287" t="s">
        <v>300</v>
      </c>
      <c r="E73" s="2">
        <v>722</v>
      </c>
      <c r="F73" s="2">
        <v>11752</v>
      </c>
      <c r="G73" s="288">
        <v>768</v>
      </c>
      <c r="H73" s="1">
        <v>6.54</v>
      </c>
      <c r="I73" s="2">
        <v>0</v>
      </c>
      <c r="J73" s="2">
        <v>0</v>
      </c>
      <c r="K73" s="288">
        <v>0</v>
      </c>
      <c r="L73" s="1">
        <v>0</v>
      </c>
      <c r="M73" s="2">
        <v>829</v>
      </c>
      <c r="N73" s="2">
        <v>83461</v>
      </c>
      <c r="O73" s="288">
        <v>4115</v>
      </c>
      <c r="P73" s="1">
        <v>4.93</v>
      </c>
      <c r="Q73" s="2">
        <v>0</v>
      </c>
      <c r="R73" s="2">
        <v>0</v>
      </c>
      <c r="S73" s="288">
        <v>0</v>
      </c>
      <c r="T73" s="1">
        <v>0</v>
      </c>
      <c r="U73" s="2">
        <v>1551</v>
      </c>
      <c r="V73" s="2">
        <v>95213</v>
      </c>
      <c r="W73" s="288">
        <v>4883</v>
      </c>
      <c r="X73" s="1">
        <v>5.13</v>
      </c>
      <c r="Z73" t="b">
        <f t="shared" si="1"/>
        <v>1</v>
      </c>
      <c r="AA73" s="27" t="s">
        <v>362</v>
      </c>
    </row>
    <row r="74" spans="1:27" x14ac:dyDescent="0.2">
      <c r="A74" s="1" t="s">
        <v>363</v>
      </c>
      <c r="B74" s="286" t="s">
        <v>81</v>
      </c>
      <c r="C74" s="287" t="s">
        <v>22</v>
      </c>
      <c r="D74" s="287" t="s">
        <v>300</v>
      </c>
      <c r="E74" s="2">
        <v>924</v>
      </c>
      <c r="F74" s="2">
        <v>18346</v>
      </c>
      <c r="G74" s="288">
        <v>1187</v>
      </c>
      <c r="H74" s="1">
        <v>6.47</v>
      </c>
      <c r="I74" s="2">
        <v>0</v>
      </c>
      <c r="J74" s="2">
        <v>0</v>
      </c>
      <c r="K74" s="288">
        <v>0</v>
      </c>
      <c r="L74" s="1">
        <v>0</v>
      </c>
      <c r="M74" s="2">
        <v>1423</v>
      </c>
      <c r="N74" s="2">
        <v>49235</v>
      </c>
      <c r="O74" s="288">
        <v>2611</v>
      </c>
      <c r="P74" s="1">
        <v>5.3</v>
      </c>
      <c r="Q74" s="2">
        <v>0</v>
      </c>
      <c r="R74" s="2">
        <v>0</v>
      </c>
      <c r="S74" s="288">
        <v>0</v>
      </c>
      <c r="T74" s="1">
        <v>0</v>
      </c>
      <c r="U74" s="2">
        <v>2347</v>
      </c>
      <c r="V74" s="2">
        <v>67581</v>
      </c>
      <c r="W74" s="288">
        <v>3798</v>
      </c>
      <c r="X74" s="1">
        <v>5.62</v>
      </c>
      <c r="Z74" t="b">
        <f t="shared" si="1"/>
        <v>1</v>
      </c>
      <c r="AA74" s="27" t="s">
        <v>363</v>
      </c>
    </row>
    <row r="75" spans="1:27" x14ac:dyDescent="0.2">
      <c r="A75" s="1" t="s">
        <v>364</v>
      </c>
      <c r="B75" s="286" t="s">
        <v>68</v>
      </c>
      <c r="C75" s="287" t="s">
        <v>22</v>
      </c>
      <c r="D75" s="287" t="s">
        <v>300</v>
      </c>
      <c r="E75" s="2">
        <v>3238</v>
      </c>
      <c r="F75" s="2">
        <v>53269</v>
      </c>
      <c r="G75" s="288">
        <v>3494</v>
      </c>
      <c r="H75" s="1">
        <v>6.56</v>
      </c>
      <c r="I75" s="2">
        <v>204</v>
      </c>
      <c r="J75" s="2">
        <v>5370</v>
      </c>
      <c r="K75" s="288">
        <v>343.6</v>
      </c>
      <c r="L75" s="1">
        <v>6.4</v>
      </c>
      <c r="M75" s="2">
        <v>213</v>
      </c>
      <c r="N75" s="2">
        <v>47734</v>
      </c>
      <c r="O75" s="288">
        <v>2493</v>
      </c>
      <c r="P75" s="1">
        <v>5.22</v>
      </c>
      <c r="Q75" s="2">
        <v>0</v>
      </c>
      <c r="R75" s="2">
        <v>0</v>
      </c>
      <c r="S75" s="288">
        <v>0</v>
      </c>
      <c r="T75" s="1">
        <v>0</v>
      </c>
      <c r="U75" s="2">
        <v>3655</v>
      </c>
      <c r="V75" s="2">
        <v>106373</v>
      </c>
      <c r="W75" s="288">
        <v>6330.6</v>
      </c>
      <c r="X75" s="1">
        <v>5.95</v>
      </c>
      <c r="Z75" t="b">
        <f t="shared" si="1"/>
        <v>1</v>
      </c>
      <c r="AA75" s="27" t="s">
        <v>364</v>
      </c>
    </row>
    <row r="76" spans="1:27" x14ac:dyDescent="0.2">
      <c r="A76" s="1" t="s">
        <v>365</v>
      </c>
      <c r="B76" s="286" t="s">
        <v>69</v>
      </c>
      <c r="C76" s="287" t="s">
        <v>19</v>
      </c>
      <c r="D76" s="287" t="s">
        <v>300</v>
      </c>
      <c r="E76" s="2">
        <v>3407</v>
      </c>
      <c r="F76" s="2">
        <v>39548</v>
      </c>
      <c r="G76" s="288">
        <v>3746.1</v>
      </c>
      <c r="H76" s="1">
        <v>9.4700000000000006</v>
      </c>
      <c r="I76" s="2">
        <v>268</v>
      </c>
      <c r="J76" s="2">
        <v>7800</v>
      </c>
      <c r="K76" s="288">
        <v>677.4</v>
      </c>
      <c r="L76" s="1">
        <v>8.68</v>
      </c>
      <c r="M76" s="2">
        <v>9</v>
      </c>
      <c r="N76" s="2">
        <v>251</v>
      </c>
      <c r="O76" s="288">
        <v>32.700000000000003</v>
      </c>
      <c r="P76" s="1">
        <v>13.03</v>
      </c>
      <c r="Q76" s="2">
        <v>0</v>
      </c>
      <c r="R76" s="2">
        <v>0</v>
      </c>
      <c r="S76" s="288">
        <v>0</v>
      </c>
      <c r="T76" s="1">
        <v>0</v>
      </c>
      <c r="U76" s="2">
        <v>3684</v>
      </c>
      <c r="V76" s="2">
        <v>47599</v>
      </c>
      <c r="W76" s="288">
        <v>4456.2</v>
      </c>
      <c r="X76" s="1">
        <v>9.36</v>
      </c>
      <c r="Z76" t="b">
        <f t="shared" si="1"/>
        <v>1</v>
      </c>
      <c r="AA76" s="27" t="s">
        <v>365</v>
      </c>
    </row>
    <row r="77" spans="1:27" x14ac:dyDescent="0.2">
      <c r="A77" s="1" t="s">
        <v>366</v>
      </c>
      <c r="B77" s="286" t="s">
        <v>71</v>
      </c>
      <c r="C77" s="287" t="s">
        <v>19</v>
      </c>
      <c r="D77" s="287" t="s">
        <v>302</v>
      </c>
      <c r="E77" s="2">
        <v>394132</v>
      </c>
      <c r="F77" s="2">
        <v>4777822</v>
      </c>
      <c r="G77" s="288">
        <v>375272.4</v>
      </c>
      <c r="H77" s="1">
        <v>7.85</v>
      </c>
      <c r="I77" s="2">
        <v>61060</v>
      </c>
      <c r="J77" s="2">
        <v>3616109</v>
      </c>
      <c r="K77" s="288">
        <v>221579.9</v>
      </c>
      <c r="L77" s="1">
        <v>6.13</v>
      </c>
      <c r="M77" s="2">
        <v>17059</v>
      </c>
      <c r="N77" s="2">
        <v>4489632</v>
      </c>
      <c r="O77" s="288">
        <v>233364.9</v>
      </c>
      <c r="P77" s="1">
        <v>5.2</v>
      </c>
      <c r="Q77" s="2">
        <v>0</v>
      </c>
      <c r="R77" s="2">
        <v>0</v>
      </c>
      <c r="S77" s="288">
        <v>0</v>
      </c>
      <c r="T77" s="1">
        <v>0</v>
      </c>
      <c r="U77" s="2">
        <v>472251</v>
      </c>
      <c r="V77" s="2">
        <v>12883563</v>
      </c>
      <c r="W77" s="288">
        <v>830217.2</v>
      </c>
      <c r="X77" s="1">
        <v>6.44</v>
      </c>
      <c r="Z77" t="b">
        <f t="shared" si="1"/>
        <v>1</v>
      </c>
      <c r="AA77" s="27" t="s">
        <v>366</v>
      </c>
    </row>
    <row r="78" spans="1:27" x14ac:dyDescent="0.2">
      <c r="A78" s="1" t="s">
        <v>367</v>
      </c>
      <c r="B78" s="286" t="s">
        <v>71</v>
      </c>
      <c r="C78" s="287" t="s">
        <v>22</v>
      </c>
      <c r="D78" s="287" t="s">
        <v>302</v>
      </c>
      <c r="E78" s="2">
        <v>13419</v>
      </c>
      <c r="F78" s="2">
        <v>189557</v>
      </c>
      <c r="G78" s="288">
        <v>14709.5</v>
      </c>
      <c r="H78" s="1">
        <v>7.76</v>
      </c>
      <c r="I78" s="2">
        <v>3361</v>
      </c>
      <c r="J78" s="2">
        <v>146825</v>
      </c>
      <c r="K78" s="288">
        <v>9860.2000000000007</v>
      </c>
      <c r="L78" s="1">
        <v>6.72</v>
      </c>
      <c r="M78" s="2">
        <v>1675</v>
      </c>
      <c r="N78" s="2">
        <v>292559</v>
      </c>
      <c r="O78" s="288">
        <v>15584.1</v>
      </c>
      <c r="P78" s="1">
        <v>5.33</v>
      </c>
      <c r="Q78" s="2">
        <v>0</v>
      </c>
      <c r="R78" s="2">
        <v>0</v>
      </c>
      <c r="S78" s="288">
        <v>0</v>
      </c>
      <c r="T78" s="1">
        <v>0</v>
      </c>
      <c r="U78" s="2">
        <v>18455</v>
      </c>
      <c r="V78" s="2">
        <v>628941</v>
      </c>
      <c r="W78" s="288">
        <v>40153.800000000003</v>
      </c>
      <c r="X78" s="1">
        <v>6.38</v>
      </c>
      <c r="Z78" t="b">
        <f t="shared" si="1"/>
        <v>1</v>
      </c>
      <c r="AA78" s="27" t="s">
        <v>367</v>
      </c>
    </row>
    <row r="79" spans="1:27" x14ac:dyDescent="0.2">
      <c r="A79" s="1" t="s">
        <v>368</v>
      </c>
      <c r="B79" s="286" t="s">
        <v>67</v>
      </c>
      <c r="C79" s="287" t="s">
        <v>19</v>
      </c>
      <c r="D79" s="287" t="s">
        <v>300</v>
      </c>
      <c r="E79" s="2">
        <v>1556</v>
      </c>
      <c r="F79" s="2">
        <v>23618</v>
      </c>
      <c r="G79" s="288">
        <v>1649</v>
      </c>
      <c r="H79" s="1">
        <v>6.98</v>
      </c>
      <c r="I79" s="2">
        <v>97</v>
      </c>
      <c r="J79" s="2">
        <v>3361</v>
      </c>
      <c r="K79" s="288">
        <v>214</v>
      </c>
      <c r="L79" s="1">
        <v>6.37</v>
      </c>
      <c r="M79" s="2">
        <v>4</v>
      </c>
      <c r="N79" s="2">
        <v>5</v>
      </c>
      <c r="O79" s="288">
        <v>1</v>
      </c>
      <c r="P79" s="1">
        <v>20</v>
      </c>
      <c r="Q79" s="2">
        <v>0</v>
      </c>
      <c r="R79" s="2">
        <v>0</v>
      </c>
      <c r="S79" s="288">
        <v>0</v>
      </c>
      <c r="T79" s="1">
        <v>0</v>
      </c>
      <c r="U79" s="2">
        <v>1657</v>
      </c>
      <c r="V79" s="2">
        <v>26984</v>
      </c>
      <c r="W79" s="288">
        <v>1864</v>
      </c>
      <c r="X79" s="1">
        <v>6.91</v>
      </c>
      <c r="Z79" t="b">
        <f t="shared" si="1"/>
        <v>1</v>
      </c>
      <c r="AA79" s="27" t="s">
        <v>368</v>
      </c>
    </row>
    <row r="80" spans="1:27" x14ac:dyDescent="0.2">
      <c r="A80" s="1" t="s">
        <v>369</v>
      </c>
      <c r="B80" s="286" t="s">
        <v>67</v>
      </c>
      <c r="C80" s="287" t="s">
        <v>14</v>
      </c>
      <c r="D80" s="287" t="s">
        <v>300</v>
      </c>
      <c r="E80" s="2">
        <v>34165</v>
      </c>
      <c r="F80" s="2">
        <v>586154</v>
      </c>
      <c r="G80" s="288">
        <v>39699</v>
      </c>
      <c r="H80" s="1">
        <v>6.77</v>
      </c>
      <c r="I80" s="2">
        <v>2050</v>
      </c>
      <c r="J80" s="2">
        <v>113362</v>
      </c>
      <c r="K80" s="288">
        <v>7403</v>
      </c>
      <c r="L80" s="1">
        <v>6.53</v>
      </c>
      <c r="M80" s="2">
        <v>517</v>
      </c>
      <c r="N80" s="2">
        <v>102122</v>
      </c>
      <c r="O80" s="288">
        <v>5479</v>
      </c>
      <c r="P80" s="1">
        <v>5.37</v>
      </c>
      <c r="Q80" s="2">
        <v>0</v>
      </c>
      <c r="R80" s="2">
        <v>0</v>
      </c>
      <c r="S80" s="288">
        <v>0</v>
      </c>
      <c r="T80" s="1">
        <v>0</v>
      </c>
      <c r="U80" s="2">
        <v>36732</v>
      </c>
      <c r="V80" s="2">
        <v>801638</v>
      </c>
      <c r="W80" s="288">
        <v>52581</v>
      </c>
      <c r="X80" s="1">
        <v>6.56</v>
      </c>
      <c r="Z80" t="b">
        <f t="shared" si="1"/>
        <v>1</v>
      </c>
      <c r="AA80" s="27" t="s">
        <v>369</v>
      </c>
    </row>
    <row r="81" spans="1:27" x14ac:dyDescent="0.2">
      <c r="A81" s="1" t="s">
        <v>370</v>
      </c>
      <c r="B81" s="286" t="s">
        <v>74</v>
      </c>
      <c r="C81" s="287" t="s">
        <v>19</v>
      </c>
      <c r="D81" s="287" t="s">
        <v>300</v>
      </c>
      <c r="E81" s="2">
        <v>20870</v>
      </c>
      <c r="F81" s="2">
        <v>278185</v>
      </c>
      <c r="G81" s="288">
        <v>22205.1</v>
      </c>
      <c r="H81" s="1">
        <v>7.98</v>
      </c>
      <c r="I81" s="2">
        <v>2012</v>
      </c>
      <c r="J81" s="2">
        <v>97959</v>
      </c>
      <c r="K81" s="288">
        <v>7563.9</v>
      </c>
      <c r="L81" s="1">
        <v>7.72</v>
      </c>
      <c r="M81" s="2">
        <v>46</v>
      </c>
      <c r="N81" s="2">
        <v>25796</v>
      </c>
      <c r="O81" s="288">
        <v>1103.4000000000001</v>
      </c>
      <c r="P81" s="1">
        <v>4.28</v>
      </c>
      <c r="Q81" s="2">
        <v>0</v>
      </c>
      <c r="R81" s="2">
        <v>0</v>
      </c>
      <c r="S81" s="288">
        <v>0</v>
      </c>
      <c r="T81" s="1">
        <v>0</v>
      </c>
      <c r="U81" s="2">
        <v>22928</v>
      </c>
      <c r="V81" s="2">
        <v>401940</v>
      </c>
      <c r="W81" s="288">
        <v>30872.400000000001</v>
      </c>
      <c r="X81" s="1">
        <v>7.68</v>
      </c>
      <c r="Z81" t="b">
        <f t="shared" si="1"/>
        <v>1</v>
      </c>
      <c r="AA81" s="27" t="s">
        <v>370</v>
      </c>
    </row>
    <row r="82" spans="1:27" x14ac:dyDescent="0.2">
      <c r="A82" s="1" t="s">
        <v>371</v>
      </c>
      <c r="B82" s="286" t="s">
        <v>74</v>
      </c>
      <c r="C82" s="287" t="s">
        <v>14</v>
      </c>
      <c r="D82" s="287" t="s">
        <v>300</v>
      </c>
      <c r="E82" s="2">
        <v>83</v>
      </c>
      <c r="F82" s="2">
        <v>1916</v>
      </c>
      <c r="G82" s="288">
        <v>127.3</v>
      </c>
      <c r="H82" s="1">
        <v>6.64</v>
      </c>
      <c r="I82" s="2">
        <v>2</v>
      </c>
      <c r="J82" s="2">
        <v>16</v>
      </c>
      <c r="K82" s="288">
        <v>1.4</v>
      </c>
      <c r="L82" s="1">
        <v>8.75</v>
      </c>
      <c r="M82" s="2">
        <v>1</v>
      </c>
      <c r="N82" s="2">
        <v>2</v>
      </c>
      <c r="O82" s="288">
        <v>0.3</v>
      </c>
      <c r="P82" s="1">
        <v>15</v>
      </c>
      <c r="Q82" s="2">
        <v>0</v>
      </c>
      <c r="R82" s="2">
        <v>0</v>
      </c>
      <c r="S82" s="288">
        <v>0</v>
      </c>
      <c r="T82" s="1">
        <v>0</v>
      </c>
      <c r="U82" s="2">
        <v>86</v>
      </c>
      <c r="V82" s="2">
        <v>1934</v>
      </c>
      <c r="W82" s="288">
        <v>129</v>
      </c>
      <c r="X82" s="1">
        <v>6.67</v>
      </c>
      <c r="Z82" t="b">
        <f t="shared" si="1"/>
        <v>1</v>
      </c>
      <c r="AA82" s="27" t="s">
        <v>371</v>
      </c>
    </row>
    <row r="83" spans="1:27" x14ac:dyDescent="0.2">
      <c r="A83" s="1" t="s">
        <v>372</v>
      </c>
      <c r="B83" s="290" t="s">
        <v>75</v>
      </c>
      <c r="C83" s="290" t="s">
        <v>14</v>
      </c>
      <c r="D83" s="287" t="s">
        <v>300</v>
      </c>
      <c r="E83" s="2">
        <v>9380</v>
      </c>
      <c r="F83" s="2">
        <v>112360</v>
      </c>
      <c r="G83" s="288">
        <v>6590</v>
      </c>
      <c r="H83" s="1">
        <v>5.87</v>
      </c>
      <c r="I83" s="2">
        <v>2052</v>
      </c>
      <c r="J83" s="2">
        <v>154344</v>
      </c>
      <c r="K83" s="288">
        <v>9091</v>
      </c>
      <c r="L83" s="1">
        <v>5.89</v>
      </c>
      <c r="M83" s="2">
        <v>0</v>
      </c>
      <c r="N83" s="2">
        <v>0</v>
      </c>
      <c r="O83" s="288">
        <v>0</v>
      </c>
      <c r="P83" s="1">
        <v>0</v>
      </c>
      <c r="Q83" s="2">
        <v>0</v>
      </c>
      <c r="R83" s="2">
        <v>0</v>
      </c>
      <c r="S83" s="288">
        <v>0</v>
      </c>
      <c r="T83" s="1">
        <v>0</v>
      </c>
      <c r="U83" s="2">
        <v>11432</v>
      </c>
      <c r="V83" s="2">
        <v>266704</v>
      </c>
      <c r="W83" s="288">
        <v>15681</v>
      </c>
      <c r="X83" s="1">
        <v>5.88</v>
      </c>
      <c r="Z83" t="b">
        <f t="shared" si="1"/>
        <v>1</v>
      </c>
      <c r="AA83" s="27" t="s">
        <v>372</v>
      </c>
    </row>
    <row r="84" spans="1:27" x14ac:dyDescent="0.2">
      <c r="A84" s="1" t="s">
        <v>373</v>
      </c>
      <c r="B84" s="286" t="s">
        <v>76</v>
      </c>
      <c r="C84" s="287" t="s">
        <v>22</v>
      </c>
      <c r="D84" s="287" t="s">
        <v>300</v>
      </c>
      <c r="E84" s="2">
        <v>11981</v>
      </c>
      <c r="F84" s="2">
        <v>193469</v>
      </c>
      <c r="G84" s="288">
        <v>16731</v>
      </c>
      <c r="H84" s="1">
        <v>8.65</v>
      </c>
      <c r="I84" s="2">
        <v>867</v>
      </c>
      <c r="J84" s="2">
        <v>31853</v>
      </c>
      <c r="K84" s="288">
        <v>2705</v>
      </c>
      <c r="L84" s="1">
        <v>8.49</v>
      </c>
      <c r="M84" s="2">
        <v>1</v>
      </c>
      <c r="N84" s="2">
        <v>2142</v>
      </c>
      <c r="O84" s="288">
        <v>165</v>
      </c>
      <c r="P84" s="1">
        <v>7.7</v>
      </c>
      <c r="Q84" s="2">
        <v>0</v>
      </c>
      <c r="R84" s="2">
        <v>0</v>
      </c>
      <c r="S84" s="288">
        <v>0</v>
      </c>
      <c r="T84" s="1">
        <v>0</v>
      </c>
      <c r="U84" s="2">
        <v>12849</v>
      </c>
      <c r="V84" s="2">
        <v>227464</v>
      </c>
      <c r="W84" s="288">
        <v>19601</v>
      </c>
      <c r="X84" s="1">
        <v>8.6199999999999992</v>
      </c>
      <c r="Z84" t="b">
        <f t="shared" si="1"/>
        <v>1</v>
      </c>
      <c r="AA84" s="27" t="s">
        <v>373</v>
      </c>
    </row>
    <row r="85" spans="1:27" x14ac:dyDescent="0.2">
      <c r="A85" s="1" t="s">
        <v>374</v>
      </c>
      <c r="B85" s="286" t="s">
        <v>78</v>
      </c>
      <c r="C85" s="287" t="s">
        <v>56</v>
      </c>
      <c r="D85" s="287" t="s">
        <v>300</v>
      </c>
      <c r="E85" s="2">
        <v>4542</v>
      </c>
      <c r="F85" s="2">
        <v>72455</v>
      </c>
      <c r="G85" s="288">
        <v>5240</v>
      </c>
      <c r="H85" s="1">
        <v>7.23</v>
      </c>
      <c r="I85" s="2">
        <v>680</v>
      </c>
      <c r="J85" s="2">
        <v>26312</v>
      </c>
      <c r="K85" s="288">
        <v>1743</v>
      </c>
      <c r="L85" s="1">
        <v>6.62</v>
      </c>
      <c r="M85" s="2">
        <v>4</v>
      </c>
      <c r="N85" s="2">
        <v>8937</v>
      </c>
      <c r="O85" s="288">
        <v>673</v>
      </c>
      <c r="P85" s="1">
        <v>7.53</v>
      </c>
      <c r="Q85" s="2">
        <v>0</v>
      </c>
      <c r="R85" s="2">
        <v>0</v>
      </c>
      <c r="S85" s="288">
        <v>0</v>
      </c>
      <c r="T85" s="1">
        <v>0</v>
      </c>
      <c r="U85" s="2">
        <v>5226</v>
      </c>
      <c r="V85" s="2">
        <v>107704</v>
      </c>
      <c r="W85" s="288">
        <v>7656</v>
      </c>
      <c r="X85" s="1">
        <v>7.11</v>
      </c>
      <c r="Z85" t="b">
        <f t="shared" si="1"/>
        <v>1</v>
      </c>
      <c r="AA85" s="27" t="s">
        <v>374</v>
      </c>
    </row>
    <row r="86" spans="1:27" x14ac:dyDescent="0.2">
      <c r="A86" s="1" t="s">
        <v>375</v>
      </c>
      <c r="B86" s="286" t="s">
        <v>79</v>
      </c>
      <c r="C86" s="287" t="s">
        <v>19</v>
      </c>
      <c r="D86" s="287" t="s">
        <v>300</v>
      </c>
      <c r="E86" s="2">
        <v>1778</v>
      </c>
      <c r="F86" s="2">
        <v>28258</v>
      </c>
      <c r="G86" s="288">
        <v>2303</v>
      </c>
      <c r="H86" s="1">
        <v>8.15</v>
      </c>
      <c r="I86" s="2">
        <v>214</v>
      </c>
      <c r="J86" s="2">
        <v>4174</v>
      </c>
      <c r="K86" s="288">
        <v>314</v>
      </c>
      <c r="L86" s="1">
        <v>7.52</v>
      </c>
      <c r="M86" s="2">
        <v>595</v>
      </c>
      <c r="N86" s="2">
        <v>39050</v>
      </c>
      <c r="O86" s="288">
        <v>2529</v>
      </c>
      <c r="P86" s="1">
        <v>6.48</v>
      </c>
      <c r="Q86" s="2">
        <v>0</v>
      </c>
      <c r="R86" s="2">
        <v>0</v>
      </c>
      <c r="S86" s="288">
        <v>0</v>
      </c>
      <c r="T86" s="1">
        <v>0</v>
      </c>
      <c r="U86" s="2">
        <v>2587</v>
      </c>
      <c r="V86" s="2">
        <v>71482</v>
      </c>
      <c r="W86" s="288">
        <v>5146</v>
      </c>
      <c r="X86" s="1">
        <v>7.2</v>
      </c>
      <c r="Z86" t="b">
        <f t="shared" si="1"/>
        <v>1</v>
      </c>
      <c r="AA86" s="27" t="s">
        <v>375</v>
      </c>
    </row>
    <row r="87" spans="1:27" x14ac:dyDescent="0.2">
      <c r="A87" s="1" t="s">
        <v>376</v>
      </c>
      <c r="B87" s="286" t="s">
        <v>80</v>
      </c>
      <c r="C87" s="287" t="s">
        <v>19</v>
      </c>
      <c r="D87" s="287" t="s">
        <v>300</v>
      </c>
      <c r="E87" s="2">
        <v>1266</v>
      </c>
      <c r="F87" s="2">
        <v>13699</v>
      </c>
      <c r="G87" s="288">
        <v>786.9</v>
      </c>
      <c r="H87" s="1">
        <v>5.74</v>
      </c>
      <c r="I87" s="2">
        <v>317</v>
      </c>
      <c r="J87" s="2">
        <v>2527</v>
      </c>
      <c r="K87" s="288">
        <v>143.80000000000001</v>
      </c>
      <c r="L87" s="1">
        <v>5.69</v>
      </c>
      <c r="M87" s="2">
        <v>41</v>
      </c>
      <c r="N87" s="2">
        <v>44242</v>
      </c>
      <c r="O87" s="288">
        <v>1694</v>
      </c>
      <c r="P87" s="1">
        <v>3.83</v>
      </c>
      <c r="Q87" s="2">
        <v>0</v>
      </c>
      <c r="R87" s="2">
        <v>0</v>
      </c>
      <c r="S87" s="288">
        <v>0</v>
      </c>
      <c r="T87" s="1">
        <v>0</v>
      </c>
      <c r="U87" s="2">
        <v>1624</v>
      </c>
      <c r="V87" s="2">
        <v>60468</v>
      </c>
      <c r="W87" s="288">
        <v>2624.7</v>
      </c>
      <c r="X87" s="1">
        <v>4.34</v>
      </c>
      <c r="Z87" t="b">
        <f t="shared" si="1"/>
        <v>1</v>
      </c>
      <c r="AA87" s="27" t="s">
        <v>376</v>
      </c>
    </row>
    <row r="88" spans="1:27" x14ac:dyDescent="0.2">
      <c r="A88" s="1" t="s">
        <v>377</v>
      </c>
      <c r="B88" s="286" t="s">
        <v>80</v>
      </c>
      <c r="C88" s="287" t="s">
        <v>57</v>
      </c>
      <c r="D88" s="287" t="s">
        <v>300</v>
      </c>
      <c r="E88" s="2">
        <v>18463</v>
      </c>
      <c r="F88" s="2">
        <v>377195</v>
      </c>
      <c r="G88" s="288">
        <v>21678.2</v>
      </c>
      <c r="H88" s="1">
        <v>5.75</v>
      </c>
      <c r="I88" s="2">
        <v>5883</v>
      </c>
      <c r="J88" s="2">
        <v>227580</v>
      </c>
      <c r="K88" s="288">
        <v>12509.5</v>
      </c>
      <c r="L88" s="1">
        <v>5.5</v>
      </c>
      <c r="M88" s="2">
        <v>139</v>
      </c>
      <c r="N88" s="2">
        <v>34275</v>
      </c>
      <c r="O88" s="288">
        <v>1749.3</v>
      </c>
      <c r="P88" s="1">
        <v>5.0999999999999996</v>
      </c>
      <c r="Q88" s="2">
        <v>0</v>
      </c>
      <c r="R88" s="2">
        <v>0</v>
      </c>
      <c r="S88" s="288">
        <v>0</v>
      </c>
      <c r="T88" s="1">
        <v>0</v>
      </c>
      <c r="U88" s="2">
        <v>24485</v>
      </c>
      <c r="V88" s="2">
        <v>639050</v>
      </c>
      <c r="W88" s="288">
        <v>35937</v>
      </c>
      <c r="X88" s="1">
        <v>5.62</v>
      </c>
      <c r="Z88" t="b">
        <f t="shared" si="1"/>
        <v>1</v>
      </c>
      <c r="AA88" s="27" t="s">
        <v>377</v>
      </c>
    </row>
    <row r="89" spans="1:27" x14ac:dyDescent="0.2">
      <c r="A89" s="1" t="s">
        <v>378</v>
      </c>
      <c r="B89" s="286" t="s">
        <v>85</v>
      </c>
      <c r="C89" s="287" t="s">
        <v>22</v>
      </c>
      <c r="D89" s="287" t="s">
        <v>300</v>
      </c>
      <c r="E89" s="2">
        <v>16149</v>
      </c>
      <c r="F89" s="2">
        <v>236945</v>
      </c>
      <c r="G89" s="288">
        <v>18006</v>
      </c>
      <c r="H89" s="1">
        <v>7.6</v>
      </c>
      <c r="I89" s="2">
        <v>2056</v>
      </c>
      <c r="J89" s="2">
        <v>107905</v>
      </c>
      <c r="K89" s="288">
        <v>6850</v>
      </c>
      <c r="L89" s="1">
        <v>6.35</v>
      </c>
      <c r="M89" s="2">
        <v>3</v>
      </c>
      <c r="N89" s="2">
        <v>24629</v>
      </c>
      <c r="O89" s="288">
        <v>1588</v>
      </c>
      <c r="P89" s="1">
        <v>6.45</v>
      </c>
      <c r="Q89" s="2">
        <v>0</v>
      </c>
      <c r="R89" s="2">
        <v>0</v>
      </c>
      <c r="S89" s="288">
        <v>0</v>
      </c>
      <c r="T89" s="1">
        <v>0</v>
      </c>
      <c r="U89" s="2">
        <v>18208</v>
      </c>
      <c r="V89" s="2">
        <v>369479</v>
      </c>
      <c r="W89" s="288">
        <v>26444</v>
      </c>
      <c r="X89" s="1">
        <v>7.16</v>
      </c>
      <c r="Z89" t="b">
        <f t="shared" si="1"/>
        <v>1</v>
      </c>
      <c r="AA89" s="27" t="s">
        <v>378</v>
      </c>
    </row>
    <row r="90" spans="1:27" x14ac:dyDescent="0.2">
      <c r="A90" s="27" t="str">
        <f>B90&amp;" - "&amp;C90</f>
        <v>Mission Valley Power - MT</v>
      </c>
      <c r="B90" s="291" t="s">
        <v>133</v>
      </c>
      <c r="C90" s="292" t="s">
        <v>56</v>
      </c>
      <c r="D90" s="287" t="s">
        <v>308</v>
      </c>
      <c r="E90" s="2">
        <v>14496</v>
      </c>
      <c r="F90" s="2">
        <v>223906</v>
      </c>
      <c r="G90" s="288">
        <v>12520</v>
      </c>
      <c r="H90" s="1">
        <v>5.59</v>
      </c>
      <c r="I90" s="2">
        <v>6406</v>
      </c>
      <c r="J90" s="2">
        <v>107526</v>
      </c>
      <c r="K90" s="288">
        <v>7300</v>
      </c>
      <c r="L90" s="1">
        <v>6.79</v>
      </c>
      <c r="M90" s="2">
        <v>1</v>
      </c>
      <c r="N90" s="2">
        <v>620</v>
      </c>
      <c r="O90" s="288">
        <v>25</v>
      </c>
      <c r="P90" s="1">
        <v>4.03</v>
      </c>
      <c r="Q90" s="2">
        <v>0</v>
      </c>
      <c r="R90" s="2">
        <v>0</v>
      </c>
      <c r="S90" s="288">
        <v>0</v>
      </c>
      <c r="T90" s="1">
        <v>0</v>
      </c>
      <c r="U90" s="2">
        <v>20903</v>
      </c>
      <c r="V90" s="2">
        <v>332052</v>
      </c>
      <c r="W90" s="288">
        <v>19845</v>
      </c>
      <c r="X90" s="1">
        <v>5.98</v>
      </c>
      <c r="Z90" t="b">
        <f t="shared" si="1"/>
        <v>1</v>
      </c>
      <c r="AA90" s="27" t="s">
        <v>453</v>
      </c>
    </row>
    <row r="91" spans="1:27" x14ac:dyDescent="0.2">
      <c r="A91" s="1" t="s">
        <v>379</v>
      </c>
      <c r="B91" s="286" t="s">
        <v>89</v>
      </c>
      <c r="C91" s="287" t="s">
        <v>19</v>
      </c>
      <c r="D91" s="287" t="s">
        <v>300</v>
      </c>
      <c r="E91" s="2">
        <v>35</v>
      </c>
      <c r="F91" s="2">
        <v>424</v>
      </c>
      <c r="G91" s="288">
        <v>42.2</v>
      </c>
      <c r="H91" s="1">
        <v>9.9499999999999993</v>
      </c>
      <c r="I91" s="2">
        <v>19</v>
      </c>
      <c r="J91" s="2">
        <v>857</v>
      </c>
      <c r="K91" s="288">
        <v>72.8</v>
      </c>
      <c r="L91" s="1">
        <v>8.49</v>
      </c>
      <c r="M91" s="2">
        <v>0</v>
      </c>
      <c r="N91" s="2">
        <v>0</v>
      </c>
      <c r="O91" s="288">
        <v>0</v>
      </c>
      <c r="P91" s="1">
        <v>0</v>
      </c>
      <c r="Q91" s="2">
        <v>0</v>
      </c>
      <c r="R91" s="2">
        <v>0</v>
      </c>
      <c r="S91" s="288">
        <v>0</v>
      </c>
      <c r="T91" s="1">
        <v>0</v>
      </c>
      <c r="U91" s="2">
        <v>54</v>
      </c>
      <c r="V91" s="2">
        <v>1281</v>
      </c>
      <c r="W91" s="288">
        <v>115</v>
      </c>
      <c r="X91" s="1">
        <v>8.98</v>
      </c>
      <c r="Z91" t="b">
        <f t="shared" si="1"/>
        <v>1</v>
      </c>
      <c r="AA91" s="27" t="s">
        <v>379</v>
      </c>
    </row>
    <row r="92" spans="1:27" x14ac:dyDescent="0.2">
      <c r="A92" s="1" t="s">
        <v>380</v>
      </c>
      <c r="B92" s="286" t="s">
        <v>89</v>
      </c>
      <c r="C92" s="287" t="s">
        <v>56</v>
      </c>
      <c r="D92" s="287" t="s">
        <v>300</v>
      </c>
      <c r="E92" s="2">
        <v>12357</v>
      </c>
      <c r="F92" s="2">
        <v>150512</v>
      </c>
      <c r="G92" s="288">
        <v>13499.9</v>
      </c>
      <c r="H92" s="1">
        <v>8.9700000000000006</v>
      </c>
      <c r="I92" s="2">
        <v>1276</v>
      </c>
      <c r="J92" s="2">
        <v>39764</v>
      </c>
      <c r="K92" s="288">
        <v>3145.2</v>
      </c>
      <c r="L92" s="1">
        <v>7.91</v>
      </c>
      <c r="M92" s="2">
        <v>276</v>
      </c>
      <c r="N92" s="2">
        <v>19877</v>
      </c>
      <c r="O92" s="288">
        <v>1202.4000000000001</v>
      </c>
      <c r="P92" s="1">
        <v>6.05</v>
      </c>
      <c r="Q92" s="2">
        <v>0</v>
      </c>
      <c r="R92" s="2">
        <v>0</v>
      </c>
      <c r="S92" s="288">
        <v>0</v>
      </c>
      <c r="T92" s="1">
        <v>0</v>
      </c>
      <c r="U92" s="2">
        <v>13909</v>
      </c>
      <c r="V92" s="2">
        <v>210153</v>
      </c>
      <c r="W92" s="288">
        <v>17847.5</v>
      </c>
      <c r="X92" s="1">
        <v>8.49</v>
      </c>
      <c r="Z92" t="b">
        <f t="shared" si="1"/>
        <v>1</v>
      </c>
      <c r="AA92" s="27" t="s">
        <v>380</v>
      </c>
    </row>
    <row r="93" spans="1:27" x14ac:dyDescent="0.2">
      <c r="A93" s="1" t="s">
        <v>381</v>
      </c>
      <c r="B93" s="290" t="s">
        <v>90</v>
      </c>
      <c r="C93" s="290" t="s">
        <v>14</v>
      </c>
      <c r="D93" s="287" t="s">
        <v>300</v>
      </c>
      <c r="E93" s="2">
        <v>8156</v>
      </c>
      <c r="F93" s="2">
        <v>96015</v>
      </c>
      <c r="G93" s="288">
        <v>5366.2</v>
      </c>
      <c r="H93" s="1">
        <v>5.59</v>
      </c>
      <c r="I93" s="2">
        <v>1590</v>
      </c>
      <c r="J93" s="2">
        <v>114473</v>
      </c>
      <c r="K93" s="288">
        <v>6308.3</v>
      </c>
      <c r="L93" s="1">
        <v>5.51</v>
      </c>
      <c r="M93" s="2">
        <v>0</v>
      </c>
      <c r="N93" s="2">
        <v>0</v>
      </c>
      <c r="O93" s="288">
        <v>0</v>
      </c>
      <c r="P93" s="1">
        <v>0</v>
      </c>
      <c r="Q93" s="2">
        <v>0</v>
      </c>
      <c r="R93" s="2">
        <v>0</v>
      </c>
      <c r="S93" s="288">
        <v>0</v>
      </c>
      <c r="T93" s="1">
        <v>0</v>
      </c>
      <c r="U93" s="2">
        <v>9746</v>
      </c>
      <c r="V93" s="2">
        <v>210488</v>
      </c>
      <c r="W93" s="288">
        <v>11674.5</v>
      </c>
      <c r="X93" s="1">
        <v>5.55</v>
      </c>
      <c r="Z93" t="b">
        <f t="shared" si="1"/>
        <v>1</v>
      </c>
      <c r="AA93" s="27" t="s">
        <v>381</v>
      </c>
    </row>
    <row r="94" spans="1:27" x14ac:dyDescent="0.2">
      <c r="A94" s="1" t="s">
        <v>382</v>
      </c>
      <c r="B94" s="286" t="s">
        <v>93</v>
      </c>
      <c r="C94" s="287" t="s">
        <v>14</v>
      </c>
      <c r="D94" s="287" t="s">
        <v>300</v>
      </c>
      <c r="E94" s="2">
        <v>1193</v>
      </c>
      <c r="F94" s="2">
        <v>18586</v>
      </c>
      <c r="G94" s="288">
        <v>1308</v>
      </c>
      <c r="H94" s="1">
        <v>7.04</v>
      </c>
      <c r="I94" s="2">
        <v>250</v>
      </c>
      <c r="J94" s="2">
        <v>13022</v>
      </c>
      <c r="K94" s="288">
        <v>826</v>
      </c>
      <c r="L94" s="1">
        <v>6.34</v>
      </c>
      <c r="M94" s="2">
        <v>97</v>
      </c>
      <c r="N94" s="2">
        <v>11569</v>
      </c>
      <c r="O94" s="288">
        <v>670</v>
      </c>
      <c r="P94" s="1">
        <v>5.79</v>
      </c>
      <c r="Q94" s="2">
        <v>0</v>
      </c>
      <c r="R94" s="2">
        <v>0</v>
      </c>
      <c r="S94" s="288">
        <v>0</v>
      </c>
      <c r="T94" s="1">
        <v>0</v>
      </c>
      <c r="U94" s="2">
        <v>1540</v>
      </c>
      <c r="V94" s="2">
        <v>43177</v>
      </c>
      <c r="W94" s="288">
        <v>2804</v>
      </c>
      <c r="X94" s="1">
        <v>6.49</v>
      </c>
      <c r="Z94" t="b">
        <f t="shared" si="1"/>
        <v>1</v>
      </c>
      <c r="AA94" s="27" t="s">
        <v>382</v>
      </c>
    </row>
    <row r="95" spans="1:27" x14ac:dyDescent="0.2">
      <c r="A95" s="1" t="s">
        <v>383</v>
      </c>
      <c r="B95" s="286" t="s">
        <v>94</v>
      </c>
      <c r="C95" s="287" t="s">
        <v>19</v>
      </c>
      <c r="D95" s="287" t="s">
        <v>300</v>
      </c>
      <c r="E95" s="2">
        <v>13631</v>
      </c>
      <c r="F95" s="2">
        <v>166681</v>
      </c>
      <c r="G95" s="288">
        <v>14788</v>
      </c>
      <c r="H95" s="1">
        <v>8.8699999999999992</v>
      </c>
      <c r="I95" s="2">
        <v>786</v>
      </c>
      <c r="J95" s="2">
        <v>32043</v>
      </c>
      <c r="K95" s="288">
        <v>2662</v>
      </c>
      <c r="L95" s="1">
        <v>8.31</v>
      </c>
      <c r="M95" s="2">
        <v>4</v>
      </c>
      <c r="N95" s="2">
        <v>13924</v>
      </c>
      <c r="O95" s="288">
        <v>754</v>
      </c>
      <c r="P95" s="1">
        <v>5.42</v>
      </c>
      <c r="Q95" s="2">
        <v>0</v>
      </c>
      <c r="R95" s="2">
        <v>0</v>
      </c>
      <c r="S95" s="288">
        <v>0</v>
      </c>
      <c r="T95" s="1">
        <v>0</v>
      </c>
      <c r="U95" s="2">
        <v>14421</v>
      </c>
      <c r="V95" s="2">
        <v>212648</v>
      </c>
      <c r="W95" s="288">
        <v>18204</v>
      </c>
      <c r="X95" s="1">
        <v>8.56</v>
      </c>
      <c r="Z95" t="b">
        <f t="shared" si="1"/>
        <v>1</v>
      </c>
      <c r="AA95" s="27" t="s">
        <v>383</v>
      </c>
    </row>
    <row r="96" spans="1:27" x14ac:dyDescent="0.2">
      <c r="A96" s="1" t="s">
        <v>384</v>
      </c>
      <c r="B96" s="286" t="s">
        <v>94</v>
      </c>
      <c r="C96" s="287" t="s">
        <v>56</v>
      </c>
      <c r="D96" s="287" t="s">
        <v>300</v>
      </c>
      <c r="E96" s="2">
        <v>3675</v>
      </c>
      <c r="F96" s="2">
        <v>41167</v>
      </c>
      <c r="G96" s="288">
        <v>3708</v>
      </c>
      <c r="H96" s="1">
        <v>9.01</v>
      </c>
      <c r="I96" s="2">
        <v>250</v>
      </c>
      <c r="J96" s="2">
        <v>7346</v>
      </c>
      <c r="K96" s="288">
        <v>581</v>
      </c>
      <c r="L96" s="1">
        <v>7.91</v>
      </c>
      <c r="M96" s="2">
        <v>5</v>
      </c>
      <c r="N96" s="2">
        <v>48034</v>
      </c>
      <c r="O96" s="288">
        <v>2298</v>
      </c>
      <c r="P96" s="1">
        <v>4.78</v>
      </c>
      <c r="Q96" s="2">
        <v>0</v>
      </c>
      <c r="R96" s="2">
        <v>0</v>
      </c>
      <c r="S96" s="288">
        <v>0</v>
      </c>
      <c r="T96" s="1">
        <v>0</v>
      </c>
      <c r="U96" s="2">
        <v>3930</v>
      </c>
      <c r="V96" s="2">
        <v>96547</v>
      </c>
      <c r="W96" s="288">
        <v>6587</v>
      </c>
      <c r="X96" s="1">
        <v>6.82</v>
      </c>
      <c r="Z96" t="b">
        <f t="shared" si="1"/>
        <v>1</v>
      </c>
      <c r="AA96" s="27" t="s">
        <v>384</v>
      </c>
    </row>
    <row r="97" spans="1:27" x14ac:dyDescent="0.2">
      <c r="A97" s="1" t="s">
        <v>385</v>
      </c>
      <c r="B97" s="286" t="s">
        <v>94</v>
      </c>
      <c r="C97" s="287" t="s">
        <v>14</v>
      </c>
      <c r="D97" s="287" t="s">
        <v>300</v>
      </c>
      <c r="E97" s="2">
        <v>14</v>
      </c>
      <c r="F97" s="2">
        <v>112</v>
      </c>
      <c r="G97" s="288">
        <v>11</v>
      </c>
      <c r="H97" s="1">
        <v>9.82</v>
      </c>
      <c r="I97" s="2">
        <v>0</v>
      </c>
      <c r="J97" s="2">
        <v>0</v>
      </c>
      <c r="K97" s="288">
        <v>0</v>
      </c>
      <c r="L97" s="1">
        <v>0</v>
      </c>
      <c r="M97" s="2">
        <v>0</v>
      </c>
      <c r="N97" s="2">
        <v>0</v>
      </c>
      <c r="O97" s="288">
        <v>0</v>
      </c>
      <c r="P97" s="1">
        <v>0</v>
      </c>
      <c r="Q97" s="2">
        <v>0</v>
      </c>
      <c r="R97" s="2">
        <v>0</v>
      </c>
      <c r="S97" s="288">
        <v>0</v>
      </c>
      <c r="T97" s="1">
        <v>0</v>
      </c>
      <c r="U97" s="2">
        <v>14</v>
      </c>
      <c r="V97" s="2">
        <v>112</v>
      </c>
      <c r="W97" s="288">
        <v>11</v>
      </c>
      <c r="X97" s="1">
        <v>9.82</v>
      </c>
      <c r="Z97" t="b">
        <f t="shared" si="1"/>
        <v>1</v>
      </c>
      <c r="AA97" s="27" t="s">
        <v>385</v>
      </c>
    </row>
    <row r="98" spans="1:27" x14ac:dyDescent="0.2">
      <c r="A98" s="1" t="s">
        <v>386</v>
      </c>
      <c r="B98" s="286" t="s">
        <v>95</v>
      </c>
      <c r="C98" s="287" t="s">
        <v>22</v>
      </c>
      <c r="D98" s="287" t="s">
        <v>310</v>
      </c>
      <c r="E98" s="2">
        <v>9178</v>
      </c>
      <c r="F98" s="2">
        <v>139818</v>
      </c>
      <c r="G98" s="288">
        <v>8127.2</v>
      </c>
      <c r="H98" s="1">
        <v>5.81</v>
      </c>
      <c r="I98" s="2">
        <v>427</v>
      </c>
      <c r="J98" s="2">
        <v>16931</v>
      </c>
      <c r="K98" s="288">
        <v>947.9</v>
      </c>
      <c r="L98" s="1">
        <v>5.6</v>
      </c>
      <c r="M98" s="2">
        <v>212</v>
      </c>
      <c r="N98" s="2">
        <v>423189</v>
      </c>
      <c r="O98" s="288">
        <v>17699.599999999999</v>
      </c>
      <c r="P98" s="1">
        <v>4.18</v>
      </c>
      <c r="Q98" s="2">
        <v>0</v>
      </c>
      <c r="R98" s="2">
        <v>0</v>
      </c>
      <c r="S98" s="288">
        <v>0</v>
      </c>
      <c r="T98" s="1">
        <v>0</v>
      </c>
      <c r="U98" s="2">
        <v>9817</v>
      </c>
      <c r="V98" s="2">
        <v>579938</v>
      </c>
      <c r="W98" s="288">
        <v>26774.7</v>
      </c>
      <c r="X98" s="1">
        <v>4.62</v>
      </c>
      <c r="Z98" t="b">
        <f t="shared" si="1"/>
        <v>1</v>
      </c>
      <c r="AA98" s="27" t="s">
        <v>386</v>
      </c>
    </row>
    <row r="99" spans="1:27" x14ac:dyDescent="0.2">
      <c r="A99" s="27" t="str">
        <f>B99&amp;" - "&amp;C99</f>
        <v>NorthWestern Energy LLC - MT</v>
      </c>
      <c r="B99" s="291" t="s">
        <v>92</v>
      </c>
      <c r="C99" s="292" t="s">
        <v>56</v>
      </c>
      <c r="D99" s="287" t="s">
        <v>302</v>
      </c>
      <c r="E99" s="2">
        <v>270351</v>
      </c>
      <c r="F99" s="2">
        <v>2321623</v>
      </c>
      <c r="G99" s="288">
        <v>224791.5</v>
      </c>
      <c r="H99" s="1">
        <v>9.68</v>
      </c>
      <c r="I99" s="2">
        <v>64268</v>
      </c>
      <c r="J99" s="2">
        <v>3033983</v>
      </c>
      <c r="K99" s="288">
        <v>283413.2</v>
      </c>
      <c r="L99" s="1">
        <v>9.34</v>
      </c>
      <c r="M99" s="2">
        <v>1436</v>
      </c>
      <c r="N99" s="2">
        <v>370004</v>
      </c>
      <c r="O99" s="288">
        <v>27677.7</v>
      </c>
      <c r="P99" s="1">
        <v>7.48</v>
      </c>
      <c r="Q99" s="2">
        <v>0</v>
      </c>
      <c r="R99" s="2">
        <v>0</v>
      </c>
      <c r="S99" s="288">
        <v>0</v>
      </c>
      <c r="T99" s="1">
        <v>0</v>
      </c>
      <c r="U99" s="2">
        <v>336055</v>
      </c>
      <c r="V99" s="2">
        <v>5725610</v>
      </c>
      <c r="W99" s="288">
        <v>535882.4</v>
      </c>
      <c r="X99" s="1">
        <v>9.36</v>
      </c>
      <c r="Z99" t="b">
        <f t="shared" si="1"/>
        <v>1</v>
      </c>
      <c r="AA99" s="27" t="s">
        <v>454</v>
      </c>
    </row>
    <row r="100" spans="1:27" x14ac:dyDescent="0.2">
      <c r="A100" s="1" t="s">
        <v>387</v>
      </c>
      <c r="B100" s="286" t="s">
        <v>96</v>
      </c>
      <c r="C100" s="287" t="s">
        <v>14</v>
      </c>
      <c r="D100" s="287" t="s">
        <v>300</v>
      </c>
      <c r="E100" s="2">
        <v>4067</v>
      </c>
      <c r="F100" s="2">
        <v>75949</v>
      </c>
      <c r="G100" s="288">
        <v>5583</v>
      </c>
      <c r="H100" s="1">
        <v>7.35</v>
      </c>
      <c r="I100" s="2">
        <v>108</v>
      </c>
      <c r="J100" s="2">
        <v>3745</v>
      </c>
      <c r="K100" s="288">
        <v>263</v>
      </c>
      <c r="L100" s="1">
        <v>7.02</v>
      </c>
      <c r="M100" s="2">
        <v>11</v>
      </c>
      <c r="N100" s="2">
        <v>47</v>
      </c>
      <c r="O100" s="288">
        <v>5</v>
      </c>
      <c r="P100" s="1">
        <v>10.64</v>
      </c>
      <c r="Q100" s="2">
        <v>0</v>
      </c>
      <c r="R100" s="2">
        <v>0</v>
      </c>
      <c r="S100" s="288">
        <v>0</v>
      </c>
      <c r="T100" s="1">
        <v>0</v>
      </c>
      <c r="U100" s="2">
        <v>4186</v>
      </c>
      <c r="V100" s="2">
        <v>79741</v>
      </c>
      <c r="W100" s="288">
        <v>5851</v>
      </c>
      <c r="X100" s="1">
        <v>7.34</v>
      </c>
      <c r="Z100" t="b">
        <f t="shared" si="1"/>
        <v>1</v>
      </c>
      <c r="AA100" s="27" t="s">
        <v>387</v>
      </c>
    </row>
    <row r="101" spans="1:27" x14ac:dyDescent="0.2">
      <c r="A101" s="1" t="s">
        <v>388</v>
      </c>
      <c r="B101" s="286" t="s">
        <v>98</v>
      </c>
      <c r="C101" s="287" t="s">
        <v>14</v>
      </c>
      <c r="D101" s="287" t="s">
        <v>300</v>
      </c>
      <c r="E101" s="2">
        <v>3171</v>
      </c>
      <c r="F101" s="2">
        <v>34578</v>
      </c>
      <c r="G101" s="288">
        <v>3661.3</v>
      </c>
      <c r="H101" s="1">
        <v>10.59</v>
      </c>
      <c r="I101" s="2">
        <v>300</v>
      </c>
      <c r="J101" s="2">
        <v>16808</v>
      </c>
      <c r="K101" s="288">
        <v>988.3</v>
      </c>
      <c r="L101" s="1">
        <v>5.88</v>
      </c>
      <c r="M101" s="2">
        <v>0</v>
      </c>
      <c r="N101" s="2">
        <v>0</v>
      </c>
      <c r="O101" s="288">
        <v>0</v>
      </c>
      <c r="P101" s="1">
        <v>0</v>
      </c>
      <c r="Q101" s="2">
        <v>0</v>
      </c>
      <c r="R101" s="2">
        <v>0</v>
      </c>
      <c r="S101" s="288">
        <v>0</v>
      </c>
      <c r="T101" s="1">
        <v>0</v>
      </c>
      <c r="U101" s="2">
        <v>3471</v>
      </c>
      <c r="V101" s="2">
        <v>51386</v>
      </c>
      <c r="W101" s="288">
        <v>4649.6000000000004</v>
      </c>
      <c r="X101" s="1">
        <v>9.0500000000000007</v>
      </c>
      <c r="Z101" t="b">
        <f t="shared" si="1"/>
        <v>1</v>
      </c>
      <c r="AA101" s="27" t="s">
        <v>388</v>
      </c>
    </row>
    <row r="102" spans="1:27" x14ac:dyDescent="0.2">
      <c r="A102" s="1" t="s">
        <v>389</v>
      </c>
      <c r="B102" s="286" t="s">
        <v>100</v>
      </c>
      <c r="C102" s="287" t="s">
        <v>14</v>
      </c>
      <c r="D102" s="287" t="s">
        <v>300</v>
      </c>
      <c r="E102" s="2">
        <v>12739</v>
      </c>
      <c r="F102" s="2">
        <v>137744</v>
      </c>
      <c r="G102" s="288">
        <v>14123</v>
      </c>
      <c r="H102" s="1">
        <v>10.25</v>
      </c>
      <c r="I102" s="2">
        <v>1667</v>
      </c>
      <c r="J102" s="2">
        <v>54315</v>
      </c>
      <c r="K102" s="288">
        <v>4478</v>
      </c>
      <c r="L102" s="1">
        <v>8.24</v>
      </c>
      <c r="M102" s="2">
        <v>0</v>
      </c>
      <c r="N102" s="2">
        <v>0</v>
      </c>
      <c r="O102" s="288">
        <v>0</v>
      </c>
      <c r="P102" s="1">
        <v>0</v>
      </c>
      <c r="Q102" s="2">
        <v>0</v>
      </c>
      <c r="R102" s="2">
        <v>0</v>
      </c>
      <c r="S102" s="288">
        <v>0</v>
      </c>
      <c r="T102" s="1">
        <v>0</v>
      </c>
      <c r="U102" s="2">
        <v>14406</v>
      </c>
      <c r="V102" s="2">
        <v>192059</v>
      </c>
      <c r="W102" s="288">
        <v>18601</v>
      </c>
      <c r="X102" s="1">
        <v>9.69</v>
      </c>
      <c r="Z102" t="b">
        <f t="shared" si="1"/>
        <v>1</v>
      </c>
      <c r="AA102" s="27" t="s">
        <v>389</v>
      </c>
    </row>
    <row r="103" spans="1:27" x14ac:dyDescent="0.2">
      <c r="A103" s="1" t="s">
        <v>390</v>
      </c>
      <c r="B103" s="290" t="s">
        <v>99</v>
      </c>
      <c r="C103" s="290" t="s">
        <v>22</v>
      </c>
      <c r="D103" s="287" t="s">
        <v>300</v>
      </c>
      <c r="E103" s="2">
        <v>24768</v>
      </c>
      <c r="F103" s="2">
        <v>282560</v>
      </c>
      <c r="G103" s="288">
        <v>22280.9</v>
      </c>
      <c r="H103" s="1">
        <v>7.89</v>
      </c>
      <c r="I103" s="2">
        <v>5203</v>
      </c>
      <c r="J103" s="2">
        <v>232027</v>
      </c>
      <c r="K103" s="288">
        <v>15267.9</v>
      </c>
      <c r="L103" s="1">
        <v>6.58</v>
      </c>
      <c r="M103" s="2">
        <v>10</v>
      </c>
      <c r="N103" s="2">
        <v>99435</v>
      </c>
      <c r="O103" s="288">
        <v>4837.7</v>
      </c>
      <c r="P103" s="1">
        <v>4.87</v>
      </c>
      <c r="Q103" s="2">
        <v>0</v>
      </c>
      <c r="R103" s="2">
        <v>0</v>
      </c>
      <c r="S103" s="288">
        <v>0</v>
      </c>
      <c r="T103" s="1">
        <v>0</v>
      </c>
      <c r="U103" s="2">
        <v>29981</v>
      </c>
      <c r="V103" s="2">
        <v>614022</v>
      </c>
      <c r="W103" s="288">
        <v>42386.5</v>
      </c>
      <c r="X103" s="1">
        <v>6.9</v>
      </c>
      <c r="Z103" t="b">
        <f t="shared" si="1"/>
        <v>1</v>
      </c>
      <c r="AA103" s="27" t="s">
        <v>390</v>
      </c>
    </row>
    <row r="104" spans="1:27" x14ac:dyDescent="0.2">
      <c r="A104" s="1" t="s">
        <v>391</v>
      </c>
      <c r="B104" s="290" t="s">
        <v>102</v>
      </c>
      <c r="C104" s="290" t="s">
        <v>19</v>
      </c>
      <c r="D104" s="287" t="s">
        <v>302</v>
      </c>
      <c r="E104" s="2">
        <v>56842</v>
      </c>
      <c r="F104" s="2">
        <v>705128</v>
      </c>
      <c r="G104" s="288">
        <v>59795.199999999997</v>
      </c>
      <c r="H104" s="1">
        <v>8.48</v>
      </c>
      <c r="I104" s="2">
        <v>8603</v>
      </c>
      <c r="J104" s="2">
        <v>396715</v>
      </c>
      <c r="K104" s="288">
        <v>28668.6</v>
      </c>
      <c r="L104" s="1">
        <v>7.23</v>
      </c>
      <c r="M104" s="2">
        <v>5537</v>
      </c>
      <c r="N104" s="2">
        <v>2224451</v>
      </c>
      <c r="O104" s="288">
        <v>117233.5</v>
      </c>
      <c r="P104" s="1">
        <v>5.27</v>
      </c>
      <c r="Q104" s="2">
        <v>0</v>
      </c>
      <c r="R104" s="2">
        <v>0</v>
      </c>
      <c r="S104" s="288">
        <v>0</v>
      </c>
      <c r="T104" s="1">
        <v>0</v>
      </c>
      <c r="U104" s="2">
        <v>70982</v>
      </c>
      <c r="V104" s="2">
        <v>3326294</v>
      </c>
      <c r="W104" s="288">
        <v>205697.3</v>
      </c>
      <c r="X104" s="1">
        <v>6.18</v>
      </c>
      <c r="Z104" t="b">
        <f t="shared" si="1"/>
        <v>1</v>
      </c>
      <c r="AA104" s="27" t="s">
        <v>391</v>
      </c>
    </row>
    <row r="105" spans="1:27" x14ac:dyDescent="0.2">
      <c r="A105" s="1" t="s">
        <v>392</v>
      </c>
      <c r="B105" s="286" t="s">
        <v>102</v>
      </c>
      <c r="C105" s="287" t="s">
        <v>22</v>
      </c>
      <c r="D105" s="287" t="s">
        <v>302</v>
      </c>
      <c r="E105" s="2">
        <v>469923</v>
      </c>
      <c r="F105" s="2">
        <v>5452440</v>
      </c>
      <c r="G105" s="288">
        <v>466269.5</v>
      </c>
      <c r="H105" s="1">
        <v>8.5500000000000007</v>
      </c>
      <c r="I105" s="2">
        <v>78071</v>
      </c>
      <c r="J105" s="2">
        <v>4811165</v>
      </c>
      <c r="K105" s="288">
        <v>341416.3</v>
      </c>
      <c r="L105" s="1">
        <v>7.1</v>
      </c>
      <c r="M105" s="2">
        <v>9713</v>
      </c>
      <c r="N105" s="2">
        <v>2436673</v>
      </c>
      <c r="O105" s="288">
        <v>133093.70000000001</v>
      </c>
      <c r="P105" s="1">
        <v>5.46</v>
      </c>
      <c r="Q105" s="2">
        <v>24</v>
      </c>
      <c r="R105" s="2">
        <v>16894</v>
      </c>
      <c r="S105" s="288">
        <v>1093.4000000000001</v>
      </c>
      <c r="T105" s="1">
        <v>6.47</v>
      </c>
      <c r="U105" s="2">
        <v>557731</v>
      </c>
      <c r="V105" s="2">
        <v>12717172</v>
      </c>
      <c r="W105" s="288">
        <v>941872.9</v>
      </c>
      <c r="X105" s="1">
        <v>7.41</v>
      </c>
      <c r="Z105" t="b">
        <f t="shared" si="1"/>
        <v>1</v>
      </c>
      <c r="AA105" s="27" t="s">
        <v>392</v>
      </c>
    </row>
    <row r="106" spans="1:27" x14ac:dyDescent="0.2">
      <c r="A106" s="1" t="s">
        <v>393</v>
      </c>
      <c r="B106" s="286" t="s">
        <v>102</v>
      </c>
      <c r="C106" s="287" t="s">
        <v>14</v>
      </c>
      <c r="D106" s="287" t="s">
        <v>302</v>
      </c>
      <c r="E106" s="2">
        <v>103334</v>
      </c>
      <c r="F106" s="2">
        <v>1621177</v>
      </c>
      <c r="G106" s="288">
        <v>117256</v>
      </c>
      <c r="H106" s="1">
        <v>7.23</v>
      </c>
      <c r="I106" s="2">
        <v>18117</v>
      </c>
      <c r="J106" s="2">
        <v>1411549</v>
      </c>
      <c r="K106" s="288">
        <v>97063.6</v>
      </c>
      <c r="L106" s="1">
        <v>6.88</v>
      </c>
      <c r="M106" s="2">
        <v>5802</v>
      </c>
      <c r="N106" s="2">
        <v>951905</v>
      </c>
      <c r="O106" s="288">
        <v>54373.9</v>
      </c>
      <c r="P106" s="1">
        <v>5.71</v>
      </c>
      <c r="Q106" s="2">
        <v>0</v>
      </c>
      <c r="R106" s="2">
        <v>0</v>
      </c>
      <c r="S106" s="288">
        <v>0</v>
      </c>
      <c r="T106" s="1">
        <v>0</v>
      </c>
      <c r="U106" s="2">
        <v>127253</v>
      </c>
      <c r="V106" s="2">
        <v>3984631</v>
      </c>
      <c r="W106" s="288">
        <v>268693.5</v>
      </c>
      <c r="X106" s="1">
        <v>6.74</v>
      </c>
      <c r="Z106" t="b">
        <f t="shared" si="1"/>
        <v>1</v>
      </c>
      <c r="AA106" s="11" t="s">
        <v>393</v>
      </c>
    </row>
    <row r="107" spans="1:27" x14ac:dyDescent="0.2">
      <c r="A107" s="1" t="s">
        <v>394</v>
      </c>
      <c r="B107" s="286" t="s">
        <v>104</v>
      </c>
      <c r="C107" s="287" t="s">
        <v>14</v>
      </c>
      <c r="D107" s="287" t="s">
        <v>300</v>
      </c>
      <c r="E107" s="2">
        <v>3848</v>
      </c>
      <c r="F107" s="2">
        <v>55989</v>
      </c>
      <c r="G107" s="288">
        <v>3240</v>
      </c>
      <c r="H107" s="1">
        <v>5.79</v>
      </c>
      <c r="I107" s="2">
        <v>576</v>
      </c>
      <c r="J107" s="2">
        <v>58062</v>
      </c>
      <c r="K107" s="288">
        <v>3144</v>
      </c>
      <c r="L107" s="1">
        <v>5.41</v>
      </c>
      <c r="M107" s="2">
        <v>0</v>
      </c>
      <c r="N107" s="2">
        <v>0</v>
      </c>
      <c r="O107" s="288">
        <v>0</v>
      </c>
      <c r="P107" s="1">
        <v>0</v>
      </c>
      <c r="Q107" s="2">
        <v>0</v>
      </c>
      <c r="R107" s="2">
        <v>0</v>
      </c>
      <c r="S107" s="288">
        <v>0</v>
      </c>
      <c r="T107" s="1">
        <v>0</v>
      </c>
      <c r="U107" s="2">
        <v>4424</v>
      </c>
      <c r="V107" s="2">
        <v>114051</v>
      </c>
      <c r="W107" s="288">
        <v>6384</v>
      </c>
      <c r="X107" s="1">
        <v>5.6</v>
      </c>
      <c r="Z107" t="b">
        <f t="shared" si="1"/>
        <v>1</v>
      </c>
      <c r="AA107" s="27" t="s">
        <v>394</v>
      </c>
    </row>
    <row r="108" spans="1:27" x14ac:dyDescent="0.2">
      <c r="A108" s="1" t="s">
        <v>395</v>
      </c>
      <c r="B108" s="286" t="s">
        <v>107</v>
      </c>
      <c r="C108" s="287" t="s">
        <v>14</v>
      </c>
      <c r="D108" s="287" t="s">
        <v>300</v>
      </c>
      <c r="E108" s="2">
        <v>26936</v>
      </c>
      <c r="F108" s="2">
        <v>413950</v>
      </c>
      <c r="G108" s="288">
        <v>34258</v>
      </c>
      <c r="H108" s="1">
        <v>8.2799999999999994</v>
      </c>
      <c r="I108" s="2">
        <v>3733</v>
      </c>
      <c r="J108" s="2">
        <v>152537</v>
      </c>
      <c r="K108" s="288">
        <v>11036</v>
      </c>
      <c r="L108" s="1">
        <v>7.23</v>
      </c>
      <c r="M108" s="2">
        <v>0</v>
      </c>
      <c r="N108" s="2">
        <v>0</v>
      </c>
      <c r="O108" s="288">
        <v>0</v>
      </c>
      <c r="P108" s="1">
        <v>0</v>
      </c>
      <c r="Q108" s="2">
        <v>0</v>
      </c>
      <c r="R108" s="2">
        <v>0</v>
      </c>
      <c r="S108" s="288">
        <v>0</v>
      </c>
      <c r="T108" s="1">
        <v>0</v>
      </c>
      <c r="U108" s="2">
        <v>30669</v>
      </c>
      <c r="V108" s="2">
        <v>566487</v>
      </c>
      <c r="W108" s="288">
        <v>45294</v>
      </c>
      <c r="X108" s="1">
        <v>8</v>
      </c>
      <c r="Z108" t="b">
        <f t="shared" si="1"/>
        <v>1</v>
      </c>
      <c r="AA108" s="27" t="s">
        <v>395</v>
      </c>
    </row>
    <row r="109" spans="1:27" x14ac:dyDescent="0.2">
      <c r="A109" s="27" t="s">
        <v>455</v>
      </c>
      <c r="B109" s="11" t="s">
        <v>259</v>
      </c>
      <c r="C109" s="11" t="s">
        <v>14</v>
      </c>
      <c r="D109" s="287" t="s">
        <v>310</v>
      </c>
      <c r="E109" s="2"/>
      <c r="F109" s="12">
        <v>138527</v>
      </c>
      <c r="G109" s="12">
        <v>111404</v>
      </c>
      <c r="J109" s="12">
        <v>111404</v>
      </c>
      <c r="M109" s="2"/>
      <c r="N109" s="12">
        <v>465941</v>
      </c>
      <c r="O109" s="12"/>
      <c r="P109" s="1"/>
      <c r="Q109" s="2"/>
      <c r="R109" s="2"/>
      <c r="S109" s="288"/>
      <c r="T109" s="1"/>
      <c r="U109" s="2"/>
      <c r="V109" s="12">
        <v>715872</v>
      </c>
      <c r="W109" s="288"/>
      <c r="X109" s="1"/>
      <c r="Z109" t="b">
        <f t="shared" si="1"/>
        <v>1</v>
      </c>
      <c r="AA109" s="27" t="s">
        <v>455</v>
      </c>
    </row>
    <row r="110" spans="1:27" x14ac:dyDescent="0.2">
      <c r="A110" s="11" t="str">
        <f>B110&amp;" - "&amp;C110</f>
        <v>Portland General Electric Company - OR</v>
      </c>
      <c r="B110" s="291" t="s">
        <v>109</v>
      </c>
      <c r="C110" s="292" t="s">
        <v>22</v>
      </c>
      <c r="D110" s="287" t="s">
        <v>302</v>
      </c>
      <c r="E110" s="2">
        <v>717719</v>
      </c>
      <c r="F110" s="2">
        <v>7452448</v>
      </c>
      <c r="G110" s="288">
        <v>752909</v>
      </c>
      <c r="H110" s="1">
        <v>10.1</v>
      </c>
      <c r="I110" s="2">
        <v>99025</v>
      </c>
      <c r="J110" s="2">
        <v>6871593</v>
      </c>
      <c r="K110" s="288">
        <v>582237</v>
      </c>
      <c r="L110" s="1">
        <v>8.4700000000000006</v>
      </c>
      <c r="M110" s="2">
        <v>3267</v>
      </c>
      <c r="N110" s="2">
        <v>3350647</v>
      </c>
      <c r="O110" s="288">
        <v>223297</v>
      </c>
      <c r="P110" s="1">
        <v>6.66</v>
      </c>
      <c r="Q110" s="2">
        <v>34</v>
      </c>
      <c r="R110" s="2">
        <v>8377</v>
      </c>
      <c r="S110" s="288">
        <v>672</v>
      </c>
      <c r="T110" s="1">
        <v>8.02</v>
      </c>
      <c r="U110" s="2">
        <v>820045</v>
      </c>
      <c r="V110" s="2">
        <v>17683065</v>
      </c>
      <c r="W110" s="288">
        <v>1559115</v>
      </c>
      <c r="X110" s="1">
        <v>8.82</v>
      </c>
      <c r="Z110" t="b">
        <f t="shared" si="1"/>
        <v>1</v>
      </c>
      <c r="AA110" s="27" t="s">
        <v>456</v>
      </c>
    </row>
    <row r="111" spans="1:27" x14ac:dyDescent="0.2">
      <c r="A111" s="1" t="s">
        <v>396</v>
      </c>
      <c r="B111" s="286" t="s">
        <v>397</v>
      </c>
      <c r="C111" s="287" t="s">
        <v>14</v>
      </c>
      <c r="D111" s="287" t="s">
        <v>310</v>
      </c>
      <c r="E111" s="2">
        <v>0</v>
      </c>
      <c r="F111" s="2">
        <v>0</v>
      </c>
      <c r="G111" s="288">
        <v>0</v>
      </c>
      <c r="H111" s="1">
        <v>0</v>
      </c>
      <c r="I111" s="2">
        <v>3</v>
      </c>
      <c r="J111" s="2">
        <v>320</v>
      </c>
      <c r="K111" s="288">
        <v>17</v>
      </c>
      <c r="L111" s="1">
        <v>5.31</v>
      </c>
      <c r="M111" s="2">
        <v>0</v>
      </c>
      <c r="N111" s="2">
        <v>0</v>
      </c>
      <c r="O111" s="288">
        <v>0</v>
      </c>
      <c r="P111" s="1">
        <v>0</v>
      </c>
      <c r="Q111" s="2">
        <v>0</v>
      </c>
      <c r="R111" s="2">
        <v>0</v>
      </c>
      <c r="S111" s="288">
        <v>0</v>
      </c>
      <c r="T111" s="1">
        <v>0</v>
      </c>
      <c r="U111" s="2">
        <v>3</v>
      </c>
      <c r="V111" s="2">
        <v>320</v>
      </c>
      <c r="W111" s="288">
        <v>17</v>
      </c>
      <c r="X111" s="1">
        <v>5.31</v>
      </c>
      <c r="Z111" t="b">
        <f t="shared" si="1"/>
        <v>1</v>
      </c>
      <c r="AA111" s="27" t="s">
        <v>396</v>
      </c>
    </row>
    <row r="112" spans="1:27" x14ac:dyDescent="0.2">
      <c r="A112" s="1" t="s">
        <v>398</v>
      </c>
      <c r="B112" s="286" t="s">
        <v>24</v>
      </c>
      <c r="C112" s="287" t="s">
        <v>14</v>
      </c>
      <c r="D112" s="287" t="s">
        <v>310</v>
      </c>
      <c r="E112" s="2">
        <v>39687</v>
      </c>
      <c r="F112" s="2">
        <v>654775</v>
      </c>
      <c r="G112" s="288">
        <v>43707</v>
      </c>
      <c r="H112" s="1">
        <v>6.68</v>
      </c>
      <c r="I112" s="2">
        <v>7190</v>
      </c>
      <c r="J112" s="2">
        <v>511341</v>
      </c>
      <c r="K112" s="288">
        <v>28337</v>
      </c>
      <c r="L112" s="1">
        <v>5.54</v>
      </c>
      <c r="M112" s="2">
        <v>739</v>
      </c>
      <c r="N112" s="2">
        <v>426686</v>
      </c>
      <c r="O112" s="288">
        <v>17809</v>
      </c>
      <c r="P112" s="1">
        <v>4.17</v>
      </c>
      <c r="Q112" s="2">
        <v>0</v>
      </c>
      <c r="R112" s="2">
        <v>0</v>
      </c>
      <c r="S112" s="288">
        <v>0</v>
      </c>
      <c r="T112" s="1">
        <v>0</v>
      </c>
      <c r="U112" s="2">
        <v>47616</v>
      </c>
      <c r="V112" s="2">
        <v>1592802</v>
      </c>
      <c r="W112" s="288">
        <v>89853</v>
      </c>
      <c r="X112" s="1">
        <v>5.64</v>
      </c>
      <c r="Z112" t="b">
        <f t="shared" si="1"/>
        <v>1</v>
      </c>
      <c r="AA112" s="27" t="s">
        <v>398</v>
      </c>
    </row>
    <row r="113" spans="1:27" x14ac:dyDescent="0.2">
      <c r="A113" s="1" t="s">
        <v>399</v>
      </c>
      <c r="B113" s="286" t="s">
        <v>33</v>
      </c>
      <c r="C113" s="287" t="s">
        <v>14</v>
      </c>
      <c r="D113" s="287" t="s">
        <v>310</v>
      </c>
      <c r="E113" s="2">
        <v>35687</v>
      </c>
      <c r="F113" s="2">
        <v>737441</v>
      </c>
      <c r="G113" s="288">
        <v>25132</v>
      </c>
      <c r="H113" s="1">
        <v>3.41</v>
      </c>
      <c r="I113" s="2">
        <v>10306</v>
      </c>
      <c r="J113" s="2">
        <v>450790</v>
      </c>
      <c r="K113" s="288">
        <v>17016</v>
      </c>
      <c r="L113" s="1">
        <v>3.77</v>
      </c>
      <c r="M113" s="2">
        <v>1509</v>
      </c>
      <c r="N113" s="2">
        <v>333101</v>
      </c>
      <c r="O113" s="288">
        <v>7636</v>
      </c>
      <c r="P113" s="1">
        <v>2.29</v>
      </c>
      <c r="Q113" s="2">
        <v>0</v>
      </c>
      <c r="R113" s="2">
        <v>0</v>
      </c>
      <c r="S113" s="288">
        <v>0</v>
      </c>
      <c r="T113" s="1">
        <v>0</v>
      </c>
      <c r="U113" s="2">
        <v>47502</v>
      </c>
      <c r="V113" s="2">
        <v>1521332</v>
      </c>
      <c r="W113" s="288">
        <v>49784</v>
      </c>
      <c r="X113" s="1">
        <v>3.27</v>
      </c>
      <c r="Z113" t="b">
        <f t="shared" si="1"/>
        <v>1</v>
      </c>
      <c r="AA113" s="11" t="s">
        <v>399</v>
      </c>
    </row>
    <row r="114" spans="1:27" x14ac:dyDescent="0.2">
      <c r="A114" s="1" t="s">
        <v>400</v>
      </c>
      <c r="B114" s="286" t="s">
        <v>36</v>
      </c>
      <c r="C114" s="287" t="s">
        <v>14</v>
      </c>
      <c r="D114" s="287" t="s">
        <v>310</v>
      </c>
      <c r="E114" s="2">
        <v>27048</v>
      </c>
      <c r="F114" s="2">
        <v>436871</v>
      </c>
      <c r="G114" s="288">
        <v>32271</v>
      </c>
      <c r="H114" s="1">
        <v>7.39</v>
      </c>
      <c r="I114" s="2">
        <v>3132</v>
      </c>
      <c r="J114" s="2">
        <v>165147</v>
      </c>
      <c r="K114" s="288">
        <v>10112</v>
      </c>
      <c r="L114" s="1">
        <v>6.12</v>
      </c>
      <c r="M114" s="2">
        <v>6</v>
      </c>
      <c r="N114" s="2">
        <v>29418</v>
      </c>
      <c r="O114" s="288">
        <v>1670</v>
      </c>
      <c r="P114" s="1">
        <v>5.68</v>
      </c>
      <c r="Q114" s="2">
        <v>0</v>
      </c>
      <c r="R114" s="2">
        <v>0</v>
      </c>
      <c r="S114" s="288">
        <v>0</v>
      </c>
      <c r="T114" s="1">
        <v>0</v>
      </c>
      <c r="U114" s="2">
        <v>30186</v>
      </c>
      <c r="V114" s="2">
        <v>631436</v>
      </c>
      <c r="W114" s="288">
        <v>44053</v>
      </c>
      <c r="X114" s="1">
        <v>6.98</v>
      </c>
      <c r="Z114" t="b">
        <f t="shared" si="1"/>
        <v>1</v>
      </c>
      <c r="AA114" s="27" t="s">
        <v>400</v>
      </c>
    </row>
    <row r="115" spans="1:27" x14ac:dyDescent="0.2">
      <c r="A115" s="1" t="s">
        <v>401</v>
      </c>
      <c r="B115" s="286" t="s">
        <v>37</v>
      </c>
      <c r="C115" s="287" t="s">
        <v>14</v>
      </c>
      <c r="D115" s="287" t="s">
        <v>310</v>
      </c>
      <c r="E115" s="2">
        <v>167634</v>
      </c>
      <c r="F115" s="2">
        <v>2256838</v>
      </c>
      <c r="G115" s="288">
        <v>191920</v>
      </c>
      <c r="H115" s="1">
        <v>8.5</v>
      </c>
      <c r="I115" s="2">
        <v>15854</v>
      </c>
      <c r="J115" s="2">
        <v>1304920</v>
      </c>
      <c r="K115" s="288">
        <v>94267</v>
      </c>
      <c r="L115" s="1">
        <v>7.22</v>
      </c>
      <c r="M115" s="2">
        <v>26</v>
      </c>
      <c r="N115" s="2">
        <v>788772</v>
      </c>
      <c r="O115" s="288">
        <v>42397</v>
      </c>
      <c r="P115" s="1">
        <v>5.38</v>
      </c>
      <c r="Q115" s="2">
        <v>0</v>
      </c>
      <c r="R115" s="2">
        <v>0</v>
      </c>
      <c r="S115" s="288">
        <v>0</v>
      </c>
      <c r="T115" s="1">
        <v>0</v>
      </c>
      <c r="U115" s="2">
        <v>183514</v>
      </c>
      <c r="V115" s="2">
        <v>4350530</v>
      </c>
      <c r="W115" s="288">
        <v>328584</v>
      </c>
      <c r="X115" s="1">
        <v>7.55</v>
      </c>
      <c r="Z115" t="b">
        <f t="shared" si="1"/>
        <v>1</v>
      </c>
      <c r="AA115" s="27" t="s">
        <v>401</v>
      </c>
    </row>
    <row r="116" spans="1:27" x14ac:dyDescent="0.2">
      <c r="A116" s="1" t="s">
        <v>402</v>
      </c>
      <c r="B116" s="286" t="s">
        <v>44</v>
      </c>
      <c r="C116" s="287" t="s">
        <v>14</v>
      </c>
      <c r="D116" s="287" t="s">
        <v>310</v>
      </c>
      <c r="E116" s="2">
        <v>43027</v>
      </c>
      <c r="F116" s="2">
        <v>743566</v>
      </c>
      <c r="G116" s="288">
        <v>41975</v>
      </c>
      <c r="H116" s="1">
        <v>5.65</v>
      </c>
      <c r="I116" s="2">
        <v>5110</v>
      </c>
      <c r="J116" s="2">
        <v>375473</v>
      </c>
      <c r="K116" s="288">
        <v>24986</v>
      </c>
      <c r="L116" s="1">
        <v>6.65</v>
      </c>
      <c r="M116" s="2">
        <v>129</v>
      </c>
      <c r="N116" s="2">
        <v>3567022</v>
      </c>
      <c r="O116" s="288">
        <v>139243</v>
      </c>
      <c r="P116" s="1">
        <v>3.9</v>
      </c>
      <c r="Q116" s="2">
        <v>0</v>
      </c>
      <c r="R116" s="2">
        <v>0</v>
      </c>
      <c r="S116" s="288">
        <v>0</v>
      </c>
      <c r="T116" s="1">
        <v>0</v>
      </c>
      <c r="U116" s="2">
        <v>48266</v>
      </c>
      <c r="V116" s="2">
        <v>4686061</v>
      </c>
      <c r="W116" s="288">
        <v>206204</v>
      </c>
      <c r="X116" s="1">
        <v>4.4000000000000004</v>
      </c>
      <c r="Z116" t="b">
        <f t="shared" si="1"/>
        <v>1</v>
      </c>
      <c r="AA116" s="27" t="s">
        <v>402</v>
      </c>
    </row>
    <row r="117" spans="1:27" x14ac:dyDescent="0.2">
      <c r="A117" s="1" t="s">
        <v>403</v>
      </c>
      <c r="B117" s="286" t="s">
        <v>46</v>
      </c>
      <c r="C117" s="287" t="s">
        <v>14</v>
      </c>
      <c r="D117" s="287" t="s">
        <v>310</v>
      </c>
      <c r="E117" s="2">
        <v>16133</v>
      </c>
      <c r="F117" s="2">
        <v>373938</v>
      </c>
      <c r="G117" s="288">
        <v>9258</v>
      </c>
      <c r="H117" s="1">
        <v>2.48</v>
      </c>
      <c r="I117" s="2">
        <v>1700</v>
      </c>
      <c r="J117" s="2">
        <v>186311</v>
      </c>
      <c r="K117" s="288">
        <v>4559</v>
      </c>
      <c r="L117" s="1">
        <v>2.4500000000000002</v>
      </c>
      <c r="M117" s="2">
        <v>547</v>
      </c>
      <c r="N117" s="2">
        <v>74788</v>
      </c>
      <c r="O117" s="288">
        <v>1657</v>
      </c>
      <c r="P117" s="1">
        <v>2.2200000000000002</v>
      </c>
      <c r="Q117" s="2">
        <v>0</v>
      </c>
      <c r="R117" s="2">
        <v>0</v>
      </c>
      <c r="S117" s="288">
        <v>0</v>
      </c>
      <c r="T117" s="1">
        <v>0</v>
      </c>
      <c r="U117" s="2">
        <v>18380</v>
      </c>
      <c r="V117" s="2">
        <v>635037</v>
      </c>
      <c r="W117" s="288">
        <v>15474</v>
      </c>
      <c r="X117" s="1">
        <v>2.44</v>
      </c>
      <c r="Z117" t="b">
        <f t="shared" si="1"/>
        <v>1</v>
      </c>
      <c r="AA117" s="27" t="s">
        <v>403</v>
      </c>
    </row>
    <row r="118" spans="1:27" x14ac:dyDescent="0.2">
      <c r="A118" s="1" t="s">
        <v>404</v>
      </c>
      <c r="B118" s="286" t="s">
        <v>58</v>
      </c>
      <c r="C118" s="287" t="s">
        <v>14</v>
      </c>
      <c r="D118" s="287" t="s">
        <v>310</v>
      </c>
      <c r="E118" s="2">
        <v>2908</v>
      </c>
      <c r="F118" s="2">
        <v>32869</v>
      </c>
      <c r="G118" s="288">
        <v>2869.1</v>
      </c>
      <c r="H118" s="1">
        <v>8.73</v>
      </c>
      <c r="I118" s="2">
        <v>479</v>
      </c>
      <c r="J118" s="2">
        <v>9346</v>
      </c>
      <c r="K118" s="288">
        <v>828.8</v>
      </c>
      <c r="L118" s="1">
        <v>8.8699999999999992</v>
      </c>
      <c r="M118" s="2">
        <v>25</v>
      </c>
      <c r="N118" s="2">
        <v>51331</v>
      </c>
      <c r="O118" s="288">
        <v>2605.6999999999998</v>
      </c>
      <c r="P118" s="1">
        <v>5.08</v>
      </c>
      <c r="Q118" s="2">
        <v>0</v>
      </c>
      <c r="R118" s="2">
        <v>0</v>
      </c>
      <c r="S118" s="288">
        <v>0</v>
      </c>
      <c r="T118" s="1">
        <v>0</v>
      </c>
      <c r="U118" s="2">
        <v>3412</v>
      </c>
      <c r="V118" s="2">
        <v>93546</v>
      </c>
      <c r="W118" s="288">
        <v>6303.6</v>
      </c>
      <c r="X118" s="1">
        <v>6.74</v>
      </c>
      <c r="Z118" t="b">
        <f t="shared" si="1"/>
        <v>1</v>
      </c>
      <c r="AA118" s="27" t="s">
        <v>404</v>
      </c>
    </row>
    <row r="119" spans="1:27" x14ac:dyDescent="0.2">
      <c r="A119" s="1" t="s">
        <v>405</v>
      </c>
      <c r="B119" s="286" t="s">
        <v>61</v>
      </c>
      <c r="C119" s="287" t="s">
        <v>14</v>
      </c>
      <c r="D119" s="287" t="s">
        <v>310</v>
      </c>
      <c r="E119" s="2">
        <v>21222</v>
      </c>
      <c r="F119" s="2">
        <v>321335</v>
      </c>
      <c r="G119" s="288">
        <v>21403</v>
      </c>
      <c r="H119" s="1">
        <v>6.66</v>
      </c>
      <c r="I119" s="2">
        <v>1837</v>
      </c>
      <c r="J119" s="2">
        <v>343362</v>
      </c>
      <c r="K119" s="288">
        <v>21505</v>
      </c>
      <c r="L119" s="1">
        <v>6.26</v>
      </c>
      <c r="M119" s="2">
        <v>424</v>
      </c>
      <c r="N119" s="2">
        <v>285322</v>
      </c>
      <c r="O119" s="288">
        <v>15023</v>
      </c>
      <c r="P119" s="1">
        <v>5.27</v>
      </c>
      <c r="Q119" s="2">
        <v>0</v>
      </c>
      <c r="R119" s="2">
        <v>0</v>
      </c>
      <c r="S119" s="288">
        <v>0</v>
      </c>
      <c r="T119" s="1">
        <v>0</v>
      </c>
      <c r="U119" s="2">
        <v>23483</v>
      </c>
      <c r="V119" s="2">
        <v>950019</v>
      </c>
      <c r="W119" s="288">
        <v>57931</v>
      </c>
      <c r="X119" s="1">
        <v>6.1</v>
      </c>
      <c r="Z119" t="b">
        <f t="shared" si="1"/>
        <v>1</v>
      </c>
      <c r="AA119" s="27" t="s">
        <v>405</v>
      </c>
    </row>
    <row r="120" spans="1:27" x14ac:dyDescent="0.2">
      <c r="A120" s="1" t="s">
        <v>406</v>
      </c>
      <c r="B120" s="286" t="s">
        <v>64</v>
      </c>
      <c r="C120" s="287" t="s">
        <v>14</v>
      </c>
      <c r="D120" s="287" t="s">
        <v>310</v>
      </c>
      <c r="E120" s="2">
        <v>34818</v>
      </c>
      <c r="F120" s="2">
        <v>477890</v>
      </c>
      <c r="G120" s="288">
        <v>39452</v>
      </c>
      <c r="H120" s="1">
        <v>8.26</v>
      </c>
      <c r="I120" s="2">
        <v>4547</v>
      </c>
      <c r="J120" s="2">
        <v>281585</v>
      </c>
      <c r="K120" s="288">
        <v>21743</v>
      </c>
      <c r="L120" s="1">
        <v>7.72</v>
      </c>
      <c r="M120" s="2">
        <v>2354</v>
      </c>
      <c r="N120" s="2">
        <v>131206</v>
      </c>
      <c r="O120" s="288">
        <v>7921</v>
      </c>
      <c r="P120" s="1">
        <v>6.04</v>
      </c>
      <c r="Q120" s="2">
        <v>0</v>
      </c>
      <c r="R120" s="2">
        <v>0</v>
      </c>
      <c r="S120" s="288">
        <v>0</v>
      </c>
      <c r="T120" s="1">
        <v>0</v>
      </c>
      <c r="U120" s="2">
        <v>41719</v>
      </c>
      <c r="V120" s="2">
        <v>890681</v>
      </c>
      <c r="W120" s="288">
        <v>69116</v>
      </c>
      <c r="X120" s="1">
        <v>7.76</v>
      </c>
      <c r="Z120" t="b">
        <f t="shared" si="1"/>
        <v>1</v>
      </c>
      <c r="AA120" s="27" t="s">
        <v>406</v>
      </c>
    </row>
    <row r="121" spans="1:27" x14ac:dyDescent="0.2">
      <c r="A121" s="1" t="s">
        <v>407</v>
      </c>
      <c r="B121" s="286" t="s">
        <v>72</v>
      </c>
      <c r="C121" s="287" t="s">
        <v>14</v>
      </c>
      <c r="D121" s="287" t="s">
        <v>310</v>
      </c>
      <c r="E121" s="2">
        <v>3625</v>
      </c>
      <c r="F121" s="2">
        <v>52928</v>
      </c>
      <c r="G121" s="288">
        <v>4707</v>
      </c>
      <c r="H121" s="1">
        <v>8.89</v>
      </c>
      <c r="I121" s="2">
        <v>301</v>
      </c>
      <c r="J121" s="2">
        <v>23193</v>
      </c>
      <c r="K121" s="288">
        <v>1568.3</v>
      </c>
      <c r="L121" s="1">
        <v>6.76</v>
      </c>
      <c r="M121" s="2">
        <v>406</v>
      </c>
      <c r="N121" s="2">
        <v>6129</v>
      </c>
      <c r="O121" s="288">
        <v>508.8</v>
      </c>
      <c r="P121" s="1">
        <v>8.3000000000000007</v>
      </c>
      <c r="Q121" s="2">
        <v>0</v>
      </c>
      <c r="R121" s="2">
        <v>0</v>
      </c>
      <c r="S121" s="288">
        <v>0</v>
      </c>
      <c r="T121" s="1">
        <v>0</v>
      </c>
      <c r="U121" s="2">
        <v>4332</v>
      </c>
      <c r="V121" s="2">
        <v>82250</v>
      </c>
      <c r="W121" s="288">
        <v>6784.1</v>
      </c>
      <c r="X121" s="1">
        <v>8.25</v>
      </c>
      <c r="Z121" t="b">
        <f t="shared" si="1"/>
        <v>1</v>
      </c>
      <c r="AA121" s="27" t="s">
        <v>407</v>
      </c>
    </row>
    <row r="122" spans="1:27" x14ac:dyDescent="0.2">
      <c r="A122" s="1" t="s">
        <v>408</v>
      </c>
      <c r="B122" s="290" t="s">
        <v>73</v>
      </c>
      <c r="C122" s="290" t="s">
        <v>14</v>
      </c>
      <c r="D122" s="287" t="s">
        <v>310</v>
      </c>
      <c r="E122" s="2">
        <v>9970</v>
      </c>
      <c r="F122" s="2">
        <v>141095</v>
      </c>
      <c r="G122" s="288">
        <v>10913.2</v>
      </c>
      <c r="H122" s="1">
        <v>7.73</v>
      </c>
      <c r="I122" s="2">
        <v>1857</v>
      </c>
      <c r="J122" s="2">
        <v>92576</v>
      </c>
      <c r="K122" s="288">
        <v>6112.7</v>
      </c>
      <c r="L122" s="1">
        <v>6.6</v>
      </c>
      <c r="M122" s="2">
        <v>245</v>
      </c>
      <c r="N122" s="2">
        <v>89563</v>
      </c>
      <c r="O122" s="288">
        <v>3961.8</v>
      </c>
      <c r="P122" s="1">
        <v>4.42</v>
      </c>
      <c r="Q122" s="2">
        <v>0</v>
      </c>
      <c r="R122" s="2">
        <v>0</v>
      </c>
      <c r="S122" s="288">
        <v>0</v>
      </c>
      <c r="T122" s="1">
        <v>0</v>
      </c>
      <c r="U122" s="2">
        <v>12072</v>
      </c>
      <c r="V122" s="2">
        <v>323234</v>
      </c>
      <c r="W122" s="288">
        <v>20987.7</v>
      </c>
      <c r="X122" s="1">
        <v>6.49</v>
      </c>
      <c r="Z122" t="b">
        <f t="shared" si="1"/>
        <v>1</v>
      </c>
      <c r="AA122" s="27" t="s">
        <v>408</v>
      </c>
    </row>
    <row r="123" spans="1:27" x14ac:dyDescent="0.2">
      <c r="A123" s="1" t="s">
        <v>409</v>
      </c>
      <c r="B123" s="286" t="s">
        <v>77</v>
      </c>
      <c r="C123" s="287" t="s">
        <v>14</v>
      </c>
      <c r="D123" s="287" t="s">
        <v>310</v>
      </c>
      <c r="E123" s="2">
        <v>25799</v>
      </c>
      <c r="F123" s="2">
        <v>452347</v>
      </c>
      <c r="G123" s="288">
        <v>25627</v>
      </c>
      <c r="H123" s="1">
        <v>5.67</v>
      </c>
      <c r="I123" s="2">
        <v>5184</v>
      </c>
      <c r="J123" s="2">
        <v>215094</v>
      </c>
      <c r="K123" s="288">
        <v>11080</v>
      </c>
      <c r="L123" s="1">
        <v>5.15</v>
      </c>
      <c r="M123" s="2">
        <v>77</v>
      </c>
      <c r="N123" s="2">
        <v>270775</v>
      </c>
      <c r="O123" s="288">
        <v>11535</v>
      </c>
      <c r="P123" s="1">
        <v>4.26</v>
      </c>
      <c r="Q123" s="2">
        <v>0</v>
      </c>
      <c r="R123" s="2">
        <v>0</v>
      </c>
      <c r="S123" s="288">
        <v>0</v>
      </c>
      <c r="T123" s="1">
        <v>0</v>
      </c>
      <c r="U123" s="2">
        <v>31060</v>
      </c>
      <c r="V123" s="2">
        <v>938216</v>
      </c>
      <c r="W123" s="288">
        <v>48242</v>
      </c>
      <c r="X123" s="1">
        <v>5.14</v>
      </c>
      <c r="Z123" t="b">
        <f t="shared" si="1"/>
        <v>1</v>
      </c>
      <c r="AA123" s="27" t="s">
        <v>409</v>
      </c>
    </row>
    <row r="124" spans="1:27" x14ac:dyDescent="0.2">
      <c r="A124" s="1" t="s">
        <v>410</v>
      </c>
      <c r="B124" s="286" t="s">
        <v>140</v>
      </c>
      <c r="C124" s="287" t="s">
        <v>14</v>
      </c>
      <c r="D124" s="287" t="s">
        <v>310</v>
      </c>
      <c r="E124" s="2">
        <v>4686</v>
      </c>
      <c r="F124" s="2">
        <v>53492</v>
      </c>
      <c r="G124" s="288">
        <v>4667</v>
      </c>
      <c r="H124" s="1">
        <v>8.7200000000000006</v>
      </c>
      <c r="I124" s="2">
        <v>457</v>
      </c>
      <c r="J124" s="2">
        <v>15229</v>
      </c>
      <c r="K124" s="288">
        <v>1275</v>
      </c>
      <c r="L124" s="1">
        <v>8.3699999999999992</v>
      </c>
      <c r="M124" s="2">
        <v>0</v>
      </c>
      <c r="N124" s="2">
        <v>0</v>
      </c>
      <c r="O124" s="288">
        <v>0</v>
      </c>
      <c r="P124" s="1">
        <v>0</v>
      </c>
      <c r="Q124" s="2">
        <v>0</v>
      </c>
      <c r="R124" s="2">
        <v>0</v>
      </c>
      <c r="S124" s="288">
        <v>0</v>
      </c>
      <c r="T124" s="1">
        <v>0</v>
      </c>
      <c r="U124" s="2">
        <v>5143</v>
      </c>
      <c r="V124" s="2">
        <v>68721</v>
      </c>
      <c r="W124" s="288">
        <v>5942</v>
      </c>
      <c r="X124" s="1">
        <v>8.65</v>
      </c>
      <c r="Z124" t="b">
        <f t="shared" si="1"/>
        <v>1</v>
      </c>
      <c r="AA124" s="27" t="s">
        <v>410</v>
      </c>
    </row>
    <row r="125" spans="1:27" x14ac:dyDescent="0.2">
      <c r="A125" s="1" t="s">
        <v>411</v>
      </c>
      <c r="B125" s="286" t="s">
        <v>97</v>
      </c>
      <c r="C125" s="287" t="s">
        <v>14</v>
      </c>
      <c r="D125" s="287" t="s">
        <v>310</v>
      </c>
      <c r="E125" s="2">
        <v>16857</v>
      </c>
      <c r="F125" s="2">
        <v>289164</v>
      </c>
      <c r="G125" s="288">
        <v>14961.7</v>
      </c>
      <c r="H125" s="1">
        <v>5.17</v>
      </c>
      <c r="I125" s="2">
        <v>3740</v>
      </c>
      <c r="J125" s="2">
        <v>259331</v>
      </c>
      <c r="K125" s="288">
        <v>13158</v>
      </c>
      <c r="L125" s="1">
        <v>5.07</v>
      </c>
      <c r="M125" s="2">
        <v>4</v>
      </c>
      <c r="N125" s="2">
        <v>21602</v>
      </c>
      <c r="O125" s="288">
        <v>982.6</v>
      </c>
      <c r="P125" s="1">
        <v>4.55</v>
      </c>
      <c r="Q125" s="2">
        <v>0</v>
      </c>
      <c r="R125" s="2">
        <v>0</v>
      </c>
      <c r="S125" s="288">
        <v>0</v>
      </c>
      <c r="T125" s="1">
        <v>0</v>
      </c>
      <c r="U125" s="2">
        <v>20601</v>
      </c>
      <c r="V125" s="2">
        <v>570097</v>
      </c>
      <c r="W125" s="288">
        <v>29102.3</v>
      </c>
      <c r="X125" s="1">
        <v>5.0999999999999996</v>
      </c>
      <c r="Z125" t="b">
        <f t="shared" si="1"/>
        <v>1</v>
      </c>
      <c r="AA125" s="27" t="s">
        <v>411</v>
      </c>
    </row>
    <row r="126" spans="1:27" x14ac:dyDescent="0.2">
      <c r="A126" s="1" t="s">
        <v>412</v>
      </c>
      <c r="B126" s="286" t="s">
        <v>106</v>
      </c>
      <c r="C126" s="287" t="s">
        <v>14</v>
      </c>
      <c r="D126" s="287" t="s">
        <v>310</v>
      </c>
      <c r="E126" s="2">
        <v>7922</v>
      </c>
      <c r="F126" s="2">
        <v>133607</v>
      </c>
      <c r="G126" s="288">
        <v>7142</v>
      </c>
      <c r="H126" s="1">
        <v>5.35</v>
      </c>
      <c r="I126" s="2">
        <v>861</v>
      </c>
      <c r="J126" s="2">
        <v>46194</v>
      </c>
      <c r="K126" s="288">
        <v>2044</v>
      </c>
      <c r="L126" s="1">
        <v>4.42</v>
      </c>
      <c r="M126" s="2">
        <v>9</v>
      </c>
      <c r="N126" s="2">
        <v>805935</v>
      </c>
      <c r="O126" s="288">
        <v>29435</v>
      </c>
      <c r="P126" s="1">
        <v>3.65</v>
      </c>
      <c r="Q126" s="2">
        <v>0</v>
      </c>
      <c r="R126" s="2">
        <v>0</v>
      </c>
      <c r="S126" s="288">
        <v>0</v>
      </c>
      <c r="T126" s="1">
        <v>0</v>
      </c>
      <c r="U126" s="2">
        <v>8792</v>
      </c>
      <c r="V126" s="2">
        <v>985736</v>
      </c>
      <c r="W126" s="288">
        <v>38621</v>
      </c>
      <c r="X126" s="1">
        <v>3.92</v>
      </c>
      <c r="Z126" t="b">
        <f t="shared" si="1"/>
        <v>1</v>
      </c>
      <c r="AA126" s="27" t="s">
        <v>412</v>
      </c>
    </row>
    <row r="127" spans="1:27" x14ac:dyDescent="0.2">
      <c r="A127" s="27" t="str">
        <f>B127&amp;" - "&amp;C127</f>
        <v>PUD No 1 of Skamania County - WA</v>
      </c>
      <c r="B127" s="291" t="s">
        <v>119</v>
      </c>
      <c r="C127" s="292" t="s">
        <v>14</v>
      </c>
      <c r="D127" s="287" t="s">
        <v>310</v>
      </c>
      <c r="E127" s="2">
        <v>5216</v>
      </c>
      <c r="F127" s="2">
        <v>75513</v>
      </c>
      <c r="G127" s="288">
        <v>5082.3</v>
      </c>
      <c r="H127" s="1">
        <v>6.73</v>
      </c>
      <c r="I127" s="2">
        <v>553</v>
      </c>
      <c r="J127" s="2">
        <v>21145</v>
      </c>
      <c r="K127" s="288">
        <v>1316.2</v>
      </c>
      <c r="L127" s="1">
        <v>6.22</v>
      </c>
      <c r="M127" s="2">
        <v>57</v>
      </c>
      <c r="N127" s="2">
        <v>27366</v>
      </c>
      <c r="O127" s="288">
        <v>1514</v>
      </c>
      <c r="P127" s="1">
        <v>5.53</v>
      </c>
      <c r="Q127" s="2">
        <v>0</v>
      </c>
      <c r="R127" s="2">
        <v>0</v>
      </c>
      <c r="S127" s="288">
        <v>0</v>
      </c>
      <c r="T127" s="1">
        <v>0</v>
      </c>
      <c r="U127" s="2">
        <v>5826</v>
      </c>
      <c r="V127" s="2">
        <v>124024</v>
      </c>
      <c r="W127" s="288">
        <v>7912.5</v>
      </c>
      <c r="X127" s="1">
        <v>6.38</v>
      </c>
      <c r="Z127" t="b">
        <f t="shared" si="1"/>
        <v>1</v>
      </c>
      <c r="AA127" s="27" t="s">
        <v>457</v>
      </c>
    </row>
    <row r="128" spans="1:27" x14ac:dyDescent="0.2">
      <c r="A128" s="27" t="str">
        <f>B128&amp;" - "&amp;C128</f>
        <v>PUD No 1 of Snohomish County - WA</v>
      </c>
      <c r="B128" s="291" t="s">
        <v>120</v>
      </c>
      <c r="C128" s="292" t="s">
        <v>14</v>
      </c>
      <c r="D128" s="287" t="s">
        <v>310</v>
      </c>
      <c r="E128" s="2">
        <v>291260</v>
      </c>
      <c r="F128" s="2">
        <v>3493641</v>
      </c>
      <c r="G128" s="288">
        <v>282648</v>
      </c>
      <c r="H128" s="1">
        <v>8.09</v>
      </c>
      <c r="I128" s="2">
        <v>29758</v>
      </c>
      <c r="J128" s="2">
        <v>2398351</v>
      </c>
      <c r="K128" s="288">
        <v>172540</v>
      </c>
      <c r="L128" s="1">
        <v>7.19</v>
      </c>
      <c r="M128" s="2">
        <v>78</v>
      </c>
      <c r="N128" s="2">
        <v>829188</v>
      </c>
      <c r="O128" s="288">
        <v>47983</v>
      </c>
      <c r="P128" s="1">
        <v>5.79</v>
      </c>
      <c r="Q128" s="2">
        <v>0</v>
      </c>
      <c r="R128" s="2">
        <v>0</v>
      </c>
      <c r="S128" s="288">
        <v>0</v>
      </c>
      <c r="T128" s="1">
        <v>0</v>
      </c>
      <c r="U128" s="2">
        <v>321096</v>
      </c>
      <c r="V128" s="2">
        <v>6721180</v>
      </c>
      <c r="W128" s="288">
        <v>503171</v>
      </c>
      <c r="X128" s="1">
        <v>7.49</v>
      </c>
      <c r="Z128" t="b">
        <f t="shared" si="1"/>
        <v>1</v>
      </c>
      <c r="AA128" s="27" t="s">
        <v>458</v>
      </c>
    </row>
    <row r="129" spans="1:27" x14ac:dyDescent="0.2">
      <c r="A129" s="1" t="s">
        <v>413</v>
      </c>
      <c r="B129" s="286" t="s">
        <v>147</v>
      </c>
      <c r="C129" s="287" t="s">
        <v>14</v>
      </c>
      <c r="D129" s="287" t="s">
        <v>310</v>
      </c>
      <c r="E129" s="2">
        <v>0</v>
      </c>
      <c r="F129" s="2">
        <v>0</v>
      </c>
      <c r="G129" s="288">
        <v>0</v>
      </c>
      <c r="H129" s="1">
        <v>0</v>
      </c>
      <c r="I129" s="2">
        <v>0</v>
      </c>
      <c r="J129" s="2">
        <v>0</v>
      </c>
      <c r="K129" s="288">
        <v>0</v>
      </c>
      <c r="L129" s="1">
        <v>0</v>
      </c>
      <c r="M129" s="2">
        <v>1</v>
      </c>
      <c r="N129" s="2">
        <v>213677</v>
      </c>
      <c r="O129" s="288">
        <v>8631.7999999999993</v>
      </c>
      <c r="P129" s="1">
        <v>4.04</v>
      </c>
      <c r="Q129" s="2">
        <v>0</v>
      </c>
      <c r="R129" s="2">
        <v>0</v>
      </c>
      <c r="S129" s="288">
        <v>0</v>
      </c>
      <c r="T129" s="1">
        <v>0</v>
      </c>
      <c r="U129" s="2">
        <v>1</v>
      </c>
      <c r="V129" s="2">
        <v>213677</v>
      </c>
      <c r="W129" s="288">
        <v>8631.7999999999993</v>
      </c>
      <c r="X129" s="1">
        <v>4.04</v>
      </c>
      <c r="Z129" t="b">
        <f t="shared" si="1"/>
        <v>1</v>
      </c>
      <c r="AA129" s="27" t="s">
        <v>413</v>
      </c>
    </row>
    <row r="130" spans="1:27" x14ac:dyDescent="0.2">
      <c r="A130" s="1" t="s">
        <v>414</v>
      </c>
      <c r="B130" s="286" t="s">
        <v>111</v>
      </c>
      <c r="C130" s="287" t="s">
        <v>14</v>
      </c>
      <c r="D130" s="287" t="s">
        <v>310</v>
      </c>
      <c r="E130" s="2">
        <v>1953</v>
      </c>
      <c r="F130" s="2">
        <v>29316</v>
      </c>
      <c r="G130" s="288">
        <v>2266</v>
      </c>
      <c r="H130" s="1">
        <v>7.73</v>
      </c>
      <c r="I130" s="2">
        <v>456</v>
      </c>
      <c r="J130" s="2">
        <v>10074</v>
      </c>
      <c r="K130" s="288">
        <v>764</v>
      </c>
      <c r="L130" s="1">
        <v>7.58</v>
      </c>
      <c r="M130" s="2">
        <v>0</v>
      </c>
      <c r="N130" s="2">
        <v>0</v>
      </c>
      <c r="O130" s="288">
        <v>0</v>
      </c>
      <c r="P130" s="1">
        <v>0</v>
      </c>
      <c r="Q130" s="2">
        <v>0</v>
      </c>
      <c r="R130" s="2">
        <v>0</v>
      </c>
      <c r="S130" s="288">
        <v>0</v>
      </c>
      <c r="T130" s="1">
        <v>0</v>
      </c>
      <c r="U130" s="2">
        <v>2409</v>
      </c>
      <c r="V130" s="2">
        <v>39390</v>
      </c>
      <c r="W130" s="288">
        <v>3030</v>
      </c>
      <c r="X130" s="1">
        <v>7.69</v>
      </c>
      <c r="Z130" t="b">
        <f t="shared" si="1"/>
        <v>1</v>
      </c>
      <c r="AA130" s="27" t="s">
        <v>414</v>
      </c>
    </row>
    <row r="131" spans="1:27" x14ac:dyDescent="0.2">
      <c r="A131" s="1" t="s">
        <v>415</v>
      </c>
      <c r="B131" s="286" t="s">
        <v>105</v>
      </c>
      <c r="C131" s="287" t="s">
        <v>14</v>
      </c>
      <c r="D131" s="287" t="s">
        <v>310</v>
      </c>
      <c r="E131" s="2">
        <v>35216</v>
      </c>
      <c r="F131" s="2">
        <v>728619</v>
      </c>
      <c r="G131" s="288">
        <v>31252</v>
      </c>
      <c r="H131" s="1">
        <v>4.29</v>
      </c>
      <c r="I131" s="2">
        <v>6208</v>
      </c>
      <c r="J131" s="2">
        <v>706959</v>
      </c>
      <c r="K131" s="288">
        <v>22880</v>
      </c>
      <c r="L131" s="1">
        <v>3.24</v>
      </c>
      <c r="M131" s="2">
        <v>4574</v>
      </c>
      <c r="N131" s="2">
        <v>2442612</v>
      </c>
      <c r="O131" s="288">
        <v>68768</v>
      </c>
      <c r="P131" s="1">
        <v>2.82</v>
      </c>
      <c r="Q131" s="2">
        <v>0</v>
      </c>
      <c r="R131" s="2">
        <v>0</v>
      </c>
      <c r="S131" s="288">
        <v>0</v>
      </c>
      <c r="T131" s="1">
        <v>0</v>
      </c>
      <c r="U131" s="2">
        <v>45998</v>
      </c>
      <c r="V131" s="2">
        <v>3878190</v>
      </c>
      <c r="W131" s="288">
        <v>122900</v>
      </c>
      <c r="X131" s="1">
        <v>3.17</v>
      </c>
      <c r="Z131" t="b">
        <f t="shared" si="1"/>
        <v>1</v>
      </c>
      <c r="AA131" s="27" t="s">
        <v>415</v>
      </c>
    </row>
    <row r="132" spans="1:27" x14ac:dyDescent="0.2">
      <c r="A132" s="1" t="s">
        <v>416</v>
      </c>
      <c r="B132" s="290" t="s">
        <v>101</v>
      </c>
      <c r="C132" s="290" t="s">
        <v>14</v>
      </c>
      <c r="D132" s="287" t="s">
        <v>310</v>
      </c>
      <c r="E132" s="2">
        <v>15010</v>
      </c>
      <c r="F132" s="2">
        <v>180606</v>
      </c>
      <c r="G132" s="288">
        <v>12846</v>
      </c>
      <c r="H132" s="1">
        <v>7.11</v>
      </c>
      <c r="I132" s="2">
        <v>2287</v>
      </c>
      <c r="J132" s="2">
        <v>85964</v>
      </c>
      <c r="K132" s="288">
        <v>6467</v>
      </c>
      <c r="L132" s="1">
        <v>7.52</v>
      </c>
      <c r="M132" s="2">
        <v>2</v>
      </c>
      <c r="N132" s="2">
        <v>19218</v>
      </c>
      <c r="O132" s="288">
        <v>938</v>
      </c>
      <c r="P132" s="1">
        <v>4.88</v>
      </c>
      <c r="Q132" s="2">
        <v>0</v>
      </c>
      <c r="R132" s="2">
        <v>0</v>
      </c>
      <c r="S132" s="288">
        <v>0</v>
      </c>
      <c r="T132" s="1">
        <v>0</v>
      </c>
      <c r="U132" s="2">
        <v>17299</v>
      </c>
      <c r="V132" s="2">
        <v>285788</v>
      </c>
      <c r="W132" s="288">
        <v>20251</v>
      </c>
      <c r="X132" s="1">
        <v>7.09</v>
      </c>
      <c r="Z132" t="b">
        <f t="shared" ref="Z132:Z156" si="2">AA132=A132</f>
        <v>1</v>
      </c>
      <c r="AA132" s="27" t="s">
        <v>416</v>
      </c>
    </row>
    <row r="133" spans="1:27" x14ac:dyDescent="0.2">
      <c r="A133" s="1" t="s">
        <v>417</v>
      </c>
      <c r="B133" s="290" t="s">
        <v>112</v>
      </c>
      <c r="C133" s="290" t="s">
        <v>14</v>
      </c>
      <c r="D133" s="287" t="s">
        <v>310</v>
      </c>
      <c r="E133" s="2">
        <v>30240</v>
      </c>
      <c r="F133" s="2">
        <v>418585</v>
      </c>
      <c r="G133" s="288">
        <v>30821</v>
      </c>
      <c r="H133" s="1">
        <v>7.36</v>
      </c>
      <c r="I133" s="2">
        <v>2279</v>
      </c>
      <c r="J133" s="2">
        <v>185524</v>
      </c>
      <c r="K133" s="288">
        <v>12808</v>
      </c>
      <c r="L133" s="1">
        <v>6.9</v>
      </c>
      <c r="M133" s="2">
        <v>1</v>
      </c>
      <c r="N133" s="2">
        <v>50458</v>
      </c>
      <c r="O133" s="288">
        <v>2332</v>
      </c>
      <c r="P133" s="1">
        <v>4.62</v>
      </c>
      <c r="Q133" s="2">
        <v>0</v>
      </c>
      <c r="R133" s="2">
        <v>0</v>
      </c>
      <c r="S133" s="288">
        <v>0</v>
      </c>
      <c r="T133" s="1">
        <v>0</v>
      </c>
      <c r="U133" s="2">
        <v>32520</v>
      </c>
      <c r="V133" s="2">
        <v>654567</v>
      </c>
      <c r="W133" s="288">
        <v>45961</v>
      </c>
      <c r="X133" s="1">
        <v>7.02</v>
      </c>
      <c r="Z133" t="b">
        <f t="shared" si="2"/>
        <v>1</v>
      </c>
      <c r="AA133" s="27" t="s">
        <v>417</v>
      </c>
    </row>
    <row r="134" spans="1:27" x14ac:dyDescent="0.2">
      <c r="A134" s="1" t="s">
        <v>418</v>
      </c>
      <c r="B134" s="290" t="s">
        <v>13</v>
      </c>
      <c r="C134" s="290" t="s">
        <v>14</v>
      </c>
      <c r="D134" s="287" t="s">
        <v>302</v>
      </c>
      <c r="E134" s="2">
        <v>952803</v>
      </c>
      <c r="F134" s="2">
        <v>10609011</v>
      </c>
      <c r="G134" s="288">
        <v>1075107.3999999999</v>
      </c>
      <c r="H134" s="1">
        <v>10.130000000000001</v>
      </c>
      <c r="I134" s="2">
        <v>122013</v>
      </c>
      <c r="J134" s="2">
        <v>9138486</v>
      </c>
      <c r="K134" s="288">
        <v>852852.2</v>
      </c>
      <c r="L134" s="1">
        <v>9.33</v>
      </c>
      <c r="M134" s="2">
        <v>3660</v>
      </c>
      <c r="N134" s="2">
        <v>1153642</v>
      </c>
      <c r="O134" s="288">
        <v>103374.9</v>
      </c>
      <c r="P134" s="1">
        <v>8.9600000000000009</v>
      </c>
      <c r="Q134" s="2">
        <v>1</v>
      </c>
      <c r="R134" s="2">
        <v>3768</v>
      </c>
      <c r="S134" s="288">
        <v>311</v>
      </c>
      <c r="T134" s="1">
        <v>8.25</v>
      </c>
      <c r="U134" s="2">
        <v>1078477</v>
      </c>
      <c r="V134" s="2">
        <v>20904907</v>
      </c>
      <c r="W134" s="288">
        <v>2031645.5</v>
      </c>
      <c r="X134" s="1">
        <v>9.7200000000000006</v>
      </c>
      <c r="Z134" t="b">
        <f t="shared" si="2"/>
        <v>1</v>
      </c>
      <c r="AA134" s="27" t="s">
        <v>418</v>
      </c>
    </row>
    <row r="135" spans="1:27" x14ac:dyDescent="0.2">
      <c r="A135" s="1" t="s">
        <v>419</v>
      </c>
      <c r="B135" s="286" t="s">
        <v>141</v>
      </c>
      <c r="C135" s="287" t="s">
        <v>19</v>
      </c>
      <c r="D135" s="287" t="s">
        <v>300</v>
      </c>
      <c r="E135" s="2">
        <v>1246</v>
      </c>
      <c r="F135" s="2">
        <v>22518</v>
      </c>
      <c r="G135" s="288">
        <v>1797</v>
      </c>
      <c r="H135" s="1">
        <v>7.98</v>
      </c>
      <c r="I135" s="2">
        <v>298</v>
      </c>
      <c r="J135" s="2">
        <v>33261</v>
      </c>
      <c r="K135" s="288">
        <v>1672</v>
      </c>
      <c r="L135" s="1">
        <v>5.03</v>
      </c>
      <c r="M135" s="2">
        <v>881</v>
      </c>
      <c r="N135" s="2">
        <v>123002</v>
      </c>
      <c r="O135" s="288">
        <v>6015</v>
      </c>
      <c r="P135" s="1">
        <v>4.8899999999999997</v>
      </c>
      <c r="Q135" s="2">
        <v>0</v>
      </c>
      <c r="R135" s="2">
        <v>0</v>
      </c>
      <c r="S135" s="288">
        <v>0</v>
      </c>
      <c r="T135" s="1">
        <v>0</v>
      </c>
      <c r="U135" s="2">
        <v>2425</v>
      </c>
      <c r="V135" s="2">
        <v>178781</v>
      </c>
      <c r="W135" s="288">
        <v>9484</v>
      </c>
      <c r="X135" s="1">
        <v>5.3</v>
      </c>
      <c r="Z135" t="b">
        <f t="shared" si="2"/>
        <v>1</v>
      </c>
      <c r="AA135" s="27" t="s">
        <v>419</v>
      </c>
    </row>
    <row r="136" spans="1:27" x14ac:dyDescent="0.2">
      <c r="A136" s="1" t="s">
        <v>420</v>
      </c>
      <c r="B136" s="290" t="s">
        <v>141</v>
      </c>
      <c r="C136" s="290" t="s">
        <v>82</v>
      </c>
      <c r="D136" s="287" t="s">
        <v>300</v>
      </c>
      <c r="E136" s="2">
        <v>1456</v>
      </c>
      <c r="F136" s="2">
        <v>16159</v>
      </c>
      <c r="G136" s="288">
        <v>1356</v>
      </c>
      <c r="H136" s="1">
        <v>8.39</v>
      </c>
      <c r="I136" s="2">
        <v>257</v>
      </c>
      <c r="J136" s="2">
        <v>35129</v>
      </c>
      <c r="K136" s="288">
        <v>2128</v>
      </c>
      <c r="L136" s="1">
        <v>6.06</v>
      </c>
      <c r="M136" s="2">
        <v>46</v>
      </c>
      <c r="N136" s="2">
        <v>2855</v>
      </c>
      <c r="O136" s="288">
        <v>159</v>
      </c>
      <c r="P136" s="1">
        <v>5.57</v>
      </c>
      <c r="Q136" s="2">
        <v>0</v>
      </c>
      <c r="R136" s="2">
        <v>0</v>
      </c>
      <c r="S136" s="288">
        <v>0</v>
      </c>
      <c r="T136" s="1">
        <v>0</v>
      </c>
      <c r="U136" s="2">
        <v>1759</v>
      </c>
      <c r="V136" s="2">
        <v>54143</v>
      </c>
      <c r="W136" s="288">
        <v>3643</v>
      </c>
      <c r="X136" s="1">
        <v>6.73</v>
      </c>
      <c r="Z136" t="b">
        <f t="shared" si="2"/>
        <v>1</v>
      </c>
      <c r="AA136" s="27" t="s">
        <v>420</v>
      </c>
    </row>
    <row r="137" spans="1:27" x14ac:dyDescent="0.2">
      <c r="A137" s="1" t="s">
        <v>421</v>
      </c>
      <c r="B137" s="290" t="s">
        <v>143</v>
      </c>
      <c r="C137" s="290" t="s">
        <v>56</v>
      </c>
      <c r="D137" s="287" t="s">
        <v>300</v>
      </c>
      <c r="E137" s="2">
        <v>9353</v>
      </c>
      <c r="F137" s="2">
        <v>132803</v>
      </c>
      <c r="G137" s="288">
        <v>9333</v>
      </c>
      <c r="H137" s="1">
        <v>7.03</v>
      </c>
      <c r="I137" s="2">
        <v>355</v>
      </c>
      <c r="J137" s="2">
        <v>9226</v>
      </c>
      <c r="K137" s="288">
        <v>624</v>
      </c>
      <c r="L137" s="1">
        <v>6.76</v>
      </c>
      <c r="M137" s="2">
        <v>1</v>
      </c>
      <c r="N137" s="2">
        <v>3077</v>
      </c>
      <c r="O137" s="288">
        <v>160</v>
      </c>
      <c r="P137" s="1">
        <v>5.2</v>
      </c>
      <c r="Q137" s="2">
        <v>0</v>
      </c>
      <c r="R137" s="2">
        <v>0</v>
      </c>
      <c r="S137" s="288">
        <v>0</v>
      </c>
      <c r="T137" s="1">
        <v>0</v>
      </c>
      <c r="U137" s="2">
        <v>9709</v>
      </c>
      <c r="V137" s="2">
        <v>145106</v>
      </c>
      <c r="W137" s="288">
        <v>10117</v>
      </c>
      <c r="X137" s="1">
        <v>6.97</v>
      </c>
      <c r="Z137" t="b">
        <f t="shared" si="2"/>
        <v>1</v>
      </c>
      <c r="AA137" s="27" t="s">
        <v>421</v>
      </c>
    </row>
    <row r="138" spans="1:27" x14ac:dyDescent="0.2">
      <c r="A138" s="27" t="str">
        <f>B138&amp;" - "&amp;C138</f>
        <v>Riverside Electric Co - ID</v>
      </c>
      <c r="B138" s="291" t="s">
        <v>255</v>
      </c>
      <c r="C138" s="292" t="s">
        <v>19</v>
      </c>
      <c r="D138" s="287" t="s">
        <v>300</v>
      </c>
      <c r="E138" s="2">
        <v>502</v>
      </c>
      <c r="F138" s="2">
        <v>18586</v>
      </c>
      <c r="G138" s="288">
        <v>1066</v>
      </c>
      <c r="H138" s="1">
        <v>5.74</v>
      </c>
      <c r="I138" s="2">
        <v>0</v>
      </c>
      <c r="J138" s="2">
        <v>0</v>
      </c>
      <c r="K138" s="288">
        <v>0</v>
      </c>
      <c r="L138" s="1">
        <v>0</v>
      </c>
      <c r="M138" s="2">
        <v>0</v>
      </c>
      <c r="N138" s="2">
        <v>0</v>
      </c>
      <c r="O138" s="288">
        <v>0</v>
      </c>
      <c r="P138" s="1">
        <v>0</v>
      </c>
      <c r="Q138" s="2">
        <v>0</v>
      </c>
      <c r="R138" s="2">
        <v>0</v>
      </c>
      <c r="S138" s="288">
        <v>0</v>
      </c>
      <c r="T138" s="1">
        <v>0</v>
      </c>
      <c r="U138" s="2">
        <v>502</v>
      </c>
      <c r="V138" s="2">
        <v>18586</v>
      </c>
      <c r="W138" s="288">
        <v>1066</v>
      </c>
      <c r="X138" s="1">
        <v>5.74</v>
      </c>
      <c r="Z138" t="b">
        <f t="shared" si="2"/>
        <v>1</v>
      </c>
      <c r="AA138" s="27" t="s">
        <v>459</v>
      </c>
    </row>
    <row r="139" spans="1:27" x14ac:dyDescent="0.2">
      <c r="A139" s="1" t="s">
        <v>422</v>
      </c>
      <c r="B139" s="286" t="s">
        <v>117</v>
      </c>
      <c r="C139" s="287" t="s">
        <v>19</v>
      </c>
      <c r="D139" s="287" t="s">
        <v>300</v>
      </c>
      <c r="E139" s="2">
        <v>2116</v>
      </c>
      <c r="F139" s="2">
        <v>32002</v>
      </c>
      <c r="G139" s="288">
        <v>2550</v>
      </c>
      <c r="H139" s="1">
        <v>7.97</v>
      </c>
      <c r="I139" s="2">
        <v>429</v>
      </c>
      <c r="J139" s="2">
        <v>19792</v>
      </c>
      <c r="K139" s="288">
        <v>1325</v>
      </c>
      <c r="L139" s="1">
        <v>6.69</v>
      </c>
      <c r="M139" s="2">
        <v>109</v>
      </c>
      <c r="N139" s="2">
        <v>220531</v>
      </c>
      <c r="O139" s="288">
        <v>8556</v>
      </c>
      <c r="P139" s="1">
        <v>3.88</v>
      </c>
      <c r="Q139" s="2">
        <v>0</v>
      </c>
      <c r="R139" s="2">
        <v>0</v>
      </c>
      <c r="S139" s="288">
        <v>0</v>
      </c>
      <c r="T139" s="1">
        <v>0</v>
      </c>
      <c r="U139" s="2">
        <v>2654</v>
      </c>
      <c r="V139" s="2">
        <v>272325</v>
      </c>
      <c r="W139" s="288">
        <v>12431</v>
      </c>
      <c r="X139" s="1">
        <v>4.5599999999999996</v>
      </c>
      <c r="Z139" t="b">
        <f t="shared" si="2"/>
        <v>1</v>
      </c>
      <c r="AA139" s="27" t="s">
        <v>422</v>
      </c>
    </row>
    <row r="140" spans="1:27" x14ac:dyDescent="0.2">
      <c r="A140" s="1" t="s">
        <v>423</v>
      </c>
      <c r="B140" s="286" t="s">
        <v>122</v>
      </c>
      <c r="C140" s="287" t="s">
        <v>19</v>
      </c>
      <c r="D140" s="287" t="s">
        <v>300</v>
      </c>
      <c r="E140" s="2">
        <v>903</v>
      </c>
      <c r="F140" s="2">
        <v>24231</v>
      </c>
      <c r="G140" s="288">
        <v>1352</v>
      </c>
      <c r="H140" s="1">
        <v>5.58</v>
      </c>
      <c r="I140" s="2">
        <v>299</v>
      </c>
      <c r="J140" s="2">
        <v>27527</v>
      </c>
      <c r="K140" s="288">
        <v>1058</v>
      </c>
      <c r="L140" s="1">
        <v>3.84</v>
      </c>
      <c r="M140" s="2">
        <v>0</v>
      </c>
      <c r="N140" s="2">
        <v>0</v>
      </c>
      <c r="O140" s="288">
        <v>0</v>
      </c>
      <c r="P140" s="1">
        <v>0</v>
      </c>
      <c r="Q140" s="2">
        <v>0</v>
      </c>
      <c r="R140" s="2">
        <v>0</v>
      </c>
      <c r="S140" s="288">
        <v>0</v>
      </c>
      <c r="T140" s="1">
        <v>0</v>
      </c>
      <c r="U140" s="2">
        <v>1202</v>
      </c>
      <c r="V140" s="2">
        <v>51758</v>
      </c>
      <c r="W140" s="288">
        <v>2410</v>
      </c>
      <c r="X140" s="1">
        <v>4.66</v>
      </c>
      <c r="Z140" t="b">
        <f t="shared" si="2"/>
        <v>1</v>
      </c>
      <c r="AA140" s="27" t="s">
        <v>423</v>
      </c>
    </row>
    <row r="141" spans="1:27" x14ac:dyDescent="0.2">
      <c r="A141" s="1" t="s">
        <v>424</v>
      </c>
      <c r="B141" s="286" t="s">
        <v>125</v>
      </c>
      <c r="C141" s="287" t="s">
        <v>103</v>
      </c>
      <c r="D141" s="287" t="s">
        <v>300</v>
      </c>
      <c r="E141" s="2">
        <v>2826</v>
      </c>
      <c r="F141" s="2">
        <v>34930</v>
      </c>
      <c r="G141" s="288">
        <v>2437.3000000000002</v>
      </c>
      <c r="H141" s="1">
        <v>6.98</v>
      </c>
      <c r="I141" s="2">
        <v>848</v>
      </c>
      <c r="J141" s="2">
        <v>9353</v>
      </c>
      <c r="K141" s="288">
        <v>670.4</v>
      </c>
      <c r="L141" s="1">
        <v>7.17</v>
      </c>
      <c r="M141" s="2">
        <v>766</v>
      </c>
      <c r="N141" s="2">
        <v>46118</v>
      </c>
      <c r="O141" s="288">
        <v>2850.8</v>
      </c>
      <c r="P141" s="1">
        <v>6.18</v>
      </c>
      <c r="Q141" s="2">
        <v>0</v>
      </c>
      <c r="R141" s="2">
        <v>0</v>
      </c>
      <c r="S141" s="288">
        <v>0</v>
      </c>
      <c r="T141" s="1">
        <v>0</v>
      </c>
      <c r="U141" s="2">
        <v>4440</v>
      </c>
      <c r="V141" s="2">
        <v>90401</v>
      </c>
      <c r="W141" s="288">
        <v>5958.5</v>
      </c>
      <c r="X141" s="1">
        <v>6.59</v>
      </c>
      <c r="Z141" t="b">
        <f t="shared" si="2"/>
        <v>1</v>
      </c>
      <c r="AA141" s="27" t="s">
        <v>424</v>
      </c>
    </row>
    <row r="142" spans="1:27" x14ac:dyDescent="0.2">
      <c r="A142" s="1" t="s">
        <v>425</v>
      </c>
      <c r="B142" s="290" t="s">
        <v>125</v>
      </c>
      <c r="C142" s="290" t="s">
        <v>82</v>
      </c>
      <c r="D142" s="287" t="s">
        <v>300</v>
      </c>
      <c r="E142" s="2">
        <v>4</v>
      </c>
      <c r="F142" s="2">
        <v>19</v>
      </c>
      <c r="G142" s="288">
        <v>1.8</v>
      </c>
      <c r="H142" s="1">
        <v>9.4700000000000006</v>
      </c>
      <c r="I142" s="2">
        <v>6</v>
      </c>
      <c r="J142" s="2">
        <v>85</v>
      </c>
      <c r="K142" s="288">
        <v>5.9</v>
      </c>
      <c r="L142" s="1">
        <v>6.94</v>
      </c>
      <c r="M142" s="2">
        <v>0</v>
      </c>
      <c r="N142" s="2">
        <v>0</v>
      </c>
      <c r="O142" s="288">
        <v>0</v>
      </c>
      <c r="P142" s="1">
        <v>0</v>
      </c>
      <c r="Q142" s="2">
        <v>0</v>
      </c>
      <c r="R142" s="2">
        <v>0</v>
      </c>
      <c r="S142" s="288">
        <v>0</v>
      </c>
      <c r="T142" s="1">
        <v>0</v>
      </c>
      <c r="U142" s="2">
        <v>10</v>
      </c>
      <c r="V142" s="2">
        <v>104</v>
      </c>
      <c r="W142" s="288">
        <v>7.7</v>
      </c>
      <c r="X142" s="1">
        <v>7.4</v>
      </c>
      <c r="Z142" t="b">
        <f t="shared" si="2"/>
        <v>1</v>
      </c>
      <c r="AA142" s="27" t="s">
        <v>425</v>
      </c>
    </row>
    <row r="143" spans="1:27" x14ac:dyDescent="0.2">
      <c r="A143" s="1" t="s">
        <v>426</v>
      </c>
      <c r="B143" s="286" t="s">
        <v>125</v>
      </c>
      <c r="C143" s="287" t="s">
        <v>22</v>
      </c>
      <c r="D143" s="287" t="s">
        <v>300</v>
      </c>
      <c r="E143" s="2">
        <v>1146</v>
      </c>
      <c r="F143" s="2">
        <v>16387</v>
      </c>
      <c r="G143" s="288">
        <v>1119</v>
      </c>
      <c r="H143" s="1">
        <v>6.83</v>
      </c>
      <c r="I143" s="2">
        <v>346</v>
      </c>
      <c r="J143" s="2">
        <v>3495</v>
      </c>
      <c r="K143" s="288">
        <v>252.5</v>
      </c>
      <c r="L143" s="1">
        <v>7.22</v>
      </c>
      <c r="M143" s="2">
        <v>249</v>
      </c>
      <c r="N143" s="2">
        <v>13248</v>
      </c>
      <c r="O143" s="288">
        <v>828</v>
      </c>
      <c r="P143" s="1">
        <v>6.25</v>
      </c>
      <c r="Q143" s="2">
        <v>0</v>
      </c>
      <c r="R143" s="2">
        <v>0</v>
      </c>
      <c r="S143" s="288">
        <v>0</v>
      </c>
      <c r="T143" s="1">
        <v>0</v>
      </c>
      <c r="U143" s="2">
        <v>1741</v>
      </c>
      <c r="V143" s="2">
        <v>33130</v>
      </c>
      <c r="W143" s="288">
        <v>2199.5</v>
      </c>
      <c r="X143" s="1">
        <v>6.64</v>
      </c>
      <c r="Z143" t="b">
        <f t="shared" si="2"/>
        <v>1</v>
      </c>
      <c r="AA143" s="27" t="s">
        <v>426</v>
      </c>
    </row>
    <row r="144" spans="1:27" x14ac:dyDescent="0.2">
      <c r="A144" s="1" t="s">
        <v>427</v>
      </c>
      <c r="B144" s="286" t="s">
        <v>128</v>
      </c>
      <c r="C144" s="287" t="s">
        <v>14</v>
      </c>
      <c r="D144" s="287" t="s">
        <v>300</v>
      </c>
      <c r="E144" s="2">
        <v>4149</v>
      </c>
      <c r="F144" s="2">
        <v>54625</v>
      </c>
      <c r="G144" s="288">
        <v>5469</v>
      </c>
      <c r="H144" s="1">
        <v>10.01</v>
      </c>
      <c r="I144" s="2">
        <v>287</v>
      </c>
      <c r="J144" s="2">
        <v>33804</v>
      </c>
      <c r="K144" s="288">
        <v>2604</v>
      </c>
      <c r="L144" s="1">
        <v>7.7</v>
      </c>
      <c r="M144" s="2">
        <v>0</v>
      </c>
      <c r="N144" s="2">
        <v>0</v>
      </c>
      <c r="O144" s="288">
        <v>0</v>
      </c>
      <c r="P144" s="1">
        <v>0</v>
      </c>
      <c r="Q144" s="2">
        <v>0</v>
      </c>
      <c r="R144" s="2">
        <v>0</v>
      </c>
      <c r="S144" s="288">
        <v>0</v>
      </c>
      <c r="T144" s="1">
        <v>0</v>
      </c>
      <c r="U144" s="2">
        <v>4436</v>
      </c>
      <c r="V144" s="2">
        <v>88429</v>
      </c>
      <c r="W144" s="288">
        <v>8073</v>
      </c>
      <c r="X144" s="1">
        <v>9.1300000000000008</v>
      </c>
      <c r="Z144" t="b">
        <f t="shared" si="2"/>
        <v>1</v>
      </c>
      <c r="AA144" s="27" t="s">
        <v>427</v>
      </c>
    </row>
    <row r="145" spans="1:27" x14ac:dyDescent="0.2">
      <c r="A145" s="1" t="s">
        <v>428</v>
      </c>
      <c r="B145" s="286" t="s">
        <v>129</v>
      </c>
      <c r="C145" s="287" t="s">
        <v>22</v>
      </c>
      <c r="D145" s="287" t="s">
        <v>310</v>
      </c>
      <c r="E145" s="2">
        <v>18382</v>
      </c>
      <c r="F145" s="2">
        <v>225541</v>
      </c>
      <c r="G145" s="288">
        <v>17778</v>
      </c>
      <c r="H145" s="1">
        <v>7.88</v>
      </c>
      <c r="I145" s="2">
        <v>2117</v>
      </c>
      <c r="J145" s="2">
        <v>120619</v>
      </c>
      <c r="K145" s="288">
        <v>7902</v>
      </c>
      <c r="L145" s="1">
        <v>6.55</v>
      </c>
      <c r="M145" s="2">
        <v>5</v>
      </c>
      <c r="N145" s="2">
        <v>110924</v>
      </c>
      <c r="O145" s="288">
        <v>5064</v>
      </c>
      <c r="P145" s="1">
        <v>4.57</v>
      </c>
      <c r="Q145" s="2">
        <v>0</v>
      </c>
      <c r="R145" s="2">
        <v>0</v>
      </c>
      <c r="S145" s="288">
        <v>0</v>
      </c>
      <c r="T145" s="1">
        <v>0</v>
      </c>
      <c r="U145" s="2">
        <v>20504</v>
      </c>
      <c r="V145" s="2">
        <v>457084</v>
      </c>
      <c r="W145" s="288">
        <v>30744</v>
      </c>
      <c r="X145" s="1">
        <v>6.73</v>
      </c>
      <c r="Z145" t="b">
        <f t="shared" si="2"/>
        <v>1</v>
      </c>
      <c r="AA145" s="27" t="s">
        <v>428</v>
      </c>
    </row>
    <row r="146" spans="1:27" x14ac:dyDescent="0.2">
      <c r="A146" s="1" t="s">
        <v>429</v>
      </c>
      <c r="B146" s="286" t="s">
        <v>50</v>
      </c>
      <c r="C146" s="287" t="s">
        <v>14</v>
      </c>
      <c r="D146" s="287" t="s">
        <v>310</v>
      </c>
      <c r="E146" s="2">
        <v>969</v>
      </c>
      <c r="F146" s="2">
        <v>15485</v>
      </c>
      <c r="G146" s="288">
        <v>1138</v>
      </c>
      <c r="H146" s="1">
        <v>7.35</v>
      </c>
      <c r="I146" s="2">
        <v>196</v>
      </c>
      <c r="J146" s="2">
        <v>11653</v>
      </c>
      <c r="K146" s="288">
        <v>894</v>
      </c>
      <c r="L146" s="1">
        <v>7.67</v>
      </c>
      <c r="M146" s="2">
        <v>0</v>
      </c>
      <c r="N146" s="2">
        <v>0</v>
      </c>
      <c r="O146" s="288">
        <v>0</v>
      </c>
      <c r="P146" s="1">
        <v>0</v>
      </c>
      <c r="Q146" s="2">
        <v>0</v>
      </c>
      <c r="R146" s="2">
        <v>0</v>
      </c>
      <c r="S146" s="288">
        <v>0</v>
      </c>
      <c r="T146" s="1">
        <v>0</v>
      </c>
      <c r="U146" s="2">
        <v>1165</v>
      </c>
      <c r="V146" s="2">
        <v>27138</v>
      </c>
      <c r="W146" s="288">
        <v>2032</v>
      </c>
      <c r="X146" s="1">
        <v>7.49</v>
      </c>
      <c r="Z146" t="b">
        <f t="shared" si="2"/>
        <v>1</v>
      </c>
      <c r="AA146" s="27" t="s">
        <v>429</v>
      </c>
    </row>
    <row r="147" spans="1:27" x14ac:dyDescent="0.2">
      <c r="A147" s="1" t="s">
        <v>430</v>
      </c>
      <c r="B147" s="286" t="s">
        <v>115</v>
      </c>
      <c r="C147" s="287" t="s">
        <v>14</v>
      </c>
      <c r="D147" s="287" t="s">
        <v>310</v>
      </c>
      <c r="E147" s="2">
        <v>488</v>
      </c>
      <c r="F147" s="2">
        <v>7290</v>
      </c>
      <c r="G147" s="288">
        <v>448</v>
      </c>
      <c r="H147" s="1">
        <v>6.15</v>
      </c>
      <c r="I147" s="2">
        <v>0</v>
      </c>
      <c r="J147" s="2">
        <v>0</v>
      </c>
      <c r="K147" s="288">
        <v>0</v>
      </c>
      <c r="L147" s="1">
        <v>0</v>
      </c>
      <c r="M147" s="2">
        <v>0</v>
      </c>
      <c r="N147" s="2">
        <v>0</v>
      </c>
      <c r="O147" s="288">
        <v>0</v>
      </c>
      <c r="P147" s="1">
        <v>0</v>
      </c>
      <c r="Q147" s="2">
        <v>0</v>
      </c>
      <c r="R147" s="2">
        <v>0</v>
      </c>
      <c r="S147" s="288">
        <v>0</v>
      </c>
      <c r="T147" s="1">
        <v>0</v>
      </c>
      <c r="U147" s="2">
        <v>488</v>
      </c>
      <c r="V147" s="2">
        <v>7290</v>
      </c>
      <c r="W147" s="288">
        <v>448</v>
      </c>
      <c r="X147" s="1">
        <v>6.15</v>
      </c>
      <c r="Z147" t="b">
        <f t="shared" si="2"/>
        <v>1</v>
      </c>
      <c r="AA147" s="27" t="s">
        <v>430</v>
      </c>
    </row>
    <row r="148" spans="1:27" x14ac:dyDescent="0.2">
      <c r="A148" s="1" t="s">
        <v>431</v>
      </c>
      <c r="B148" s="286" t="s">
        <v>124</v>
      </c>
      <c r="C148" s="287" t="s">
        <v>14</v>
      </c>
      <c r="D148" s="287" t="s">
        <v>310</v>
      </c>
      <c r="E148" s="2">
        <v>2679</v>
      </c>
      <c r="F148" s="2">
        <v>30876</v>
      </c>
      <c r="G148" s="288">
        <v>2154.1999999999998</v>
      </c>
      <c r="H148" s="1">
        <v>6.98</v>
      </c>
      <c r="I148" s="2">
        <v>163</v>
      </c>
      <c r="J148" s="2">
        <v>6931</v>
      </c>
      <c r="K148" s="288">
        <v>428.1</v>
      </c>
      <c r="L148" s="1">
        <v>6.18</v>
      </c>
      <c r="M148" s="2">
        <v>0</v>
      </c>
      <c r="N148" s="2">
        <v>0</v>
      </c>
      <c r="O148" s="288">
        <v>0</v>
      </c>
      <c r="P148" s="1">
        <v>0</v>
      </c>
      <c r="Q148" s="2">
        <v>0</v>
      </c>
      <c r="R148" s="2">
        <v>0</v>
      </c>
      <c r="S148" s="288">
        <v>0</v>
      </c>
      <c r="T148" s="1">
        <v>0</v>
      </c>
      <c r="U148" s="2">
        <v>2842</v>
      </c>
      <c r="V148" s="2">
        <v>37807</v>
      </c>
      <c r="W148" s="288">
        <v>2582.3000000000002</v>
      </c>
      <c r="X148" s="1">
        <v>6.83</v>
      </c>
      <c r="Z148" t="b">
        <f t="shared" si="2"/>
        <v>1</v>
      </c>
      <c r="AA148" s="27" t="s">
        <v>431</v>
      </c>
    </row>
    <row r="149" spans="1:27" x14ac:dyDescent="0.2">
      <c r="A149" s="1" t="s">
        <v>432</v>
      </c>
      <c r="B149" s="286" t="s">
        <v>131</v>
      </c>
      <c r="C149" s="287" t="s">
        <v>22</v>
      </c>
      <c r="D149" s="287" t="s">
        <v>300</v>
      </c>
      <c r="E149" s="2">
        <v>10854</v>
      </c>
      <c r="F149" s="2">
        <v>162706</v>
      </c>
      <c r="G149" s="288">
        <v>12456.8</v>
      </c>
      <c r="H149" s="1">
        <v>7.66</v>
      </c>
      <c r="I149" s="2">
        <v>1790</v>
      </c>
      <c r="J149" s="2">
        <v>165855</v>
      </c>
      <c r="K149" s="288">
        <v>10010.200000000001</v>
      </c>
      <c r="L149" s="1">
        <v>6.04</v>
      </c>
      <c r="M149" s="2">
        <v>1398</v>
      </c>
      <c r="N149" s="2">
        <v>554520</v>
      </c>
      <c r="O149" s="288">
        <v>26137.8</v>
      </c>
      <c r="P149" s="1">
        <v>4.71</v>
      </c>
      <c r="Q149" s="2">
        <v>0</v>
      </c>
      <c r="R149" s="2">
        <v>0</v>
      </c>
      <c r="S149" s="288">
        <v>0</v>
      </c>
      <c r="T149" s="1">
        <v>0</v>
      </c>
      <c r="U149" s="2">
        <v>14042</v>
      </c>
      <c r="V149" s="2">
        <v>883081</v>
      </c>
      <c r="W149" s="288">
        <v>48604.800000000003</v>
      </c>
      <c r="X149" s="1">
        <v>5.5</v>
      </c>
      <c r="Z149" t="b">
        <f t="shared" si="2"/>
        <v>1</v>
      </c>
      <c r="AA149" s="27" t="s">
        <v>432</v>
      </c>
    </row>
    <row r="150" spans="1:27" x14ac:dyDescent="0.2">
      <c r="A150" s="1" t="s">
        <v>433</v>
      </c>
      <c r="B150" s="290" t="s">
        <v>132</v>
      </c>
      <c r="C150" s="290" t="s">
        <v>19</v>
      </c>
      <c r="D150" s="287" t="s">
        <v>300</v>
      </c>
      <c r="E150" s="2">
        <v>4134</v>
      </c>
      <c r="F150" s="2">
        <v>90585</v>
      </c>
      <c r="G150" s="288">
        <v>5367</v>
      </c>
      <c r="H150" s="1">
        <v>5.92</v>
      </c>
      <c r="I150" s="2">
        <v>874</v>
      </c>
      <c r="J150" s="2">
        <v>43853</v>
      </c>
      <c r="K150" s="288">
        <v>2459</v>
      </c>
      <c r="L150" s="1">
        <v>5.61</v>
      </c>
      <c r="M150" s="2">
        <v>980</v>
      </c>
      <c r="N150" s="2">
        <v>109150</v>
      </c>
      <c r="O150" s="288">
        <v>4688</v>
      </c>
      <c r="P150" s="1">
        <v>4.3</v>
      </c>
      <c r="Q150" s="2">
        <v>0</v>
      </c>
      <c r="R150" s="2">
        <v>0</v>
      </c>
      <c r="S150" s="288">
        <v>0</v>
      </c>
      <c r="T150" s="1">
        <v>0</v>
      </c>
      <c r="U150" s="2">
        <v>5988</v>
      </c>
      <c r="V150" s="2">
        <v>243588</v>
      </c>
      <c r="W150" s="288">
        <v>12514</v>
      </c>
      <c r="X150" s="1">
        <v>5.14</v>
      </c>
      <c r="Z150" t="b">
        <f t="shared" si="2"/>
        <v>1</v>
      </c>
      <c r="AA150" s="27" t="s">
        <v>433</v>
      </c>
    </row>
    <row r="151" spans="1:27" x14ac:dyDescent="0.2">
      <c r="A151" s="1" t="s">
        <v>434</v>
      </c>
      <c r="B151" s="286" t="s">
        <v>134</v>
      </c>
      <c r="C151" s="287" t="s">
        <v>14</v>
      </c>
      <c r="D151" s="287" t="s">
        <v>310</v>
      </c>
      <c r="E151" s="2">
        <v>8937</v>
      </c>
      <c r="F151" s="2">
        <v>139165</v>
      </c>
      <c r="G151" s="288">
        <v>7734</v>
      </c>
      <c r="H151" s="1">
        <v>5.56</v>
      </c>
      <c r="I151" s="2">
        <v>934</v>
      </c>
      <c r="J151" s="2">
        <v>78091</v>
      </c>
      <c r="K151" s="288">
        <v>4547</v>
      </c>
      <c r="L151" s="1">
        <v>5.82</v>
      </c>
      <c r="M151" s="2">
        <v>0</v>
      </c>
      <c r="N151" s="2">
        <v>0</v>
      </c>
      <c r="O151" s="288">
        <v>0</v>
      </c>
      <c r="P151" s="1">
        <v>0</v>
      </c>
      <c r="Q151" s="2">
        <v>0</v>
      </c>
      <c r="R151" s="2">
        <v>0</v>
      </c>
      <c r="S151" s="288">
        <v>0</v>
      </c>
      <c r="T151" s="1">
        <v>0</v>
      </c>
      <c r="U151" s="2">
        <v>9871</v>
      </c>
      <c r="V151" s="2">
        <v>217256</v>
      </c>
      <c r="W151" s="288">
        <v>12281</v>
      </c>
      <c r="X151" s="1">
        <v>5.65</v>
      </c>
      <c r="Z151" t="b">
        <f t="shared" si="2"/>
        <v>1</v>
      </c>
      <c r="AA151" s="27" t="s">
        <v>434</v>
      </c>
    </row>
    <row r="152" spans="1:27" x14ac:dyDescent="0.2">
      <c r="A152" s="1" t="s">
        <v>435</v>
      </c>
      <c r="B152" s="286" t="s">
        <v>142</v>
      </c>
      <c r="C152" s="287" t="s">
        <v>19</v>
      </c>
      <c r="D152" s="287" t="s">
        <v>300</v>
      </c>
      <c r="E152" s="2">
        <v>33</v>
      </c>
      <c r="F152" s="2">
        <v>103</v>
      </c>
      <c r="G152" s="288">
        <v>14.1</v>
      </c>
      <c r="H152" s="1">
        <v>13.69</v>
      </c>
      <c r="I152" s="2">
        <v>0</v>
      </c>
      <c r="J152" s="2">
        <v>0</v>
      </c>
      <c r="K152" s="288">
        <v>0</v>
      </c>
      <c r="L152" s="1">
        <v>0</v>
      </c>
      <c r="M152" s="2">
        <v>0</v>
      </c>
      <c r="N152" s="2">
        <v>0</v>
      </c>
      <c r="O152" s="288">
        <v>0</v>
      </c>
      <c r="P152" s="1">
        <v>0</v>
      </c>
      <c r="Q152" s="2">
        <v>0</v>
      </c>
      <c r="R152" s="2">
        <v>0</v>
      </c>
      <c r="S152" s="288">
        <v>0</v>
      </c>
      <c r="T152" s="1">
        <v>0</v>
      </c>
      <c r="U152" s="2">
        <v>33</v>
      </c>
      <c r="V152" s="2">
        <v>103</v>
      </c>
      <c r="W152" s="288">
        <v>14.1</v>
      </c>
      <c r="X152" s="1">
        <v>13.69</v>
      </c>
      <c r="Z152" t="b">
        <f t="shared" si="2"/>
        <v>1</v>
      </c>
      <c r="AA152" s="27" t="s">
        <v>435</v>
      </c>
    </row>
    <row r="153" spans="1:27" x14ac:dyDescent="0.2">
      <c r="A153" s="1" t="s">
        <v>436</v>
      </c>
      <c r="B153" s="286" t="s">
        <v>142</v>
      </c>
      <c r="C153" s="287" t="s">
        <v>56</v>
      </c>
      <c r="D153" s="287" t="s">
        <v>300</v>
      </c>
      <c r="E153" s="2">
        <v>7666</v>
      </c>
      <c r="F153" s="2">
        <v>91128</v>
      </c>
      <c r="G153" s="288">
        <v>6589.5</v>
      </c>
      <c r="H153" s="1">
        <v>7.23</v>
      </c>
      <c r="I153" s="2">
        <v>1332</v>
      </c>
      <c r="J153" s="2">
        <v>49933</v>
      </c>
      <c r="K153" s="288">
        <v>2932.9</v>
      </c>
      <c r="L153" s="1">
        <v>5.87</v>
      </c>
      <c r="M153" s="2">
        <v>0</v>
      </c>
      <c r="N153" s="2">
        <v>0</v>
      </c>
      <c r="O153" s="288">
        <v>0</v>
      </c>
      <c r="P153" s="1">
        <v>0</v>
      </c>
      <c r="Q153" s="2">
        <v>0</v>
      </c>
      <c r="R153" s="2">
        <v>0</v>
      </c>
      <c r="S153" s="288">
        <v>0</v>
      </c>
      <c r="T153" s="1">
        <v>0</v>
      </c>
      <c r="U153" s="2">
        <v>8998</v>
      </c>
      <c r="V153" s="2">
        <v>141061</v>
      </c>
      <c r="W153" s="288">
        <v>9522.4</v>
      </c>
      <c r="X153" s="1">
        <v>6.75</v>
      </c>
      <c r="Z153" t="b">
        <f t="shared" si="2"/>
        <v>1</v>
      </c>
      <c r="AA153" s="27" t="s">
        <v>436</v>
      </c>
    </row>
    <row r="154" spans="1:27" x14ac:dyDescent="0.2">
      <c r="A154" s="1" t="s">
        <v>437</v>
      </c>
      <c r="B154" s="286" t="s">
        <v>135</v>
      </c>
      <c r="C154" s="287" t="s">
        <v>22</v>
      </c>
      <c r="D154" s="287" t="s">
        <v>300</v>
      </c>
      <c r="E154" s="2">
        <v>3750</v>
      </c>
      <c r="F154" s="2">
        <v>49412</v>
      </c>
      <c r="G154" s="288">
        <v>4271</v>
      </c>
      <c r="H154" s="1">
        <v>8.64</v>
      </c>
      <c r="I154" s="2">
        <v>540</v>
      </c>
      <c r="J154" s="2">
        <v>15449</v>
      </c>
      <c r="K154" s="288">
        <v>1389</v>
      </c>
      <c r="L154" s="1">
        <v>8.99</v>
      </c>
      <c r="M154" s="2">
        <v>326</v>
      </c>
      <c r="N154" s="2">
        <v>41132</v>
      </c>
      <c r="O154" s="288">
        <v>2503</v>
      </c>
      <c r="P154" s="1">
        <v>6.09</v>
      </c>
      <c r="Q154" s="2">
        <v>0</v>
      </c>
      <c r="R154" s="2">
        <v>0</v>
      </c>
      <c r="S154" s="288">
        <v>0</v>
      </c>
      <c r="T154" s="1">
        <v>0</v>
      </c>
      <c r="U154" s="2">
        <v>4616</v>
      </c>
      <c r="V154" s="2">
        <v>105993</v>
      </c>
      <c r="W154" s="288">
        <v>8163</v>
      </c>
      <c r="X154" s="1">
        <v>7.7</v>
      </c>
      <c r="Z154" t="b">
        <f t="shared" si="2"/>
        <v>1</v>
      </c>
      <c r="AA154" s="27" t="s">
        <v>437</v>
      </c>
    </row>
    <row r="155" spans="1:27" x14ac:dyDescent="0.2">
      <c r="A155" s="1" t="s">
        <v>438</v>
      </c>
      <c r="B155" s="286" t="s">
        <v>138</v>
      </c>
      <c r="C155" s="287" t="s">
        <v>82</v>
      </c>
      <c r="D155" s="287" t="s">
        <v>300</v>
      </c>
      <c r="E155" s="2">
        <v>4228</v>
      </c>
      <c r="F155" s="2">
        <v>49085</v>
      </c>
      <c r="G155" s="288">
        <v>4766</v>
      </c>
      <c r="H155" s="1">
        <v>9.7100000000000009</v>
      </c>
      <c r="I155" s="2">
        <v>849</v>
      </c>
      <c r="J155" s="2">
        <v>53950</v>
      </c>
      <c r="K155" s="288">
        <v>3997</v>
      </c>
      <c r="L155" s="1">
        <v>7.41</v>
      </c>
      <c r="M155" s="2">
        <v>122</v>
      </c>
      <c r="N155" s="2">
        <v>661135</v>
      </c>
      <c r="O155" s="288">
        <v>23648</v>
      </c>
      <c r="P155" s="1">
        <v>3.58</v>
      </c>
      <c r="Q155" s="2">
        <v>0</v>
      </c>
      <c r="R155" s="2">
        <v>0</v>
      </c>
      <c r="S155" s="288">
        <v>0</v>
      </c>
      <c r="T155" s="1">
        <v>0</v>
      </c>
      <c r="U155" s="2">
        <v>5199</v>
      </c>
      <c r="V155" s="2">
        <v>764170</v>
      </c>
      <c r="W155" s="288">
        <v>32411</v>
      </c>
      <c r="X155" s="1">
        <v>4.24</v>
      </c>
      <c r="Z155" t="b">
        <f t="shared" si="2"/>
        <v>1</v>
      </c>
      <c r="AA155" s="27" t="s">
        <v>438</v>
      </c>
    </row>
    <row r="156" spans="1:27" x14ac:dyDescent="0.2">
      <c r="A156" s="1" t="s">
        <v>439</v>
      </c>
      <c r="B156" s="286" t="s">
        <v>139</v>
      </c>
      <c r="C156" s="287" t="s">
        <v>22</v>
      </c>
      <c r="D156" s="287" t="s">
        <v>300</v>
      </c>
      <c r="E156" s="2">
        <v>3989</v>
      </c>
      <c r="F156" s="2">
        <v>51038</v>
      </c>
      <c r="G156" s="288">
        <v>6602</v>
      </c>
      <c r="H156" s="1">
        <v>12.94</v>
      </c>
      <c r="I156" s="2">
        <v>284</v>
      </c>
      <c r="J156" s="2">
        <v>5118</v>
      </c>
      <c r="K156" s="288">
        <v>691</v>
      </c>
      <c r="L156" s="1">
        <v>13.5</v>
      </c>
      <c r="M156" s="2">
        <v>49</v>
      </c>
      <c r="N156" s="2">
        <v>11240</v>
      </c>
      <c r="O156" s="288">
        <v>1038</v>
      </c>
      <c r="P156" s="1">
        <v>9.23</v>
      </c>
      <c r="Q156" s="2">
        <v>0</v>
      </c>
      <c r="R156" s="2">
        <v>0</v>
      </c>
      <c r="S156" s="288">
        <v>0</v>
      </c>
      <c r="T156" s="1">
        <v>0</v>
      </c>
      <c r="U156" s="2">
        <v>4322</v>
      </c>
      <c r="V156" s="2">
        <v>67396</v>
      </c>
      <c r="W156" s="288">
        <v>8331</v>
      </c>
      <c r="X156" s="1">
        <v>12.36</v>
      </c>
      <c r="Z156" t="b">
        <f t="shared" si="2"/>
        <v>1</v>
      </c>
      <c r="AA156" s="27" t="s">
        <v>439</v>
      </c>
    </row>
    <row r="158" spans="1:27" x14ac:dyDescent="0.2">
      <c r="A158" t="s">
        <v>440</v>
      </c>
      <c r="E158" s="98">
        <v>5529160</v>
      </c>
      <c r="F158" s="98">
        <v>66188074</v>
      </c>
      <c r="G158" s="98">
        <v>5492789.5999999996</v>
      </c>
      <c r="H158" s="289">
        <v>8.2987602872384532</v>
      </c>
      <c r="I158" s="98">
        <v>787267</v>
      </c>
      <c r="J158" s="98">
        <v>53764465</v>
      </c>
      <c r="K158" s="98">
        <v>4007822.8</v>
      </c>
      <c r="L158" s="289">
        <v>7.4544084089742171</v>
      </c>
      <c r="M158" s="98">
        <v>80339</v>
      </c>
      <c r="N158" s="98">
        <v>45288744</v>
      </c>
      <c r="O158" s="98">
        <v>2078592.6000000003</v>
      </c>
      <c r="P158" s="289">
        <v>4.5896450561755486</v>
      </c>
      <c r="Q158" s="98">
        <v>64</v>
      </c>
      <c r="R158" s="98">
        <v>32220</v>
      </c>
      <c r="S158" s="98">
        <v>2281.3000000000002</v>
      </c>
      <c r="T158" s="289">
        <v>7.080384854127872</v>
      </c>
      <c r="U158" s="98">
        <v>6396830</v>
      </c>
      <c r="V158" s="98">
        <v>165273503</v>
      </c>
      <c r="W158" s="98">
        <v>11581486.300000001</v>
      </c>
      <c r="X158" s="289">
        <v>7.0074670711130267</v>
      </c>
    </row>
    <row r="159" spans="1:27" x14ac:dyDescent="0.2">
      <c r="A159" t="s">
        <v>441</v>
      </c>
      <c r="E159" s="39">
        <v>11.970728645942602</v>
      </c>
      <c r="I159" s="39">
        <v>68.292542428426444</v>
      </c>
      <c r="M159" s="39">
        <v>563.72053423617422</v>
      </c>
      <c r="Q159" s="39">
        <v>503.4375</v>
      </c>
      <c r="U159" s="39">
        <v>25.836782124896239</v>
      </c>
    </row>
    <row r="160" spans="1:27" x14ac:dyDescent="0.2">
      <c r="A160" t="s">
        <v>442</v>
      </c>
      <c r="E160" s="288">
        <v>993.42207496256208</v>
      </c>
      <c r="I160" s="288">
        <v>5090.8050254869058</v>
      </c>
      <c r="M160" s="288">
        <v>25872.771630216961</v>
      </c>
      <c r="Q160" s="288">
        <v>35645.3125</v>
      </c>
      <c r="U160" s="288">
        <v>1810.5039996373205</v>
      </c>
    </row>
  </sheetData>
  <sortState ref="A5:X157">
    <sortCondition ref="B5:B157"/>
    <sortCondition ref="C5:C157"/>
  </sortState>
  <mergeCells count="6">
    <mergeCell ref="U3:X3"/>
    <mergeCell ref="A1:D1"/>
    <mergeCell ref="D3:H3"/>
    <mergeCell ref="I3:L3"/>
    <mergeCell ref="M3:P3"/>
    <mergeCell ref="Q3:T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
  <sheetViews>
    <sheetView topLeftCell="B1" workbookViewId="0">
      <selection activeCell="E19" sqref="E19"/>
    </sheetView>
  </sheetViews>
  <sheetFormatPr defaultRowHeight="12.75" x14ac:dyDescent="0.2"/>
  <cols>
    <col min="3" max="3" width="127" customWidth="1"/>
    <col min="5" max="5" width="10.85546875" customWidth="1"/>
  </cols>
  <sheetData>
    <row r="1" spans="1:5" x14ac:dyDescent="0.2">
      <c r="A1" t="s">
        <v>254</v>
      </c>
    </row>
    <row r="5" spans="1:5" x14ac:dyDescent="0.2">
      <c r="B5" s="242" t="s">
        <v>225</v>
      </c>
      <c r="C5" s="242" t="s">
        <v>226</v>
      </c>
      <c r="D5" s="242" t="s">
        <v>227</v>
      </c>
      <c r="E5" s="242" t="s">
        <v>228</v>
      </c>
    </row>
    <row r="6" spans="1:5" x14ac:dyDescent="0.2">
      <c r="B6" s="219">
        <v>1</v>
      </c>
      <c r="C6" t="s">
        <v>230</v>
      </c>
      <c r="D6" s="219" t="s">
        <v>229</v>
      </c>
      <c r="E6" s="220">
        <v>40059</v>
      </c>
    </row>
    <row r="7" spans="1:5" x14ac:dyDescent="0.2">
      <c r="B7" s="219">
        <v>2</v>
      </c>
      <c r="C7" t="s">
        <v>232</v>
      </c>
      <c r="D7" s="219" t="s">
        <v>229</v>
      </c>
      <c r="E7" s="220">
        <v>40059</v>
      </c>
    </row>
    <row r="8" spans="1:5" x14ac:dyDescent="0.2">
      <c r="B8" s="219">
        <v>3</v>
      </c>
      <c r="C8" t="s">
        <v>233</v>
      </c>
      <c r="D8" s="219" t="s">
        <v>229</v>
      </c>
      <c r="E8" s="220">
        <v>40059</v>
      </c>
    </row>
    <row r="9" spans="1:5" x14ac:dyDescent="0.2">
      <c r="B9" s="219">
        <v>4</v>
      </c>
      <c r="C9" t="s">
        <v>234</v>
      </c>
      <c r="D9" s="219" t="s">
        <v>229</v>
      </c>
      <c r="E9" s="220">
        <v>40059</v>
      </c>
    </row>
    <row r="10" spans="1:5" x14ac:dyDescent="0.2">
      <c r="B10" s="219">
        <v>5</v>
      </c>
      <c r="C10" t="s">
        <v>235</v>
      </c>
      <c r="D10" s="219" t="s">
        <v>229</v>
      </c>
      <c r="E10" s="220">
        <v>40059</v>
      </c>
    </row>
    <row r="11" spans="1:5" x14ac:dyDescent="0.2">
      <c r="B11" s="219">
        <v>6</v>
      </c>
      <c r="C11" t="s">
        <v>236</v>
      </c>
      <c r="D11" s="219" t="s">
        <v>229</v>
      </c>
      <c r="E11" s="220">
        <v>40059</v>
      </c>
    </row>
    <row r="12" spans="1:5" x14ac:dyDescent="0.2">
      <c r="B12" s="219">
        <v>7</v>
      </c>
      <c r="C12" t="s">
        <v>253</v>
      </c>
      <c r="D12" s="219" t="s">
        <v>252</v>
      </c>
      <c r="E12" s="220">
        <v>40064</v>
      </c>
    </row>
    <row r="13" spans="1:5" x14ac:dyDescent="0.2">
      <c r="B13" s="219">
        <v>8</v>
      </c>
      <c r="C13" t="s">
        <v>251</v>
      </c>
      <c r="D13" s="219" t="s">
        <v>252</v>
      </c>
      <c r="E13" s="220">
        <v>40064</v>
      </c>
    </row>
    <row r="14" spans="1:5" ht="25.5" x14ac:dyDescent="0.2">
      <c r="B14" s="219">
        <v>9</v>
      </c>
      <c r="C14" s="243" t="s">
        <v>256</v>
      </c>
      <c r="D14" s="219" t="s">
        <v>252</v>
      </c>
      <c r="E14" s="260">
        <v>40192</v>
      </c>
    </row>
    <row r="15" spans="1:5" x14ac:dyDescent="0.2">
      <c r="B15" s="219">
        <v>10</v>
      </c>
      <c r="C15" t="s">
        <v>260</v>
      </c>
      <c r="D15" s="219" t="s">
        <v>252</v>
      </c>
      <c r="E15" s="260">
        <v>40772</v>
      </c>
    </row>
    <row r="16" spans="1:5" x14ac:dyDescent="0.2">
      <c r="B16" s="219">
        <v>11</v>
      </c>
      <c r="C16" t="s">
        <v>284</v>
      </c>
      <c r="D16" s="273" t="s">
        <v>252</v>
      </c>
      <c r="E16" s="260">
        <v>40941</v>
      </c>
    </row>
    <row r="17" spans="2:5" x14ac:dyDescent="0.2">
      <c r="B17" s="219">
        <v>12</v>
      </c>
      <c r="C17" s="262" t="s">
        <v>285</v>
      </c>
      <c r="D17" s="273" t="s">
        <v>229</v>
      </c>
      <c r="E17" s="260">
        <v>41338</v>
      </c>
    </row>
    <row r="18" spans="2:5" x14ac:dyDescent="0.2">
      <c r="B18" s="219">
        <v>13</v>
      </c>
      <c r="C18" s="262" t="s">
        <v>475</v>
      </c>
      <c r="D18" s="273" t="s">
        <v>252</v>
      </c>
      <c r="E18" s="260">
        <v>41807</v>
      </c>
    </row>
  </sheetData>
  <phoneticPr fontId="1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Target Calculator</vt:lpstr>
      <vt:lpstr>Budget Estimator</vt:lpstr>
      <vt:lpstr>Data Base and Calculations</vt:lpstr>
      <vt:lpstr>EIA Soure Data</vt:lpstr>
      <vt:lpstr>Change Log</vt:lpstr>
      <vt:lpstr>GDPDef</vt:lpstr>
      <vt:lpstr>PNWSales_Com</vt:lpstr>
      <vt:lpstr>PNWSales_Ind</vt:lpstr>
      <vt:lpstr>PNWSales_Ind_Agr</vt:lpstr>
      <vt:lpstr>PNWSales_Irrg</vt:lpstr>
      <vt:lpstr>PNWSales_Res</vt:lpstr>
      <vt:lpstr>PNWSales_Total</vt:lpstr>
      <vt:lpstr>Sale_TargetData</vt:lpstr>
      <vt:lpstr>Share_Com</vt:lpstr>
      <vt:lpstr>Share_Ind_Agr</vt:lpstr>
      <vt:lpstr>Share_Non_Ind</vt:lpstr>
      <vt:lpstr>Share_Res</vt:lpstr>
      <vt:lpstr>Share_Total</vt:lpstr>
      <vt:lpstr>state</vt:lpstr>
      <vt:lpstr>state_names</vt:lpstr>
      <vt:lpstr>utilagsales</vt:lpstr>
    </vt:vector>
  </TitlesOfParts>
  <Company>NW Power and Conservation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Eckman</dc:creator>
  <cp:lastModifiedBy>Eric Schrepel</cp:lastModifiedBy>
  <dcterms:created xsi:type="dcterms:W3CDTF">2006-02-10T18:22:05Z</dcterms:created>
  <dcterms:modified xsi:type="dcterms:W3CDTF">2018-05-24T20:04:20Z</dcterms:modified>
</cp:coreProperties>
</file>